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rbon Footprint Estimator" sheetId="1" r:id="rId4"/>
    <sheet state="visible" name="EC2 Instances Dataset" sheetId="2" r:id="rId5"/>
    <sheet state="visible" name="Bare Metal Power Profiles" sheetId="3" r:id="rId6"/>
    <sheet state="visible" name="AWS Platforms Ratios" sheetId="4" r:id="rId7"/>
    <sheet state="visible" name="Memory Ratios" sheetId="5" r:id="rId8"/>
    <sheet state="visible" name="GPU Specs &amp; Ratios" sheetId="6" r:id="rId9"/>
    <sheet state="visible" name="Scope 3 Ratios" sheetId="7" r:id="rId10"/>
    <sheet state="visible" name="AWS Regions Mix Intensity" sheetId="8" r:id="rId11"/>
    <sheet state="visible" name="Server Carbon Footprint" sheetId="9" r:id="rId12"/>
    <sheet state="visible" name="Dell R740 LCA" sheetId="10" r:id="rId13"/>
    <sheet state="visible" name="CPU Specs" sheetId="11" r:id="rId14"/>
    <sheet state="visible" name="Sources" sheetId="12" r:id="rId1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9">
      <text>
        <t xml:space="preserve">@benjamin.davy@teads.com how did you get 42 GB for this Platform memory? I would have thought it to be 7 GB as that is the largest instance memory size?
	-Dan Lewis-Toakley
Hey Dan, this instance is the largest of its family but it's not using the full capacity of the underlying hardware. It's using 1/6th of the vCPUs available on the Xeon E5-2651 v2 so I'm assuming it is using 1/6th of the Memory so that AWS can put 6 c1.xlarge instances per physical server.
	-Benjamin DAVY</t>
      </text>
    </comment>
  </commentList>
</comments>
</file>

<file path=xl/sharedStrings.xml><?xml version="1.0" encoding="utf-8"?>
<sst xmlns="http://schemas.openxmlformats.org/spreadsheetml/2006/main" count="8480" uniqueCount="1708">
  <si>
    <t>EC2 Instances Carbon Footprint Estimator</t>
  </si>
  <si>
    <r>
      <rPr>
        <rFont val="Calibri"/>
        <b/>
        <i/>
        <color rgb="FFFFFFFF"/>
        <sz val="11.0"/>
      </rPr>
      <t>v0.1</t>
    </r>
    <r>
      <rPr>
        <rFont val="Calibri"/>
        <i/>
        <color rgb="FFFFFFFF"/>
        <sz val="11.0"/>
      </rPr>
      <t>: Initial release (September 23, 2021)</t>
    </r>
  </si>
  <si>
    <r>
      <rPr>
        <rFont val="Calibri"/>
        <b/>
        <i/>
        <color rgb="FF7B7B7B"/>
        <sz val="11.0"/>
      </rPr>
      <t>Disclaimer</t>
    </r>
    <r>
      <rPr>
        <rFont val="Calibri"/>
        <i/>
        <color rgb="FF7B7B7B"/>
        <sz val="11.0"/>
      </rPr>
      <t xml:space="preserve">: This is a work in progress initiative and data is provided as-is for open contribution purposes and without warranty. </t>
    </r>
  </si>
  <si>
    <t>This spreadsheet provides a way for AWS cloud users to estimate the carbon footprint of their EC2 based workloads. Two estimations are available:
- Carbon emissions related to running the instance, including the datacenter PUE
- Carbon emissions related to manufacturing the underlying hardware. Assumptions for this estimation are detailed in the "Scope 3 Ratios" tab</t>
  </si>
  <si>
    <r>
      <rPr>
        <i/>
        <color rgb="FF7B7B7B"/>
        <sz val="11.0"/>
      </rPr>
      <t xml:space="preserve">The methodology is detailed in several blog articles as well as on our </t>
    </r>
    <r>
      <rPr>
        <i/>
        <color rgb="FF1155CC"/>
        <sz val="11.0"/>
        <u/>
      </rPr>
      <t>Teads Engineering website</t>
    </r>
    <r>
      <rPr>
        <i/>
        <color rgb="FF7B7B7B"/>
        <sz val="11.0"/>
      </rPr>
      <t xml:space="preserve">. You can simply copy this spreadsheet to play with the data. </t>
    </r>
    <r>
      <rPr>
        <b/>
        <i/>
        <color rgb="FF7B7B7B"/>
        <sz val="11.0"/>
      </rPr>
      <t>Please comment if you spot an issue.</t>
    </r>
  </si>
  <si>
    <r>
      <rPr>
        <i/>
        <color rgb="FF7B7B7B"/>
        <sz val="11.0"/>
      </rPr>
      <t xml:space="preserve">Contact point: </t>
    </r>
    <r>
      <rPr>
        <i/>
        <color rgb="FF1155CC"/>
        <sz val="11.0"/>
        <u/>
      </rPr>
      <t>Benjamin DAVY</t>
    </r>
  </si>
  <si>
    <r>
      <rPr>
        <rFont val="Calibri"/>
        <b/>
        <i/>
        <color rgb="FF7B7B7B"/>
        <sz val="11.0"/>
      </rPr>
      <t>Acknowledgements</t>
    </r>
    <r>
      <rPr>
        <rFont val="Calibri"/>
        <i/>
        <color rgb="FF7B7B7B"/>
        <sz val="11.0"/>
      </rPr>
      <t>: we would to thank the following entities who enabled this work:</t>
    </r>
  </si>
  <si>
    <t>Boavizta - Scope 3 Server Data and Methodology Review</t>
  </si>
  <si>
    <t>CloudCarbonFootprint - AWS Regions Mix Intensity Dataset</t>
  </si>
  <si>
    <t>Hardbricks &amp; Workflowers - On premise measurements</t>
  </si>
  <si>
    <r>
      <rPr>
        <rFont val="Calibri"/>
        <b/>
        <i/>
        <color rgb="FF7B7B7B"/>
        <sz val="11.0"/>
      </rPr>
      <t>Content</t>
    </r>
    <r>
      <rPr>
        <rFont val="Calibri"/>
        <i/>
        <color rgb="FF7B7B7B"/>
        <sz val="11.0"/>
      </rPr>
      <t>:
- EC2 Instances Dataset: The resulting dataset aggregating specifications, power consumption and manufacturing footprint estimation data for each instance type
- Bare Metal Power Profiles: A recap of our software measurements reported by the turbostress tool on several providers
- AWS Platforms Ratios: A summary of the CPU platforms used to run EC2 instances as well as their power consumption, some of which are estimated based on comparable configurations
- Memory Ratios: A summary of the memory power consumption measurements as well as consumption ratios used to estimate the DRAM consumption on machine we cannot measure
- GPU Specs &amp; Ratios: A list of GPUs available on AWS with their specifications
- Scope 3 Ratios: A set of assumptions used to calculate the manufacturing carbon footprint
- AWS Regions Mix Intensity: Dataset courtesy of the Cloud Carbon Footprint initiative
- Server Carbon Footprint: Dataset of available server carbon footprint, courtesy of the Boavizta initiative
- Dell R740 LCA: An analysis of the Life Cycle Assessment to extract server embodied emissions at the component level
- CPU Specs: A collection of CPU specifications that could be later used for further estimations
- Sources: A list of web resources used to build this estimator</t>
    </r>
  </si>
  <si>
    <r>
      <rPr>
        <rFont val="Calibri"/>
        <b/>
        <i/>
        <color rgb="FF7B7B7B"/>
        <sz val="11.0"/>
      </rPr>
      <t>How to use the estimator</t>
    </r>
    <r>
      <rPr>
        <rFont val="Calibri"/>
        <i/>
        <color rgb="FF7B7B7B"/>
        <sz val="11.0"/>
      </rPr>
      <t>:
Select an instance, an AWS region and input a number of compute hours to get a carbon footprint estimation of the workload.</t>
    </r>
  </si>
  <si>
    <t>Compute Hour(s)</t>
  </si>
  <si>
    <t>AWS Region</t>
  </si>
  <si>
    <t>Europe (Paris)</t>
  </si>
  <si>
    <t>gCO₂eq/kWh</t>
  </si>
  <si>
    <t>PUE</t>
  </si>
  <si>
    <t>Instance Type</t>
  </si>
  <si>
    <t>c5.metal</t>
  </si>
  <si>
    <t>Idle</t>
  </si>
  <si>
    <t>10% load</t>
  </si>
  <si>
    <t>50% load</t>
  </si>
  <si>
    <t>100% load</t>
  </si>
  <si>
    <t>Instance Estimated Power Consumption</t>
  </si>
  <si>
    <t>Watts</t>
  </si>
  <si>
    <t>Power Consumption Including Data Center PUE</t>
  </si>
  <si>
    <t>Carbon Emissions from Running (Scope 2)</t>
  </si>
  <si>
    <t>gCO₂eq</t>
  </si>
  <si>
    <t>Carbon Emissions from Manufacturing (Scope 3)</t>
  </si>
  <si>
    <t>Creative Commons Attribution 4.0 International License</t>
  </si>
  <si>
    <t>Instance type</t>
  </si>
  <si>
    <t>Release Date</t>
  </si>
  <si>
    <t>Instance vCPU</t>
  </si>
  <si>
    <t>Platform Total Number of vCPU</t>
  </si>
  <si>
    <t>Platform CPU Name</t>
  </si>
  <si>
    <t>Instance Memory (in GB)</t>
  </si>
  <si>
    <t>Platform Memory (in GB)</t>
  </si>
  <si>
    <t>Storage Info (Type and Size in GB)</t>
  </si>
  <si>
    <t>Storage Type</t>
  </si>
  <si>
    <t>Platform Storage Drive Quantity</t>
  </si>
  <si>
    <t>Platform GPU Quantity</t>
  </si>
  <si>
    <t>Platform GPU Name</t>
  </si>
  <si>
    <t>Instance Number of GPU</t>
  </si>
  <si>
    <t>Instance GPU memory (in GB)</t>
  </si>
  <si>
    <t>PkgWatt @ Idle</t>
  </si>
  <si>
    <t>PkgWatt @ 10%</t>
  </si>
  <si>
    <t>PkgWatt @ 50%</t>
  </si>
  <si>
    <t>PkgWatt @ 100%</t>
  </si>
  <si>
    <t>RAMWatt @ Idle</t>
  </si>
  <si>
    <t>RAMWatt @ 10%</t>
  </si>
  <si>
    <t>RAMWatt @ 50%</t>
  </si>
  <si>
    <t>RAMWatt @ 100%</t>
  </si>
  <si>
    <t>GPUWatt @ Idle</t>
  </si>
  <si>
    <t>GPUWatt @ 10%</t>
  </si>
  <si>
    <t>GPUWatt @ 50%</t>
  </si>
  <si>
    <t>GPUWatt @ 100%</t>
  </si>
  <si>
    <t>Delta Full Machine</t>
  </si>
  <si>
    <t>Instance @ Idle</t>
  </si>
  <si>
    <t>Instance @ 10%</t>
  </si>
  <si>
    <t>Instance @ 50%</t>
  </si>
  <si>
    <t>Instance @ 100%</t>
  </si>
  <si>
    <t>Platform Additional Memory Scope 3 Emissions</t>
  </si>
  <si>
    <t>Platform Additional Storage Scope 3 Emissions</t>
  </si>
  <si>
    <t>Platform Additional GPU Scope 3 Emissions</t>
  </si>
  <si>
    <t>Platform Additional CPU Scope 3 Emissions</t>
  </si>
  <si>
    <t>Total Platform Scope 3 Emissions  (kgCO₂eq)</t>
  </si>
  <si>
    <t>Instance Hourly Manufacturing Emissions (gCO₂eq)</t>
  </si>
  <si>
    <t>Hardware Information on AWS Documentation &amp; Comments</t>
  </si>
  <si>
    <t>a1.medium</t>
  </si>
  <si>
    <t>November 2018</t>
  </si>
  <si>
    <t>Graviton</t>
  </si>
  <si>
    <t>EBS-Only</t>
  </si>
  <si>
    <t>EBS</t>
  </si>
  <si>
    <t>N/A</t>
  </si>
  <si>
    <t>AWS Graviton (ARM)</t>
  </si>
  <si>
    <t>a1.large</t>
  </si>
  <si>
    <t>a1.xlarge</t>
  </si>
  <si>
    <t>a1.2xlarge</t>
  </si>
  <si>
    <t>a1.4xlarge</t>
  </si>
  <si>
    <t>a1.metal</t>
  </si>
  <si>
    <t>October 2019</t>
  </si>
  <si>
    <t>c1.medium</t>
  </si>
  <si>
    <t>May 2008</t>
  </si>
  <si>
    <t>Xeon E5-2651 v2</t>
  </si>
  <si>
    <t>1 x SSD 350</t>
  </si>
  <si>
    <t>SSD</t>
  </si>
  <si>
    <t>c1.xlarge</t>
  </si>
  <si>
    <t>4 x SSD 420</t>
  </si>
  <si>
    <t>cr1.8xlarge</t>
  </si>
  <si>
    <t>January 2013</t>
  </si>
  <si>
    <t>Xeon E5-2670</t>
  </si>
  <si>
    <t>2 x 120 (SSD)</t>
  </si>
  <si>
    <t>dual 2.6 GHz Intel Xeon E5-2670 processors</t>
  </si>
  <si>
    <t>cc2.8xlarge</t>
  </si>
  <si>
    <t>November 2011</t>
  </si>
  <si>
    <t>4 x SSD 840</t>
  </si>
  <si>
    <t>dual Intel Xeon processors</t>
  </si>
  <si>
    <t>c3.large</t>
  </si>
  <si>
    <t>November 2013</t>
  </si>
  <si>
    <t>Xeon E5-2680 v2</t>
  </si>
  <si>
    <t>2 x 16 (SSD)</t>
  </si>
  <si>
    <t>2.8 GHz Intel Xeon E5-2680v2 (Ivy Bridge) processor</t>
  </si>
  <si>
    <t>c3.xlarge</t>
  </si>
  <si>
    <t>2 x 40 (SSD)</t>
  </si>
  <si>
    <t>c3.2xlarge</t>
  </si>
  <si>
    <t>2 x 80 (SSD)</t>
  </si>
  <si>
    <t>c3.4xlarge</t>
  </si>
  <si>
    <t>2 x 160 (SSD)</t>
  </si>
  <si>
    <t>c3.8xlarge</t>
  </si>
  <si>
    <t>2 x 320 (SSD)</t>
  </si>
  <si>
    <t>c4.large</t>
  </si>
  <si>
    <t>January 2015</t>
  </si>
  <si>
    <t>Xeon E5-2666 v3</t>
  </si>
  <si>
    <t>2.9 GHz Intel Xeon E5-2666 v3 Processor</t>
  </si>
  <si>
    <t>c4.xlarge</t>
  </si>
  <si>
    <t>c4.2xlarge</t>
  </si>
  <si>
    <t>c4.4xlarge</t>
  </si>
  <si>
    <t>c4.8xlarge</t>
  </si>
  <si>
    <t>c5.large</t>
  </si>
  <si>
    <t>November 2016</t>
  </si>
  <si>
    <t>Xeon Platinum 8124M</t>
  </si>
  <si>
    <t>Up to 3.5GHz 2nd generation Intel Xeon Scalable Processors (Cascade Lake) or 1st generation Intel Xeon Platinum 8000 series (Skylake-SP)</t>
  </si>
  <si>
    <t>c5.xlarge</t>
  </si>
  <si>
    <t>c5.2xlarge</t>
  </si>
  <si>
    <t>c5.4xlarge</t>
  </si>
  <si>
    <t>c5.9xlarge</t>
  </si>
  <si>
    <t>November 2019</t>
  </si>
  <si>
    <t>c5.12xlarge</t>
  </si>
  <si>
    <t>June 2019</t>
  </si>
  <si>
    <t>Xeon Platinum 8275CL</t>
  </si>
  <si>
    <t>Up to 3.9 GHz 2nd generation Intel Xeon Scalable Processors (Cascade Lake)</t>
  </si>
  <si>
    <t>c5.18xlarge</t>
  </si>
  <si>
    <t>c5.24xlarge</t>
  </si>
  <si>
    <t>c5a.large</t>
  </si>
  <si>
    <t>June 2020</t>
  </si>
  <si>
    <t>EPYC 7R32</t>
  </si>
  <si>
    <t>Up to 3.3 GHz 2nd generation AMD EPYC 7002 Series Processor</t>
  </si>
  <si>
    <t>c5a.xlarge</t>
  </si>
  <si>
    <t>c5a.2xlarge</t>
  </si>
  <si>
    <t>c5a.4xlarge</t>
  </si>
  <si>
    <t>c5a.8xlarge</t>
  </si>
  <si>
    <t>c5a.12xlarge</t>
  </si>
  <si>
    <t>c5a.16xlarge</t>
  </si>
  <si>
    <t>c5a.24xlarge</t>
  </si>
  <si>
    <t>c5ad.large</t>
  </si>
  <si>
    <t>August 2020</t>
  </si>
  <si>
    <t>1 x 75 NVMe SSD</t>
  </si>
  <si>
    <t>c5ad.xlarge</t>
  </si>
  <si>
    <t>1 x 150 NVMe SSD</t>
  </si>
  <si>
    <t>c5ad.2xlarge</t>
  </si>
  <si>
    <t>1 x 300 NVMe SSD</t>
  </si>
  <si>
    <t>c5ad.4xlarge</t>
  </si>
  <si>
    <t>2 x 300 NVMe SSD</t>
  </si>
  <si>
    <t>c5ad.8xlarge</t>
  </si>
  <si>
    <t>2 x 600 NVMe SSD</t>
  </si>
  <si>
    <t>c5ad.12xlarge</t>
  </si>
  <si>
    <t>2 x 900 NVMe SSD</t>
  </si>
  <si>
    <t>c5ad.16xlarge</t>
  </si>
  <si>
    <t>2 x 1200 NVMe SSD</t>
  </si>
  <si>
    <t>c5ad.24xlarge</t>
  </si>
  <si>
    <t>2 x 1900 NVMe SSD</t>
  </si>
  <si>
    <t>c5d.large</t>
  </si>
  <si>
    <t>May 2018</t>
  </si>
  <si>
    <t>1 x 50 NVMe SSD</t>
  </si>
  <si>
    <t>Up to 3.5 GHz 2nd generation Intel Xeon Scalable Processors (Cascade Lake) or 1st generation Intel Xeon Platinum 8000 series (Skylake-SP)</t>
  </si>
  <si>
    <t>c5d.xlarge</t>
  </si>
  <si>
    <t>1 x 100 NVMe SSD</t>
  </si>
  <si>
    <t>c5d.2xlarge</t>
  </si>
  <si>
    <t>1 x 200 NVMe SSD</t>
  </si>
  <si>
    <t>c5d.4xlarge</t>
  </si>
  <si>
    <t>1 x 400 NVMe SSD</t>
  </si>
  <si>
    <t>c5d.9xlarge</t>
  </si>
  <si>
    <t>1 x 900 NVMe SSD</t>
  </si>
  <si>
    <t>c5d.12xlarge</t>
  </si>
  <si>
    <t>c5d.18xlarge</t>
  </si>
  <si>
    <t>c5d.24xlarge</t>
  </si>
  <si>
    <t>4 x 900 NVMe SSD</t>
  </si>
  <si>
    <t>c5d.metal</t>
  </si>
  <si>
    <t>c5n.large</t>
  </si>
  <si>
    <t>3.0 GHz Intel Xeon Platinum Processor</t>
  </si>
  <si>
    <t>c5n.xlarge</t>
  </si>
  <si>
    <t>c5n.2xlarge</t>
  </si>
  <si>
    <t>c5n.4xlarge</t>
  </si>
  <si>
    <t>c5n.9xlarge</t>
  </si>
  <si>
    <t>c5n.18xlarge</t>
  </si>
  <si>
    <t>c5n.metal</t>
  </si>
  <si>
    <t>August 2019</t>
  </si>
  <si>
    <t>c6g.medium</t>
  </si>
  <si>
    <t>December 2019</t>
  </si>
  <si>
    <t>Graviton2</t>
  </si>
  <si>
    <t>AWS Graviton2 (ARM)</t>
  </si>
  <si>
    <t>c6g.large</t>
  </si>
  <si>
    <t>c6g.xlarge</t>
  </si>
  <si>
    <t>c6g.2xlarge</t>
  </si>
  <si>
    <t>c6g.4xlarge</t>
  </si>
  <si>
    <t>c6g.8xlarge</t>
  </si>
  <si>
    <t>c6g.12xlarge</t>
  </si>
  <si>
    <t>c6g.16xlarge</t>
  </si>
  <si>
    <t>c6g.metal</t>
  </si>
  <si>
    <t>c6gd.medium</t>
  </si>
  <si>
    <t>1 x 59 NVMe SSD</t>
  </si>
  <si>
    <t>c6gd.large</t>
  </si>
  <si>
    <t>1 x 118 NVMe SSD</t>
  </si>
  <si>
    <t>c6gd.xlarge</t>
  </si>
  <si>
    <t>1 x 237 NVMe SSD</t>
  </si>
  <si>
    <t>c6gd.2xlarge</t>
  </si>
  <si>
    <t>1 x 474 NVMe SSD</t>
  </si>
  <si>
    <t>c6gd.4xlarge</t>
  </si>
  <si>
    <t>1 x 950 NVMe SSD</t>
  </si>
  <si>
    <t>c6gd.8xlarge</t>
  </si>
  <si>
    <t>1 x 1900 NVMe SSD</t>
  </si>
  <si>
    <t>c6gd.12xlarge</t>
  </si>
  <si>
    <t>2 x 1425 NVMe SSD</t>
  </si>
  <si>
    <t>c6gd.16xlarge</t>
  </si>
  <si>
    <t>c6gd.metal</t>
  </si>
  <si>
    <t>c6gn.medium</t>
  </si>
  <si>
    <t>c6gn.large</t>
  </si>
  <si>
    <t>c6gn.xlarge</t>
  </si>
  <si>
    <t>c6gn.2xlarge</t>
  </si>
  <si>
    <t>c6gn.4xlarge</t>
  </si>
  <si>
    <t>c6gn.8xlarge</t>
  </si>
  <si>
    <t>c6gn.12xlarge</t>
  </si>
  <si>
    <t>c6gn.16xlarge</t>
  </si>
  <si>
    <t>d2.xlarge</t>
  </si>
  <si>
    <t>March 2015</t>
  </si>
  <si>
    <t>Xeon E5-2676 v3</t>
  </si>
  <si>
    <t>3 x 2000 HDD</t>
  </si>
  <si>
    <t>HDD</t>
  </si>
  <si>
    <t>2.4 GHz Intel Xeon E5-2676 v3 Processor (Haswell)</t>
  </si>
  <si>
    <t>d2.2xlarge</t>
  </si>
  <si>
    <t>6 x 2000 HDD</t>
  </si>
  <si>
    <t>d2.4xlarge</t>
  </si>
  <si>
    <t>12 x 2000 HDD</t>
  </si>
  <si>
    <t>d2.8xlarge</t>
  </si>
  <si>
    <t>24 x 2000 HDD</t>
  </si>
  <si>
    <t>d3.xlarge</t>
  </si>
  <si>
    <t>December 2020</t>
  </si>
  <si>
    <t>Xeon Platinum 8259CL</t>
  </si>
  <si>
    <t>3 x 2 HDD</t>
  </si>
  <si>
    <t>d3.2xlarge</t>
  </si>
  <si>
    <t>6 x 2 HDD</t>
  </si>
  <si>
    <t>d3.4xlarge</t>
  </si>
  <si>
    <t>12 x 2 HDD</t>
  </si>
  <si>
    <t>d3.8xlarge</t>
  </si>
  <si>
    <t>24 x 2 HDD</t>
  </si>
  <si>
    <t>d3en.xlarge</t>
  </si>
  <si>
    <t>2 x 14 HDD</t>
  </si>
  <si>
    <t>d3en.2xlarge</t>
  </si>
  <si>
    <t>4 x 14 HDD</t>
  </si>
  <si>
    <t>d3en.4xlarge</t>
  </si>
  <si>
    <t>8 x 14 HDD</t>
  </si>
  <si>
    <t>d3en.6xlarge</t>
  </si>
  <si>
    <t>12 x 14 HDD</t>
  </si>
  <si>
    <t>d3en.8xlarge</t>
  </si>
  <si>
    <t>16 x 14 HDD</t>
  </si>
  <si>
    <t>d3en.12xlarge</t>
  </si>
  <si>
    <t>24 x 14 HDD</t>
  </si>
  <si>
    <t>dc2.large</t>
  </si>
  <si>
    <t>October 2017</t>
  </si>
  <si>
    <t>Xeon E5-2670 v2</t>
  </si>
  <si>
    <t>160 SSD</t>
  </si>
  <si>
    <t>dc2.8xlarge</t>
  </si>
  <si>
    <t>2560 SSD</t>
  </si>
  <si>
    <t>ds2.xlarge</t>
  </si>
  <si>
    <t>June 2015</t>
  </si>
  <si>
    <t>2000 HDD</t>
  </si>
  <si>
    <t>ds2.8xlarge</t>
  </si>
  <si>
    <t>16000 HDD</t>
  </si>
  <si>
    <t>f1.2xlarge</t>
  </si>
  <si>
    <t>Xeon E5-2686 v4</t>
  </si>
  <si>
    <t>SSD 470</t>
  </si>
  <si>
    <t>1 FPGA - Comment: the estimated Scope 3 does not include the FPGA(s)</t>
  </si>
  <si>
    <t>f1.4xlarge</t>
  </si>
  <si>
    <t>SSD 940</t>
  </si>
  <si>
    <t>2 FPGA - Comment: the estimated Scope 3 does not include the FPGA(s)</t>
  </si>
  <si>
    <t>f1.16xlarge</t>
  </si>
  <si>
    <t>SSD 4 x 940</t>
  </si>
  <si>
    <t>8 FPGA - Comment: the estimated Scope 3 does not include the FPGA(s)</t>
  </si>
  <si>
    <t>g2.2xlarge</t>
  </si>
  <si>
    <t>1 x 60 (SSD)</t>
  </si>
  <si>
    <t>K520</t>
  </si>
  <si>
    <t>1 GPU NVIDIA GRID K520</t>
  </si>
  <si>
    <t>g2.8xlarge</t>
  </si>
  <si>
    <t>April 2015</t>
  </si>
  <si>
    <t>4 GPU NVIDIA GRID K520</t>
  </si>
  <si>
    <t>g3s.xlarge</t>
  </si>
  <si>
    <t>October 2018</t>
  </si>
  <si>
    <t>Tesla M60</t>
  </si>
  <si>
    <t>1*GPU NVIDIA Tesla M60</t>
  </si>
  <si>
    <t>g3.4xlarge</t>
  </si>
  <si>
    <t>July 2017</t>
  </si>
  <si>
    <t>g3.8xlarge</t>
  </si>
  <si>
    <t>2*GPU NVIDIA Tesla M60</t>
  </si>
  <si>
    <t>g3.16xlarge</t>
  </si>
  <si>
    <t>4*GPU NVIDIA Tesla M60</t>
  </si>
  <si>
    <t>g4dn.xlarge</t>
  </si>
  <si>
    <t>March 2019</t>
  </si>
  <si>
    <t>T4</t>
  </si>
  <si>
    <t>NVIDIA T4 GPU and custom Intel Cascade Lake CPUs</t>
  </si>
  <si>
    <t>g4dn.2xlarge</t>
  </si>
  <si>
    <t>g4dn.4xlarge</t>
  </si>
  <si>
    <t>g4dn.8xlarge</t>
  </si>
  <si>
    <t>1x900</t>
  </si>
  <si>
    <t>g4dn.16xlarge</t>
  </si>
  <si>
    <t>g4dn.12xlarge</t>
  </si>
  <si>
    <t>g4dn.metal</t>
  </si>
  <si>
    <t>2x900</t>
  </si>
  <si>
    <t>g4ad.4xlarge</t>
  </si>
  <si>
    <t>Radeon Pro V520</t>
  </si>
  <si>
    <t>AMD Radeon Pro V520 GPUs and 2nd generation AMD EPYC processors</t>
  </si>
  <si>
    <t>g4ad.8xlarge</t>
  </si>
  <si>
    <t>g4ad.16xlarge</t>
  </si>
  <si>
    <t>h1.2xlarge</t>
  </si>
  <si>
    <t>November 2017</t>
  </si>
  <si>
    <t>1 x 2.000 HDD</t>
  </si>
  <si>
    <t>2.3 GHz Intel Xeon E5 2686 v4 Processor (Broadwell)</t>
  </si>
  <si>
    <t>h1.4xlarge</t>
  </si>
  <si>
    <t>2 x 2.000 HDD</t>
  </si>
  <si>
    <t>h1.8xlarge</t>
  </si>
  <si>
    <t>4 x 2.000 HDD</t>
  </si>
  <si>
    <t>h1.16xlarge</t>
  </si>
  <si>
    <t>8 x 2.000 HDD</t>
  </si>
  <si>
    <t>hs1.8xlarge</t>
  </si>
  <si>
    <t>December 2012</t>
  </si>
  <si>
    <t>24 x 2 000 (HDD)</t>
  </si>
  <si>
    <t>Intel E5-2650 processor</t>
  </si>
  <si>
    <t>i2.xlarge</t>
  </si>
  <si>
    <t>December 2013</t>
  </si>
  <si>
    <t>1 x 800 (SSD)</t>
  </si>
  <si>
    <t>Intel E5-2670 v2 (Ivy Bridge) processor</t>
  </si>
  <si>
    <t>i2.2xlarge</t>
  </si>
  <si>
    <t>2 x 800 (SSD)</t>
  </si>
  <si>
    <t>i2.4xlarge</t>
  </si>
  <si>
    <t>4 x 800 (SSD)</t>
  </si>
  <si>
    <t>i2.8xlarge</t>
  </si>
  <si>
    <t>8 x 800 (SSD)</t>
  </si>
  <si>
    <t>i3.large</t>
  </si>
  <si>
    <t>1 x 475 NVMe SSD</t>
  </si>
  <si>
    <t>i3.xlarge</t>
  </si>
  <si>
    <t>i3.2xlarge</t>
  </si>
  <si>
    <t>1 x 1.900 NVMe SSD</t>
  </si>
  <si>
    <t>i3.4xlarge</t>
  </si>
  <si>
    <t>2 x 1.900 NVMe SSD</t>
  </si>
  <si>
    <t>i3.8xlarge</t>
  </si>
  <si>
    <t>4 x 1.900 NVMe SSD</t>
  </si>
  <si>
    <t>i3.16xlarge</t>
  </si>
  <si>
    <t>8 x 1.900 NVMe SSD</t>
  </si>
  <si>
    <t>i3.metal</t>
  </si>
  <si>
    <t>i3en.large</t>
  </si>
  <si>
    <t>May 2019</t>
  </si>
  <si>
    <t>Xeon Platinum 8175M</t>
  </si>
  <si>
    <t>1 x 1.250 NVMe SSD</t>
  </si>
  <si>
    <t>3.1 GHz all core turbo Intel Xeon Scalable (Skylake) processors</t>
  </si>
  <si>
    <t>i3en.xlarge</t>
  </si>
  <si>
    <t>1 x 2.500 NVMe SSD</t>
  </si>
  <si>
    <t>i3en.2xlarge</t>
  </si>
  <si>
    <t>2 x 2.500 NVMe SSD</t>
  </si>
  <si>
    <t>i3en.3xlarge</t>
  </si>
  <si>
    <t>1 x 7.500 NVMe SSD</t>
  </si>
  <si>
    <t>i3en.6xlarge</t>
  </si>
  <si>
    <t>2 x 7.500 NVMe SSD</t>
  </si>
  <si>
    <t>i3en.12xlarge</t>
  </si>
  <si>
    <t>4 x 7.500 NVMe SSD</t>
  </si>
  <si>
    <t>i3en.24xlarge</t>
  </si>
  <si>
    <t>8 x 7.500 NVMe SSD</t>
  </si>
  <si>
    <t>i3en.metal</t>
  </si>
  <si>
    <t>inf1.xlarge</t>
  </si>
  <si>
    <t>EBS only</t>
  </si>
  <si>
    <t>1 Inferencia chip - Comment: the estimated Scope 3 does not include the Inferencia chips</t>
  </si>
  <si>
    <t>inf1.2xlarge</t>
  </si>
  <si>
    <t>inf1.6xlarge</t>
  </si>
  <si>
    <t>4 Inferencia chips - Comment: the estimated Scope 3 does not include the Inferencia chips</t>
  </si>
  <si>
    <t>inf1.24xlarge</t>
  </si>
  <si>
    <t>16 Inferencia chips - Comment: the estimated Scope 3 does not include the Inferencia chips</t>
  </si>
  <si>
    <t>m1.small</t>
  </si>
  <si>
    <t>August 2006</t>
  </si>
  <si>
    <t>Xeon E5-2650</t>
  </si>
  <si>
    <t>1 x 160 (SSD)</t>
  </si>
  <si>
    <t>m1.medium</t>
  </si>
  <si>
    <t>March 2012</t>
  </si>
  <si>
    <t>1 x SSD 410</t>
  </si>
  <si>
    <t>m1.large</t>
  </si>
  <si>
    <t>October 2007</t>
  </si>
  <si>
    <t>2 x SSD 420</t>
  </si>
  <si>
    <t>m1.xlarge</t>
  </si>
  <si>
    <t>m2.xlarge</t>
  </si>
  <si>
    <t>February 2010</t>
  </si>
  <si>
    <t>Xeon E5-2665</t>
  </si>
  <si>
    <t>1 x SSD 420</t>
  </si>
  <si>
    <t>m2.2xlarge</t>
  </si>
  <si>
    <t>October 2009</t>
  </si>
  <si>
    <t>1 x SSD 850</t>
  </si>
  <si>
    <t>m2.4xlarge</t>
  </si>
  <si>
    <t>2 x SSD 840</t>
  </si>
  <si>
    <t>m3.medium</t>
  </si>
  <si>
    <t>January 2014</t>
  </si>
  <si>
    <t>1 x 4 (SSD)</t>
  </si>
  <si>
    <t>Intel Xeon E5-2670 (Sandy Bridge or Ivy Bridge) processors</t>
  </si>
  <si>
    <t>m3.large</t>
  </si>
  <si>
    <t>1 x 32 (SSD)</t>
  </si>
  <si>
    <t>m3.xlarge</t>
  </si>
  <si>
    <t>October 2012</t>
  </si>
  <si>
    <t>m3.2xlarge</t>
  </si>
  <si>
    <t>m4.large</t>
  </si>
  <si>
    <t>2.3 GHz Intel Xeon E5-2686 v4 (Broadwell) or 2.4 GHz Intel Xeon E5-2676 v3 (Haswell)</t>
  </si>
  <si>
    <t>m4.xlarge</t>
  </si>
  <si>
    <t>m4.2xlarge</t>
  </si>
  <si>
    <t>m4.4xlarge</t>
  </si>
  <si>
    <t>m4.10xlarge</t>
  </si>
  <si>
    <t>m4.16xlarge</t>
  </si>
  <si>
    <t>September 2016</t>
  </si>
  <si>
    <t>m5.large</t>
  </si>
  <si>
    <t>Up to 3.1 GHz Intel Xeon Platinum 8175M</t>
  </si>
  <si>
    <t>m5.xlarge</t>
  </si>
  <si>
    <t>m5.2xlarge</t>
  </si>
  <si>
    <t>m5.4xlarge</t>
  </si>
  <si>
    <t>m5.8xlarge</t>
  </si>
  <si>
    <t>m5.12xlarge</t>
  </si>
  <si>
    <t>m5.16xlarge</t>
  </si>
  <si>
    <t>m5.24xlarge</t>
  </si>
  <si>
    <t>m5.metal</t>
  </si>
  <si>
    <t>February 2019</t>
  </si>
  <si>
    <t>m5a.large</t>
  </si>
  <si>
    <t>EPYC 7571</t>
  </si>
  <si>
    <t>2.5 GHz AMD EPYC 7000 Series Processor</t>
  </si>
  <si>
    <t>m5a.xlarge</t>
  </si>
  <si>
    <t>m5a.2xlarge</t>
  </si>
  <si>
    <t>m5a.4xlarge</t>
  </si>
  <si>
    <t>m5a.8xlarge</t>
  </si>
  <si>
    <t>m5a.12xlarge</t>
  </si>
  <si>
    <t>m5a.16xlarge</t>
  </si>
  <si>
    <t>m5a.24xlarge</t>
  </si>
  <si>
    <t>m5ad.large</t>
  </si>
  <si>
    <t>m5ad.xlarge</t>
  </si>
  <si>
    <t>m5ad.2xlarge</t>
  </si>
  <si>
    <t>m5ad.4xlarge</t>
  </si>
  <si>
    <t>m5ad.8xlarge</t>
  </si>
  <si>
    <t>m5ad.12xlarge</t>
  </si>
  <si>
    <t>m5ad.16xlarge</t>
  </si>
  <si>
    <t>4 x 600 NVMe SSD</t>
  </si>
  <si>
    <t>m5ad.24xlarge</t>
  </si>
  <si>
    <t>m5d.large</t>
  </si>
  <si>
    <t>June 2018</t>
  </si>
  <si>
    <t>m5d.xlarge</t>
  </si>
  <si>
    <t>m5d.2xlarge</t>
  </si>
  <si>
    <t>m5d.4xlarge</t>
  </si>
  <si>
    <t>m5d.8xlarge</t>
  </si>
  <si>
    <t>m5d.12xlarge</t>
  </si>
  <si>
    <t>m5d.16xlarge</t>
  </si>
  <si>
    <t>m5d.24xlarge</t>
  </si>
  <si>
    <t>m5d.metal</t>
  </si>
  <si>
    <t>m5dn.large</t>
  </si>
  <si>
    <t>Up to 3.5 GHz 2nd generation Intel Xeon Scalable Processors (Cascade Lake)</t>
  </si>
  <si>
    <t>m5dn.xlarge</t>
  </si>
  <si>
    <t>m5dn.2xlarge</t>
  </si>
  <si>
    <t>m5dn.4xlarge</t>
  </si>
  <si>
    <t>m5dn.8xlarge</t>
  </si>
  <si>
    <t>m5dn.12xlarge</t>
  </si>
  <si>
    <t>m5dn.16xlarge</t>
  </si>
  <si>
    <t>m5dn.24xlarge</t>
  </si>
  <si>
    <t>m5dn.metal</t>
  </si>
  <si>
    <t>February 2021</t>
  </si>
  <si>
    <t>m5n.large</t>
  </si>
  <si>
    <t>m5n.xlarge</t>
  </si>
  <si>
    <t>m5n.2xlarge</t>
  </si>
  <si>
    <t>m5n.4xlarge</t>
  </si>
  <si>
    <t>m5n.8xlarge</t>
  </si>
  <si>
    <t>m5n.12xlarge</t>
  </si>
  <si>
    <t>m5n.16xlarge</t>
  </si>
  <si>
    <t>m5n.24xlarge</t>
  </si>
  <si>
    <t>m5n.metal</t>
  </si>
  <si>
    <t>m5zn.large</t>
  </si>
  <si>
    <t>Xeon Platinum 8252C</t>
  </si>
  <si>
    <t>Fastest Intel Xeon Scalable processors in the cloud with an all-core turbo frequency up to 4.5 GHz</t>
  </si>
  <si>
    <t>m5zn.xlarge</t>
  </si>
  <si>
    <t>m5zn.2xlarge</t>
  </si>
  <si>
    <t>m5zn.3xlarge</t>
  </si>
  <si>
    <t>m5zn.6xlarge</t>
  </si>
  <si>
    <t>EBS Only</t>
  </si>
  <si>
    <t>m5zn.12xlarge</t>
  </si>
  <si>
    <t>m5zn.metal</t>
  </si>
  <si>
    <t>m6g.medium</t>
  </si>
  <si>
    <t>m6g.large</t>
  </si>
  <si>
    <t>m6g.xlarge</t>
  </si>
  <si>
    <t>m6g.2xlarge</t>
  </si>
  <si>
    <t>m6g.4xlarge</t>
  </si>
  <si>
    <t>m6g.8xlarge</t>
  </si>
  <si>
    <t>m6g.12xlarge</t>
  </si>
  <si>
    <t>m6g.16xlarge</t>
  </si>
  <si>
    <t>m6g.metal</t>
  </si>
  <si>
    <t>m6gd.medium</t>
  </si>
  <si>
    <t>m6gd.large</t>
  </si>
  <si>
    <t>m6gd.xlarge</t>
  </si>
  <si>
    <t>m6gd.2xlarge</t>
  </si>
  <si>
    <t>m6gd.4xlarge</t>
  </si>
  <si>
    <t>m6gd.8xlarge</t>
  </si>
  <si>
    <t>m6gd.12xlarge</t>
  </si>
  <si>
    <t>m6gd.16xlarge</t>
  </si>
  <si>
    <t>m6gd.metal</t>
  </si>
  <si>
    <t>m6i.large</t>
  </si>
  <si>
    <t>August 2021</t>
  </si>
  <si>
    <t>Xeon Platinum 8375C</t>
  </si>
  <si>
    <t>3rd generation Intel Xeon Scalable processors</t>
  </si>
  <si>
    <t>m6i.xlarge</t>
  </si>
  <si>
    <t>m6i.2xlarge</t>
  </si>
  <si>
    <t>m6i.4xlarge</t>
  </si>
  <si>
    <t>m6i.8xlarge</t>
  </si>
  <si>
    <t>m6i.12xlarge</t>
  </si>
  <si>
    <t>m6i.16xlarge</t>
  </si>
  <si>
    <t>m6i.24xlarge</t>
  </si>
  <si>
    <t>m6i.32xlarge</t>
  </si>
  <si>
    <t>mac1.metal</t>
  </si>
  <si>
    <t>November 2020</t>
  </si>
  <si>
    <t>Core i7-8700B</t>
  </si>
  <si>
    <t>p2.xlarge</t>
  </si>
  <si>
    <t>Tesla K80</t>
  </si>
  <si>
    <t>1 GPU NVIDIA Tesla K80</t>
  </si>
  <si>
    <t>p2.8xlarge</t>
  </si>
  <si>
    <t>8 GPU NVIDIA Tesla K80</t>
  </si>
  <si>
    <t>p2.16xlarge</t>
  </si>
  <si>
    <t>16 GPU NVIDIA Tesla K80</t>
  </si>
  <si>
    <t>p3.2xlarge</t>
  </si>
  <si>
    <t>Tesla V100</t>
  </si>
  <si>
    <t>1 NVIDIA Tesla V100</t>
  </si>
  <si>
    <t>p3.8xlarge</t>
  </si>
  <si>
    <t>4 NVIDIA Tesla V100</t>
  </si>
  <si>
    <t>p3.16xlarge</t>
  </si>
  <si>
    <t>8 NVIDIA Tesla V100</t>
  </si>
  <si>
    <t>p3dn.24xlarge</t>
  </si>
  <si>
    <t>December 2018</t>
  </si>
  <si>
    <t>p4d.24xlarge</t>
  </si>
  <si>
    <t>8TB NVMe SSD</t>
  </si>
  <si>
    <t>Tesla A100</t>
  </si>
  <si>
    <t>8 NVIDIA A100 Tensor Core GPU</t>
  </si>
  <si>
    <t>ra3.4xlarge</t>
  </si>
  <si>
    <t>64000 RMS</t>
  </si>
  <si>
    <t>RMS</t>
  </si>
  <si>
    <t>Comment: CPU platform assumed to be the same as ds2 instances</t>
  </si>
  <si>
    <t>ra3.16xlarge</t>
  </si>
  <si>
    <t>r3.large</t>
  </si>
  <si>
    <t>April 2014</t>
  </si>
  <si>
    <t>Intel Xeon Ivy Bridge Processors</t>
  </si>
  <si>
    <t>r3.xlarge</t>
  </si>
  <si>
    <t>1 x 80 (SSD)</t>
  </si>
  <si>
    <t>r3.2xlarge</t>
  </si>
  <si>
    <t>r3.4xlarge</t>
  </si>
  <si>
    <t>1 x 320 (SSD)</t>
  </si>
  <si>
    <t>r3.8xlarge</t>
  </si>
  <si>
    <t>r4.large</t>
  </si>
  <si>
    <t>2.3 GHz Intel Xeon E5-2686 v4 Processor</t>
  </si>
  <si>
    <t>r4.xlarge</t>
  </si>
  <si>
    <t>r4.2xlarge</t>
  </si>
  <si>
    <t>r4.4xlarge</t>
  </si>
  <si>
    <t>r4.8xlarge</t>
  </si>
  <si>
    <t>r4.16xlarge</t>
  </si>
  <si>
    <t>r5.large</t>
  </si>
  <si>
    <t>July 2018</t>
  </si>
  <si>
    <t>Up to 3.1 GHz Intel Xeon Platinum 8000 series processors (Skylake-SP or Cascade Lake)</t>
  </si>
  <si>
    <t>r5.xlarge</t>
  </si>
  <si>
    <t>r5.2xlarge</t>
  </si>
  <si>
    <t>r5.4xlarge</t>
  </si>
  <si>
    <t>r5.8xlarge</t>
  </si>
  <si>
    <t>r5.12xlarge</t>
  </si>
  <si>
    <t>r5.16xlarge</t>
  </si>
  <si>
    <t>r5.24xlarge</t>
  </si>
  <si>
    <t>r5.metal</t>
  </si>
  <si>
    <t>r5a.large</t>
  </si>
  <si>
    <t>2.5 GHz AMD EPYC 7000 series processors</t>
  </si>
  <si>
    <t>r5a.xlarge</t>
  </si>
  <si>
    <t>r5a.2xlarge</t>
  </si>
  <si>
    <t>r5a.4xlarge</t>
  </si>
  <si>
    <t>r5a.8xlarge</t>
  </si>
  <si>
    <t>r5a.12xlarge</t>
  </si>
  <si>
    <t>r5a.16xlarge</t>
  </si>
  <si>
    <t>r5a.24xlarge</t>
  </si>
  <si>
    <t>r5ad.large</t>
  </si>
  <si>
    <t>r5ad.xlarge</t>
  </si>
  <si>
    <t>r5ad.2xlarge</t>
  </si>
  <si>
    <t>r5ad.4xlarge</t>
  </si>
  <si>
    <t>r5ad.8xlarge</t>
  </si>
  <si>
    <t>r5ad.12xlarge</t>
  </si>
  <si>
    <t>r5ad.16xlarge</t>
  </si>
  <si>
    <t>r5ad.24xlarge</t>
  </si>
  <si>
    <t>r5d.large</t>
  </si>
  <si>
    <t>r5d.xlarge</t>
  </si>
  <si>
    <t>r5d.2xlarge</t>
  </si>
  <si>
    <t>r5d.4xlarge</t>
  </si>
  <si>
    <t>r5d.8xlarge</t>
  </si>
  <si>
    <t>r5d.12xlarge</t>
  </si>
  <si>
    <t>r5d.16xlarge</t>
  </si>
  <si>
    <t>r5d.24xlarge</t>
  </si>
  <si>
    <t>r5d.metal</t>
  </si>
  <si>
    <t>r5dn.large</t>
  </si>
  <si>
    <t>r5dn.xlarge</t>
  </si>
  <si>
    <t>r5dn.2xlarge</t>
  </si>
  <si>
    <t>r5dn.4xlarge</t>
  </si>
  <si>
    <t>r5dn.8xlarge</t>
  </si>
  <si>
    <t>r5dn.12xlarge</t>
  </si>
  <si>
    <t>r5dn.16xlarge</t>
  </si>
  <si>
    <t>r5dn.24xlarge</t>
  </si>
  <si>
    <t>r5dn.metal</t>
  </si>
  <si>
    <t>r5n.large</t>
  </si>
  <si>
    <t>r5n.xlarge</t>
  </si>
  <si>
    <t>r5n.2xlarge</t>
  </si>
  <si>
    <t>r5n.4xlarge</t>
  </si>
  <si>
    <t>r5n.8xlarge</t>
  </si>
  <si>
    <t>r5n.12xlarge</t>
  </si>
  <si>
    <t>r5n.16xlarge</t>
  </si>
  <si>
    <t>r5n.24xlarge</t>
  </si>
  <si>
    <t>r5n.metal</t>
  </si>
  <si>
    <t>r5b.large</t>
  </si>
  <si>
    <t>r5b.xlarge</t>
  </si>
  <si>
    <t>r5b.2xlarge</t>
  </si>
  <si>
    <t>r5b.4xlarge</t>
  </si>
  <si>
    <t>r5b.8xlarge</t>
  </si>
  <si>
    <t>r5b.12xlarge</t>
  </si>
  <si>
    <t>r5b.16xlarge</t>
  </si>
  <si>
    <t>r5b.24xlarge</t>
  </si>
  <si>
    <t>r5b.metal</t>
  </si>
  <si>
    <t>r6g.medium</t>
  </si>
  <si>
    <t>r6g.large</t>
  </si>
  <si>
    <t>r6g.xlarge</t>
  </si>
  <si>
    <t>r6g.2xlarge</t>
  </si>
  <si>
    <t>r6g.4xlarge</t>
  </si>
  <si>
    <t>r6g.8xlarge</t>
  </si>
  <si>
    <t>r6g.12xlarge</t>
  </si>
  <si>
    <t>r6g.16xlarge</t>
  </si>
  <si>
    <t>r6g.metal</t>
  </si>
  <si>
    <t>r6gd.medium</t>
  </si>
  <si>
    <t>r6gd.large</t>
  </si>
  <si>
    <t>r6gd.xlarge</t>
  </si>
  <si>
    <t>r6gd.2xlarge</t>
  </si>
  <si>
    <t>r6gd.4xlarge</t>
  </si>
  <si>
    <t>r6gd.8xlarge</t>
  </si>
  <si>
    <t>r6gd.12xlarge</t>
  </si>
  <si>
    <t>r6gd.16xlarge</t>
  </si>
  <si>
    <t>r6gd.metal</t>
  </si>
  <si>
    <t>t1.micro</t>
  </si>
  <si>
    <t>September 2010</t>
  </si>
  <si>
    <t>t2.nano</t>
  </si>
  <si>
    <t>December 2015</t>
  </si>
  <si>
    <t>3.3 GHz Intel Scalable Processor</t>
  </si>
  <si>
    <t>t2.micro</t>
  </si>
  <si>
    <t>July 2014</t>
  </si>
  <si>
    <t>t2.small</t>
  </si>
  <si>
    <t>t2.medium</t>
  </si>
  <si>
    <t>t2.large</t>
  </si>
  <si>
    <t>3.0 GHz Intel Scalable Processor</t>
  </si>
  <si>
    <t>t2.xlarge</t>
  </si>
  <si>
    <t>t2.2xlarge</t>
  </si>
  <si>
    <t>t3.nano</t>
  </si>
  <si>
    <t>August 2018</t>
  </si>
  <si>
    <t>2.5 GHz Intel Scalable Processor</t>
  </si>
  <si>
    <t>t3.micro</t>
  </si>
  <si>
    <t>t3.small</t>
  </si>
  <si>
    <t>t3.medium</t>
  </si>
  <si>
    <t>t3.large</t>
  </si>
  <si>
    <t>t3.xlarge</t>
  </si>
  <si>
    <t>t3.2xlarge</t>
  </si>
  <si>
    <t>t3a.nano</t>
  </si>
  <si>
    <t>April 2019</t>
  </si>
  <si>
    <t>t3a.micro</t>
  </si>
  <si>
    <t>t3a.small</t>
  </si>
  <si>
    <t>t3a.medium</t>
  </si>
  <si>
    <t>t3a.large</t>
  </si>
  <si>
    <t>t3a.xlarge</t>
  </si>
  <si>
    <t>t3a.2xlarge</t>
  </si>
  <si>
    <t>t4g.nano</t>
  </si>
  <si>
    <t>September 2020</t>
  </si>
  <si>
    <t>Baseline Performance / vCPU 5%</t>
  </si>
  <si>
    <t>t4g.micro</t>
  </si>
  <si>
    <t>Baseline Performance / vCPU 10%</t>
  </si>
  <si>
    <t>t4g.small</t>
  </si>
  <si>
    <t>Baseline Performance / vCPU 20%</t>
  </si>
  <si>
    <t>t4g.medium</t>
  </si>
  <si>
    <t>t4g.large</t>
  </si>
  <si>
    <t>Baseline Performance / vCPU 30%</t>
  </si>
  <si>
    <t>t4g.xlarge</t>
  </si>
  <si>
    <t>Baseline Performance / vCPU 40%</t>
  </si>
  <si>
    <t>t4g.2xlarge</t>
  </si>
  <si>
    <t>u-6tb1.metal</t>
  </si>
  <si>
    <t>September 2018</t>
  </si>
  <si>
    <t>Xeon Platinum 8176M</t>
  </si>
  <si>
    <t>Intel Xeon Platinum 8176M (Skylake) processors</t>
  </si>
  <si>
    <t>u-9tb1.metal</t>
  </si>
  <si>
    <t>u-12tb1.metal</t>
  </si>
  <si>
    <t>u-18tb1.metal</t>
  </si>
  <si>
    <t>u-24tb1.metal</t>
  </si>
  <si>
    <t>x1.16xlarge</t>
  </si>
  <si>
    <t>October 2016</t>
  </si>
  <si>
    <t>Xeon E7-8880 v3</t>
  </si>
  <si>
    <t>1 x 1.920 SSD</t>
  </si>
  <si>
    <t>2.3 GHz Intel Xeon E7-8880 v3 Processor (Haswell)</t>
  </si>
  <si>
    <t>x1.32xlarge</t>
  </si>
  <si>
    <t>May 2016</t>
  </si>
  <si>
    <t>2 x 1.920 SSD</t>
  </si>
  <si>
    <t>x1e.xlarge</t>
  </si>
  <si>
    <t>1 x 120 SSD</t>
  </si>
  <si>
    <t>x1e.2xlarge</t>
  </si>
  <si>
    <t>1 x 240 SSD</t>
  </si>
  <si>
    <t>x1e.4xlarge</t>
  </si>
  <si>
    <t>1 x 480 SSD</t>
  </si>
  <si>
    <t>x1e.8xlarge</t>
  </si>
  <si>
    <t>1 x 960 SSD</t>
  </si>
  <si>
    <t>x1e.16xlarge</t>
  </si>
  <si>
    <t>x1e.32xlarge</t>
  </si>
  <si>
    <t>September 2017</t>
  </si>
  <si>
    <t>x2gd.medium</t>
  </si>
  <si>
    <t>March 2021</t>
  </si>
  <si>
    <t>1x59 NVMe SSD</t>
  </si>
  <si>
    <t>x2gd.large</t>
  </si>
  <si>
    <t>1x118 NVMe SSD</t>
  </si>
  <si>
    <t>x2gd.xlarge</t>
  </si>
  <si>
    <t>1x237 NVMe SSD</t>
  </si>
  <si>
    <t>x2gd.2xlarge</t>
  </si>
  <si>
    <t>1x475 NVMe SSD</t>
  </si>
  <si>
    <t>x2gd.4xlarge</t>
  </si>
  <si>
    <t>1x950 NVMe SSD</t>
  </si>
  <si>
    <t>x2gd.8xlarge</t>
  </si>
  <si>
    <t>1x1900 NVMe SSD</t>
  </si>
  <si>
    <t>x2gd.12xlarge</t>
  </si>
  <si>
    <t>2x1425 NVMe SSD</t>
  </si>
  <si>
    <t>x2gd.16xlarge</t>
  </si>
  <si>
    <t>2x1900 NVMe SSD</t>
  </si>
  <si>
    <t>x2gd.metal</t>
  </si>
  <si>
    <t>z1d.large</t>
  </si>
  <si>
    <t>Xeon Platinum 8151</t>
  </si>
  <si>
    <t>Up to 4.0 GHz Intel Xeon Scalable Processors</t>
  </si>
  <si>
    <t>z1d.xlarge</t>
  </si>
  <si>
    <t>z1d.2xlarge</t>
  </si>
  <si>
    <t>z1d.3xlarge</t>
  </si>
  <si>
    <t>1 x 450 NVMe SSD</t>
  </si>
  <si>
    <t>z1d.6xlarge</t>
  </si>
  <si>
    <t>z1d.12xlarge</t>
  </si>
  <si>
    <t>z1d.metal</t>
  </si>
  <si>
    <t>cache.t2.micro</t>
  </si>
  <si>
    <t>cache.t2.small</t>
  </si>
  <si>
    <t>cache.t2.medium</t>
  </si>
  <si>
    <t>cache.t3.micro</t>
  </si>
  <si>
    <t>cache.t3.small</t>
  </si>
  <si>
    <t>cache.t3.medium</t>
  </si>
  <si>
    <t>cache.m3.medium</t>
  </si>
  <si>
    <t>cache.m4.large</t>
  </si>
  <si>
    <t>cache.m4.xlarge</t>
  </si>
  <si>
    <t>cache.m4.2xlarge</t>
  </si>
  <si>
    <t>cache.m4.4xlarge</t>
  </si>
  <si>
    <t>cache.m4.10xlarge</t>
  </si>
  <si>
    <t>cache.m5.large</t>
  </si>
  <si>
    <t>cache.m5.xlarge</t>
  </si>
  <si>
    <t>cache.m5.2xlarge</t>
  </si>
  <si>
    <t>cache.m5.4xlarge</t>
  </si>
  <si>
    <t>cache.m5.12xlarge</t>
  </si>
  <si>
    <t>cache.m5.24xlarge</t>
  </si>
  <si>
    <t>cache.m6g.large</t>
  </si>
  <si>
    <t>cache.m6g.xlarge</t>
  </si>
  <si>
    <t>cache.m6g.2xlarge</t>
  </si>
  <si>
    <t>cache.m6g.4xlarge</t>
  </si>
  <si>
    <t>cache.m6g.8xlarge</t>
  </si>
  <si>
    <t>cache.m6g.12xlarge</t>
  </si>
  <si>
    <t>cache.m6g.16xlarge</t>
  </si>
  <si>
    <t>cache.r3.2xlarge</t>
  </si>
  <si>
    <t>cache.r4.large</t>
  </si>
  <si>
    <t>cache.r4.xlarge</t>
  </si>
  <si>
    <t>cache.r4.2xlarge</t>
  </si>
  <si>
    <t>cache.r4.4xlarge</t>
  </si>
  <si>
    <t>cache.r4.8xlarge</t>
  </si>
  <si>
    <t>cache.r4.16xlarge</t>
  </si>
  <si>
    <t>cache.r5.large</t>
  </si>
  <si>
    <t>cache.r5.xlarge</t>
  </si>
  <si>
    <t>cache.r5.2xlarge</t>
  </si>
  <si>
    <t>cache.r5.4xlarge</t>
  </si>
  <si>
    <t>cache.r5.12xlarge</t>
  </si>
  <si>
    <t>cache.r5.24xlarge</t>
  </si>
  <si>
    <t>cache.r6g.large</t>
  </si>
  <si>
    <t>cache.r6g.xlarge</t>
  </si>
  <si>
    <t>cache.r6g.2xlarge</t>
  </si>
  <si>
    <t>cache.r6g.4xlarge</t>
  </si>
  <si>
    <t>cache.r6g.8xlarge</t>
  </si>
  <si>
    <t>cache.r6g.12xlarge</t>
  </si>
  <si>
    <t>cache.r6g.16xlarge</t>
  </si>
  <si>
    <t>t3.small.elasticsearch</t>
  </si>
  <si>
    <t>t3.medium.elasticsearch</t>
  </si>
  <si>
    <t>t2.micro.elasticsearch</t>
  </si>
  <si>
    <t>t2.small.elasticsearch</t>
  </si>
  <si>
    <t>t2.medium.elasticsearch</t>
  </si>
  <si>
    <t>m5.large.elasticsearch</t>
  </si>
  <si>
    <t>m5.xlarge.elasticsearch</t>
  </si>
  <si>
    <t>m5.2xlarge.elasticsearch</t>
  </si>
  <si>
    <t>m5.4xlarge.elasticsearch</t>
  </si>
  <si>
    <t>m5.12xlarge.elasticsearch</t>
  </si>
  <si>
    <t>m4.large.elasticsearch</t>
  </si>
  <si>
    <t>m4.xlarge.elasticsearch</t>
  </si>
  <si>
    <t>m4.2xlarge.elasticsearch</t>
  </si>
  <si>
    <t>m4.4xlarge.elasticsearch</t>
  </si>
  <si>
    <t>m4.10xlarge.elasticsearch</t>
  </si>
  <si>
    <t>m3.medium.elasticsearch</t>
  </si>
  <si>
    <t>m3.large.elasticsearch</t>
  </si>
  <si>
    <t>m3.xlarge.elasticsearch</t>
  </si>
  <si>
    <t>m3.2xlarge.elasticsearch</t>
  </si>
  <si>
    <t>c5.large.elasticsearch</t>
  </si>
  <si>
    <t>c5.xlarge.elasticsearch</t>
  </si>
  <si>
    <t>c5.2xlarge.elasticsearch</t>
  </si>
  <si>
    <t>c5.4xlarge.elasticsearch</t>
  </si>
  <si>
    <t>c5.9xlarge.elasticsearch</t>
  </si>
  <si>
    <t>c5.18xlarge.elasticsearch</t>
  </si>
  <si>
    <t>c4.large.elasticsearch</t>
  </si>
  <si>
    <t>c4.xlarge.elasticsearch</t>
  </si>
  <si>
    <t>c4.2xlarge.elasticsearch</t>
  </si>
  <si>
    <t>c4.4xlarge.elasticsearch</t>
  </si>
  <si>
    <t>c4.8xlarge.elasticsearch</t>
  </si>
  <si>
    <t>r5.large.elasticsearch</t>
  </si>
  <si>
    <t>r5.xlarge.elasticsearch</t>
  </si>
  <si>
    <t>r5.2xlarge.elasticsearch</t>
  </si>
  <si>
    <t>r5.4xlarge.elasticsearch</t>
  </si>
  <si>
    <t>r5.12xlarge.elasticsearch</t>
  </si>
  <si>
    <t>r4.large.elasticsearch</t>
  </si>
  <si>
    <t>r4.xlarge.elasticsearch</t>
  </si>
  <si>
    <t>r4.2xlarge.elasticsearch</t>
  </si>
  <si>
    <t>r4.4xlarge.elasticsearch</t>
  </si>
  <si>
    <t>r4.8xlarge.elasticsearch</t>
  </si>
  <si>
    <t>r4.16xlarge.elasticsearch</t>
  </si>
  <si>
    <t>r3.large.elasticsearch</t>
  </si>
  <si>
    <t>r3.xlarge.elasticsearch</t>
  </si>
  <si>
    <t>r3.2xlarge.elasticsearch</t>
  </si>
  <si>
    <t>r3.4xlarge.elasticsearch</t>
  </si>
  <si>
    <t>r3.8xlarge.elasticsearch</t>
  </si>
  <si>
    <t>i3.large.elasticsearch</t>
  </si>
  <si>
    <t>1 x 475 (SSD NVMe)</t>
  </si>
  <si>
    <t>Intel Xeon E5-2686 v4 (Broadwell)</t>
  </si>
  <si>
    <t>i3.xlarge.elasticsearch</t>
  </si>
  <si>
    <t>1 x 950 (SSD NVMe)</t>
  </si>
  <si>
    <t>i3.2xlarge.elasticsearch</t>
  </si>
  <si>
    <t>1 x 1 900 (SSD NVMe)</t>
  </si>
  <si>
    <t>i3.4xlarge.elasticsearch</t>
  </si>
  <si>
    <t>2 x 1 900 (SSD NVMe)</t>
  </si>
  <si>
    <t>i3.8xlarge.elasticsearch</t>
  </si>
  <si>
    <t>4 x 1 900 (SSD NVMe)</t>
  </si>
  <si>
    <t>i3.16xlarge.elasticsearch</t>
  </si>
  <si>
    <t>8 x 1 900 (SSD NVMe)</t>
  </si>
  <si>
    <t>i2.xlarge.elasticsearch</t>
  </si>
  <si>
    <t>i2.2xlarge.elasticsearch</t>
  </si>
  <si>
    <t>m6g.large.elasticsearch</t>
  </si>
  <si>
    <t>m6g.xlarge.elasticsearch</t>
  </si>
  <si>
    <t>m6g.2xlarge.elasticsearch</t>
  </si>
  <si>
    <t>m6g.4xlarge.elasticsearch</t>
  </si>
  <si>
    <t>m6g.8xlarge.elasticsearch</t>
  </si>
  <si>
    <t>m6g.12xlarge.elasticsearch</t>
  </si>
  <si>
    <t>c6g.large.elasticsearch</t>
  </si>
  <si>
    <t>c6g.xlarge.elasticsearch</t>
  </si>
  <si>
    <t>c6g.2xlarge.elasticsearch</t>
  </si>
  <si>
    <t>c6g.4xlarge.elasticsearch</t>
  </si>
  <si>
    <t>c6g.8xlarge.elasticsearch</t>
  </si>
  <si>
    <t>c6g.12xlarge.elasticsearch</t>
  </si>
  <si>
    <t>r6g.large.elasticsearch</t>
  </si>
  <si>
    <t>r6g.xlarge.elasticsearch</t>
  </si>
  <si>
    <t>r6g.2xlarge.elasticsearch</t>
  </si>
  <si>
    <t>r6g.4xlarge.elasticsearch</t>
  </si>
  <si>
    <t>r6g.8xlarge.elasticsearch</t>
  </si>
  <si>
    <t>r6g.12xlarge.elasticsearch</t>
  </si>
  <si>
    <t>r6gd.large.elasticsearch</t>
  </si>
  <si>
    <t>r6gd.xlarge.elasticsearch</t>
  </si>
  <si>
    <t>r6gd.2xlarge.elasticsearch</t>
  </si>
  <si>
    <t>r6gd.4xlarge.elasticsearch</t>
  </si>
  <si>
    <t>r6gd.8xlarge.elasticsearch</t>
  </si>
  <si>
    <t>r6gd.12xlarge.elasticsearch</t>
  </si>
  <si>
    <t>r6gd.16xlarge.elasticsearch</t>
  </si>
  <si>
    <t>db.m6g.large</t>
  </si>
  <si>
    <t>db.m6g.xlarge</t>
  </si>
  <si>
    <t>db.m6g.2xlarge</t>
  </si>
  <si>
    <t>db.m6g.4xlarge</t>
  </si>
  <si>
    <t>db.m6g.8xlarge</t>
  </si>
  <si>
    <t>db.m6g.12xlarge</t>
  </si>
  <si>
    <t>db.m6g.16xlarge</t>
  </si>
  <si>
    <t>db.m5.large</t>
  </si>
  <si>
    <t>db.m5.xlarge</t>
  </si>
  <si>
    <t>db.m5.2xlarge</t>
  </si>
  <si>
    <t>db.m5.4xlarge</t>
  </si>
  <si>
    <t>db.m5.8xlarge</t>
  </si>
  <si>
    <t>db.m5.12xlarge</t>
  </si>
  <si>
    <t>db.m5.16xlarge</t>
  </si>
  <si>
    <t>db.m5.24xlarge</t>
  </si>
  <si>
    <t>db.m4.large</t>
  </si>
  <si>
    <t>db.m4.xlarge</t>
  </si>
  <si>
    <t>db.m4.2xlarge</t>
  </si>
  <si>
    <t>db.m4.4xlarge</t>
  </si>
  <si>
    <t>db.m4.10xlarge</t>
  </si>
  <si>
    <t>db.m4.16xlarge</t>
  </si>
  <si>
    <t>db.m3.medium</t>
  </si>
  <si>
    <t>db.m3.large</t>
  </si>
  <si>
    <t>db.m3.xlarge</t>
  </si>
  <si>
    <t>db.m3.2xlarge</t>
  </si>
  <si>
    <t>db.m1.small</t>
  </si>
  <si>
    <t>db.m1.medium</t>
  </si>
  <si>
    <t>db.m1.large</t>
  </si>
  <si>
    <t>db.m1.xlarge</t>
  </si>
  <si>
    <t>db.z1d.12xlarge</t>
  </si>
  <si>
    <t>db.z1d.large</t>
  </si>
  <si>
    <t>db.z1d.xlarge</t>
  </si>
  <si>
    <t>db.z1d.2xlarge</t>
  </si>
  <si>
    <t>db.z1d.3xlarge</t>
  </si>
  <si>
    <t>db.z1d.6xlarge</t>
  </si>
  <si>
    <t>db.x1e.xlarge</t>
  </si>
  <si>
    <t>db.x1e.2xlarge</t>
  </si>
  <si>
    <t>db.x1e.4xlarge</t>
  </si>
  <si>
    <t>db.x1e.8xlarge</t>
  </si>
  <si>
    <t>db.x1e.16xlarge</t>
  </si>
  <si>
    <t>db.x1e.32xlarge</t>
  </si>
  <si>
    <t>db.x1.32xlarge</t>
  </si>
  <si>
    <t>db.x1.16xlarge</t>
  </si>
  <si>
    <t>db.r6g.large</t>
  </si>
  <si>
    <t>db.r6g.xlarge</t>
  </si>
  <si>
    <t>db.r6g.2xlarge</t>
  </si>
  <si>
    <t>db.r6g.4xlarge</t>
  </si>
  <si>
    <t>db.r6g.12xlarge</t>
  </si>
  <si>
    <t>db.r6g.16xlarge</t>
  </si>
  <si>
    <t>db.r5.large</t>
  </si>
  <si>
    <t>db.r5.xlarge</t>
  </si>
  <si>
    <t>db.r5.2xlarge</t>
  </si>
  <si>
    <t>db.r5.4xlarge</t>
  </si>
  <si>
    <t>db.r5.8xlarge</t>
  </si>
  <si>
    <t>db.r5.12xlarge</t>
  </si>
  <si>
    <t>db.r5.16xlarge</t>
  </si>
  <si>
    <t>db.r5.24xlarge</t>
  </si>
  <si>
    <t>db.r4.large</t>
  </si>
  <si>
    <t>db.r4.xlarge</t>
  </si>
  <si>
    <t>db.r4.2xlarge</t>
  </si>
  <si>
    <t>db.r4.4xlarge</t>
  </si>
  <si>
    <t>db.r4.8xlarge</t>
  </si>
  <si>
    <t>db.r4.16xlarge</t>
  </si>
  <si>
    <t>db.r3.large</t>
  </si>
  <si>
    <t>db.r3.xlarge</t>
  </si>
  <si>
    <t>db.r3.2xlarge</t>
  </si>
  <si>
    <t>db.r3.4xlarge</t>
  </si>
  <si>
    <t>db.r3.8xlarge</t>
  </si>
  <si>
    <t>db.m2.xlarge</t>
  </si>
  <si>
    <t>db.m2.2xlarge</t>
  </si>
  <si>
    <t>db.m2.4xlarge</t>
  </si>
  <si>
    <t>db.t3.micro</t>
  </si>
  <si>
    <t>db.t3.small</t>
  </si>
  <si>
    <t>db.t3.medium</t>
  </si>
  <si>
    <t>db.t3.large</t>
  </si>
  <si>
    <t>db.t3.xlarge</t>
  </si>
  <si>
    <t>db.t3.2xlarge</t>
  </si>
  <si>
    <t>db.t2.micro</t>
  </si>
  <si>
    <t>db.t2.small</t>
  </si>
  <si>
    <t>db.t2.medium</t>
  </si>
  <si>
    <t>db.t2.large</t>
  </si>
  <si>
    <t>db.t2.xlarge</t>
  </si>
  <si>
    <t>db.t2.2xlarge</t>
  </si>
  <si>
    <t>Product</t>
  </si>
  <si>
    <t>CPU Specifications</t>
  </si>
  <si>
    <t>Test Options</t>
  </si>
  <si>
    <t>CPU Package Consumption (in Watts)</t>
  </si>
  <si>
    <t>Memory Consumption (in Watts)</t>
  </si>
  <si>
    <t>Temperature (in °C)</t>
  </si>
  <si>
    <t>Vendor</t>
  </si>
  <si>
    <t>Product Name</t>
  </si>
  <si>
    <t>Region</t>
  </si>
  <si>
    <t>Test Date</t>
  </si>
  <si>
    <t>Total Number of vCPU</t>
  </si>
  <si>
    <t>Memory Quantity (in GB)</t>
  </si>
  <si>
    <t>Number of CPU</t>
  </si>
  <si>
    <t>CPU Vendor</t>
  </si>
  <si>
    <t>CPU name</t>
  </si>
  <si>
    <t>CPU Launch Year</t>
  </si>
  <si>
    <t>CPU Total Cores</t>
  </si>
  <si>
    <t>CPU Total Threads</t>
  </si>
  <si>
    <t>CPU Base Frequency (in GHz)</t>
  </si>
  <si>
    <t>CPU Max Frequency (in GHz)</t>
  </si>
  <si>
    <t>CPU Cache L3 (in MB)</t>
  </si>
  <si>
    <t>CPU TDP L1 (in Watts)</t>
  </si>
  <si>
    <t>Turbostress repeat</t>
  </si>
  <si>
    <t>PkgWatt Idle</t>
  </si>
  <si>
    <t>PkgWatt CPUStress 10%</t>
  </si>
  <si>
    <t>PkgWatt CPUStress 20%</t>
  </si>
  <si>
    <t>PkgWatt CPUStress 30%</t>
  </si>
  <si>
    <t>PkgWatt CPUStress 40%</t>
  </si>
  <si>
    <t>PkgWatt CPUStress 50%</t>
  </si>
  <si>
    <t>PkgWatt CPUStress 60%</t>
  </si>
  <si>
    <t>PkgWatt CPUStress 70%</t>
  </si>
  <si>
    <t>PkgWatt CPUStress 80%</t>
  </si>
  <si>
    <t>PkgWatt CPUStress 90%</t>
  </si>
  <si>
    <t>PkgWatt CPUStress 100%</t>
  </si>
  <si>
    <t>PkgWatt ipsec 100%</t>
  </si>
  <si>
    <t>PkgWatt VMStress 100%</t>
  </si>
  <si>
    <t>PkgWatt maximize 100%</t>
  </si>
  <si>
    <t>PkgWatt Average 100%</t>
  </si>
  <si>
    <t>RAMWatt Idle</t>
  </si>
  <si>
    <t>RAMWatt CPUStress 10%</t>
  </si>
  <si>
    <t>RAMWatt CPUStress 20%</t>
  </si>
  <si>
    <t>RAMWatt CPUStress 30%</t>
  </si>
  <si>
    <t>RAMWatt CPUStress 40%</t>
  </si>
  <si>
    <t>RAMWatt CPUStress 50%</t>
  </si>
  <si>
    <t>RAMWatt CPUStress 60%</t>
  </si>
  <si>
    <t>RAMWatt CPUStress 70%</t>
  </si>
  <si>
    <t>RAMWatt CPUStress 80%</t>
  </si>
  <si>
    <t>RAMWatt CPUStress 90%</t>
  </si>
  <si>
    <t>RAMWatt CPUStress 100%</t>
  </si>
  <si>
    <t>RAMWatt ipsec 100%</t>
  </si>
  <si>
    <t>RAMWatt VMStress 100%</t>
  </si>
  <si>
    <t>RAMWatt maximize 100%</t>
  </si>
  <si>
    <t>PkgTmp Idle</t>
  </si>
  <si>
    <t>PkgTmp CPUStress 10%</t>
  </si>
  <si>
    <t>PkgTmp CPUStress 20%</t>
  </si>
  <si>
    <t>PkgTmp CPUStress 30%</t>
  </si>
  <si>
    <t>PkgTmp CPUStress 40%</t>
  </si>
  <si>
    <t>PkgTmp CPUStress 50%</t>
  </si>
  <si>
    <t>PkgTmp CPUStress 60%</t>
  </si>
  <si>
    <t>PkgTmp CPUStress 70%</t>
  </si>
  <si>
    <t>PkgTmp CPUStress 80%</t>
  </si>
  <si>
    <t>PkgTmp CPUStress 90%</t>
  </si>
  <si>
    <t>PkgTmp CPUStress 100%</t>
  </si>
  <si>
    <t>PkgTmp ipsec 100%</t>
  </si>
  <si>
    <t>PkgTmp VMStress 100%</t>
  </si>
  <si>
    <t>PkgTmp maximize 100%</t>
  </si>
  <si>
    <t>AWS</t>
  </si>
  <si>
    <t>Oregon</t>
  </si>
  <si>
    <t>Intel</t>
  </si>
  <si>
    <t>3,4</t>
  </si>
  <si>
    <t>24,75</t>
  </si>
  <si>
    <t>c5.metal (underclocked)</t>
  </si>
  <si>
    <t>North Virginia</t>
  </si>
  <si>
    <t>Xeon Platinum 8275CL*</t>
  </si>
  <si>
    <t>3,9</t>
  </si>
  <si>
    <t>35,75</t>
  </si>
  <si>
    <t>Paris</t>
  </si>
  <si>
    <t>c5.metal*</t>
  </si>
  <si>
    <t>r5.metal (underclocked)</t>
  </si>
  <si>
    <t>Xeon Platinum 8175M*</t>
  </si>
  <si>
    <t>2,5</t>
  </si>
  <si>
    <t>3,5</t>
  </si>
  <si>
    <t>m5.metal (underclocked)</t>
  </si>
  <si>
    <t>Xeon Platinum 8259CL*</t>
  </si>
  <si>
    <t>24,8</t>
  </si>
  <si>
    <t>3,8</t>
  </si>
  <si>
    <t>4,5</t>
  </si>
  <si>
    <t>Scaleway</t>
  </si>
  <si>
    <t>GP-BM1-S</t>
  </si>
  <si>
    <t>Xeon E3 1240v6</t>
  </si>
  <si>
    <t>3,7</t>
  </si>
  <si>
    <t>4,1</t>
  </si>
  <si>
    <t>HC-BM1-XS</t>
  </si>
  <si>
    <t>Xeon Silver 4114</t>
  </si>
  <si>
    <t>2,2</t>
  </si>
  <si>
    <t>13,75</t>
  </si>
  <si>
    <t>HC-BM1-L</t>
  </si>
  <si>
    <t>Xeon Gold 5120</t>
  </si>
  <si>
    <t>Hardbricks (on premise)</t>
  </si>
  <si>
    <t>HP DL380 Gen8</t>
  </si>
  <si>
    <t>Xeon E5-2660</t>
  </si>
  <si>
    <t>HP DL380 Gen10</t>
  </si>
  <si>
    <t>Xeon Silver 4210R</t>
  </si>
  <si>
    <t>Lenovo ST550</t>
  </si>
  <si>
    <t>Xeon Silver 4110</t>
  </si>
  <si>
    <t>Equinix</t>
  </si>
  <si>
    <t>c3.small.x86</t>
  </si>
  <si>
    <t>Xeon E-2278G</t>
  </si>
  <si>
    <t>s3.xlarge.x86</t>
  </si>
  <si>
    <t>Xeon Silver 4214</t>
  </si>
  <si>
    <t>n2.xlarge.x86</t>
  </si>
  <si>
    <t>Xeon Gold 5218</t>
  </si>
  <si>
    <t>Cherry Servers</t>
  </si>
  <si>
    <t>2xIntelGold6230R</t>
  </si>
  <si>
    <t>Xeon Gold 6230R</t>
  </si>
  <si>
    <t>GP-BM1-L</t>
  </si>
  <si>
    <t>AMD</t>
  </si>
  <si>
    <t>EPYC 7281</t>
  </si>
  <si>
    <t>2,1</t>
  </si>
  <si>
    <t>2,7</t>
  </si>
  <si>
    <t>manual</t>
  </si>
  <si>
    <t>HM-BM1-XL</t>
  </si>
  <si>
    <t>Xeon Gold 6140</t>
  </si>
  <si>
    <t>pending</t>
  </si>
  <si>
    <t>CPU Name</t>
  </si>
  <si>
    <t>Platform Number of CPU Socket(s)</t>
  </si>
  <si>
    <t>Total Number of vCPU per socket</t>
  </si>
  <si>
    <t>Turbostress Data Available</t>
  </si>
  <si>
    <t>RAMWatt per GB @ Idle</t>
  </si>
  <si>
    <t>RAMWatt per GB @ Low Workload</t>
  </si>
  <si>
    <t>RAMWatt per GB @ Medium Workload</t>
  </si>
  <si>
    <t>RAMWatt per GB @ High Workload</t>
  </si>
  <si>
    <t>Delta Ratio in Watts for full machine estimation</t>
  </si>
  <si>
    <t>Comment</t>
  </si>
  <si>
    <t>Average Consumption per Watt TDP (AWS Platforms only)</t>
  </si>
  <si>
    <t>Arbitrary Ratio for full machine estimation (CPU TDP %)</t>
  </si>
  <si>
    <t>Consumption based on Xeon E5-2686 v4</t>
  </si>
  <si>
    <t>Memory Consumption isn't properly measured on this CPU generation</t>
  </si>
  <si>
    <t>Only 32/36 active vCPU per socket - Consumption based on Xeon E5-2686 v4</t>
  </si>
  <si>
    <t>Consumption based on 8175M</t>
  </si>
  <si>
    <t>Unofficial TDP</t>
  </si>
  <si>
    <r>
      <rPr>
        <color rgb="FF1155CC"/>
        <u/>
      </rPr>
      <t>Unofficial TDP</t>
    </r>
    <r>
      <rPr/>
      <t xml:space="preserve"> - Only 48/64 active vCPU per socket - Consumption based on average per W TDP (column R)</t>
    </r>
  </si>
  <si>
    <t>Consumption based on average per W TDP (column R)</t>
  </si>
  <si>
    <r>
      <rPr>
        <color rgb="FF1155CC"/>
        <u/>
      </rPr>
      <t>Estimated TDP based on ARM Cosmos Cortex-A72 specifications</t>
    </r>
    <r>
      <rPr/>
      <t xml:space="preserve"> - Consumption based on average per W TDP (column R)</t>
    </r>
  </si>
  <si>
    <r>
      <rPr>
        <color rgb="FF1155CC"/>
        <u/>
      </rPr>
      <t>Estimated TDP based on ARM Neoverse N1 specifications</t>
    </r>
    <r>
      <rPr>
        <color rgb="FF000000"/>
      </rPr>
      <t xml:space="preserve"> - Consumption based on average per W TDP (column R)</t>
    </r>
  </si>
  <si>
    <t>Platform</t>
  </si>
  <si>
    <t>RAMWatt 10% CPU load</t>
  </si>
  <si>
    <t>RAMWatt Max</t>
  </si>
  <si>
    <t>Watt/GB idle</t>
  </si>
  <si>
    <t>Watt/GB low workload</t>
  </si>
  <si>
    <t>Watt/GB medium workload</t>
  </si>
  <si>
    <t>Watt/GB max workload</t>
  </si>
  <si>
    <t>DIMM Specifications</t>
  </si>
  <si>
    <t>#DIMM</t>
  </si>
  <si>
    <t>Arbitrary Watt per GB</t>
  </si>
  <si>
    <t>Hynix HMA82GR7JJR8N-WM</t>
  </si>
  <si>
    <t>Average 192 GB machines</t>
  </si>
  <si>
    <t>Average 256 GB machines</t>
  </si>
  <si>
    <t>Average 384 GB machines</t>
  </si>
  <si>
    <t>768 GB machines</t>
  </si>
  <si>
    <t>Manufacturer</t>
  </si>
  <si>
    <t>Name</t>
  </si>
  <si>
    <t>GPU Memory (in GB)</t>
  </si>
  <si>
    <t>GPU TDP L1 (in Watts)</t>
  </si>
  <si>
    <t>Released</t>
  </si>
  <si>
    <t>GPUWatt Idle</t>
  </si>
  <si>
    <t>GPUWatt 10%</t>
  </si>
  <si>
    <t>GPUWatt 50%</t>
  </si>
  <si>
    <t>GPUWatt 100%</t>
  </si>
  <si>
    <t>NVIDIA</t>
  </si>
  <si>
    <t>Aug 30th, 2015</t>
  </si>
  <si>
    <t>Power consumption estimated based on CPU ratios</t>
  </si>
  <si>
    <t>Sep 13th, 2018</t>
  </si>
  <si>
    <t>Dec 1st, 2020</t>
  </si>
  <si>
    <t>Nov 17th, 2014</t>
  </si>
  <si>
    <t>Jun 21st, 2017</t>
  </si>
  <si>
    <t>May 14th, 2020</t>
  </si>
  <si>
    <t>Jul 23rd, 2013</t>
  </si>
  <si>
    <t>Ratio</t>
  </si>
  <si>
    <t>Value</t>
  </si>
  <si>
    <t>Manufacturing emissions for a mono socket, low DRAM, no local storage commodity rack server (kgCO₂eq)</t>
  </si>
  <si>
    <t>Arbitrary number based on available LCA (Life Cycle Assessment) data</t>
  </si>
  <si>
    <t>Commodity rack server lifespan (years)</t>
  </si>
  <si>
    <t>This is the lifespan value used in main server LCA found</t>
  </si>
  <si>
    <t>Hourly manufacturing emissions conversion factor - linearly ammortised (convert to gCO₂eq/hour)</t>
  </si>
  <si>
    <t>Computed value to be reused to convert overall manufacturing emissions in kgCO₂eq into hourly emissions in gCO₂eq</t>
  </si>
  <si>
    <t>DRAM Threshold to unlock additional Scope 3 emissions (GB)</t>
  </si>
  <si>
    <t>Arbitrary number based on Dell product carbon footprint documents</t>
  </si>
  <si>
    <t>Manufacturing emissions for the threshold DRAM amount (kgCO₂eq)</t>
  </si>
  <si>
    <t>Number based on available LCA data</t>
  </si>
  <si>
    <t>Manufacturing emissions per additional CPU (kgCO₂eq)</t>
  </si>
  <si>
    <t>Manufacturing emissions per additionnal HDD (kgCO₂eq)</t>
  </si>
  <si>
    <t>Manufacturing emissions per additionnal SSD (kgCO₂eq)</t>
  </si>
  <si>
    <t>Manufacturing emissions per additionnal GPU Card (kgCO₂eq)</t>
  </si>
  <si>
    <t>Arbitrary number, no precise LCA data found for GPU, estimation roughtly based on CPU and DRAM emissions</t>
  </si>
  <si>
    <t>Region Name</t>
  </si>
  <si>
    <t>Country</t>
  </si>
  <si>
    <t>NERC Region</t>
  </si>
  <si>
    <t>CO2e (metric gram/kWh)</t>
  </si>
  <si>
    <t>Source</t>
  </si>
  <si>
    <t>Dataset Source</t>
  </si>
  <si>
    <t>us-east-1</t>
  </si>
  <si>
    <t>US East (N. Virginia)</t>
  </si>
  <si>
    <t>United States</t>
  </si>
  <si>
    <t>SERC</t>
  </si>
  <si>
    <t>EPA</t>
  </si>
  <si>
    <t>https://github.com/cloud-carbon-footprint/cloud-carbon-footprint/blob/075dfafa0333734f31519cf2e4c5725be6fa6c38/microsite/docs/Methodology.md</t>
  </si>
  <si>
    <t>us-east-2</t>
  </si>
  <si>
    <t>US East (Ohio)</t>
  </si>
  <si>
    <t>RFC</t>
  </si>
  <si>
    <t>us-west-1</t>
  </si>
  <si>
    <t>US West (N. California)</t>
  </si>
  <si>
    <t>WECC</t>
  </si>
  <si>
    <t>us-west-2</t>
  </si>
  <si>
    <t>US West (Oregon)</t>
  </si>
  <si>
    <t>af-south-1</t>
  </si>
  <si>
    <t>Africa (Cape Town)</t>
  </si>
  <si>
    <t>South Africa</t>
  </si>
  <si>
    <t>carbonfootprint.com</t>
  </si>
  <si>
    <t>ap-east-1</t>
  </si>
  <si>
    <t>Asia Pacific (Hong Kong)</t>
  </si>
  <si>
    <t>Hong Kong</t>
  </si>
  <si>
    <t>ap-south-1</t>
  </si>
  <si>
    <t>Asia Pacific (Mumbai)</t>
  </si>
  <si>
    <t>India</t>
  </si>
  <si>
    <t>ap-northeast-3</t>
  </si>
  <si>
    <t>Asia Pacific (Osaka)</t>
  </si>
  <si>
    <t>Japan</t>
  </si>
  <si>
    <t>ap-northeast-2</t>
  </si>
  <si>
    <t>Asia Pacific (Seoul)</t>
  </si>
  <si>
    <t>South Korea</t>
  </si>
  <si>
    <t>ap-southeast-1</t>
  </si>
  <si>
    <t>Asia Pacific (Singapore)</t>
  </si>
  <si>
    <t>Singapore</t>
  </si>
  <si>
    <t>EMA Singapore</t>
  </si>
  <si>
    <t>ap-southeast-2</t>
  </si>
  <si>
    <t>Asia Pacific (Sydney)</t>
  </si>
  <si>
    <t>Australia</t>
  </si>
  <si>
    <t>ap-northeast-1</t>
  </si>
  <si>
    <t>Asia Pacific (Tokyo)</t>
  </si>
  <si>
    <t>ca-central-1</t>
  </si>
  <si>
    <t>Canada (Central)</t>
  </si>
  <si>
    <t>Canada</t>
  </si>
  <si>
    <t>cn-north-1</t>
  </si>
  <si>
    <t>China (Beijing)</t>
  </si>
  <si>
    <t>China</t>
  </si>
  <si>
    <t>cn-northwest-1</t>
  </si>
  <si>
    <t>China (Ningxia)</t>
  </si>
  <si>
    <t>eu-central-1</t>
  </si>
  <si>
    <t>Europe (Frankfurt)</t>
  </si>
  <si>
    <t>Germany</t>
  </si>
  <si>
    <t>EEA</t>
  </si>
  <si>
    <t>eu-west-1</t>
  </si>
  <si>
    <t>Europe (Ireland)</t>
  </si>
  <si>
    <t>Ireland</t>
  </si>
  <si>
    <t>eu-west-2</t>
  </si>
  <si>
    <t>Europe (London)</t>
  </si>
  <si>
    <t>England</t>
  </si>
  <si>
    <t>eu-south-1</t>
  </si>
  <si>
    <t>Europe (Milan)</t>
  </si>
  <si>
    <t>Italy</t>
  </si>
  <si>
    <t>eu-west-3</t>
  </si>
  <si>
    <t>France</t>
  </si>
  <si>
    <t>eu-north-1</t>
  </si>
  <si>
    <t>Europe (Stockholm)</t>
  </si>
  <si>
    <t>Sweden</t>
  </si>
  <si>
    <t>me-south-1</t>
  </si>
  <si>
    <t>Middle East (Bahrain)</t>
  </si>
  <si>
    <t>Bahrain</t>
  </si>
  <si>
    <t>sa-east-1</t>
  </si>
  <si>
    <t>South America (São Paulo)</t>
  </si>
  <si>
    <t>Brazil</t>
  </si>
  <si>
    <t>Sources</t>
  </si>
  <si>
    <t>Lifetime</t>
  </si>
  <si>
    <t>kgCO2eq (total)</t>
  </si>
  <si>
    <t>Use Location</t>
  </si>
  <si>
    <t>Use (%)</t>
  </si>
  <si>
    <t>Yearly TEC (kWh)</t>
  </si>
  <si>
    <t>Assembly Location</t>
  </si>
  <si>
    <t>Manufacturing</t>
  </si>
  <si>
    <t>Date</t>
  </si>
  <si>
    <t>Server Type</t>
  </si>
  <si>
    <t>Weight (kg)</t>
  </si>
  <si>
    <t>Storage</t>
  </si>
  <si>
    <t>Memory (GB)</t>
  </si>
  <si>
    <t>CPU</t>
  </si>
  <si>
    <t>Manufacturing Footprint (kgCO2eq)</t>
  </si>
  <si>
    <t>Dell</t>
  </si>
  <si>
    <t>https://i.dell.com/sites/csdocuments/CorpComm_Docs/en/carbon-footprint-poweredge-c4130.pdf</t>
  </si>
  <si>
    <t>EU</t>
  </si>
  <si>
    <t>PowerEdge C4130</t>
  </si>
  <si>
    <t>Rack</t>
  </si>
  <si>
    <t>x1 200GB 1,8" SSD</t>
  </si>
  <si>
    <t>https://i.dell.com/sites/csdocuments/CorpComm_Docs/en/carbon-footprint-poweredge-c4140.pdf</t>
  </si>
  <si>
    <t>PowerEdge C4140</t>
  </si>
  <si>
    <t>No Hard Drive</t>
  </si>
  <si>
    <t>https://i.dell.com/sites/csdocuments/CorpComm_Docs/en/carbon-footprint-poweredge-c6420.pdf</t>
  </si>
  <si>
    <t>PowerEdge C6420</t>
  </si>
  <si>
    <t>x4 2,5" HDD Blank</t>
  </si>
  <si>
    <t>https://i.dell.com/sites/csdocuments/CorpComm_Docs/en/carbon-footprint-poweredge-fc430.pdf</t>
  </si>
  <si>
    <t>PowerEdge FC430</t>
  </si>
  <si>
    <t>Blade</t>
  </si>
  <si>
    <t>x2 200GB SSD 1,8"</t>
  </si>
  <si>
    <t>https://i.dell.com/sites/csdocuments/CorpComm_Docs/en/carbon-footprint-poweredge-fc630.pdf</t>
  </si>
  <si>
    <t>PowerEdge FC630</t>
  </si>
  <si>
    <t>x2 300GB 2,5" HDD</t>
  </si>
  <si>
    <t>https://i.dell.com/sites/csdocuments/CorpComm_Docs/en/carbon-footprint-poweredge-fc640.pdf</t>
  </si>
  <si>
    <t>PowerEdge FC640</t>
  </si>
  <si>
    <t>https://i.dell.com/sites/csdocuments/CorpComm_Docs/en/carbon-footprint-poweredge-fc830.pdf</t>
  </si>
  <si>
    <t>PowerEdge FC830</t>
  </si>
  <si>
    <t>https://i.dell.com/sites/csdocuments/CorpComm_Docs/en/carbon-footprint-poweredge-m630.pdf</t>
  </si>
  <si>
    <t>PowerEdge M630</t>
  </si>
  <si>
    <t>January 2019</t>
  </si>
  <si>
    <t>https://i.dell.com/sites/csdocuments/CorpComm_Docs/en/carbon-footprint-poweredge-m640.pdf</t>
  </si>
  <si>
    <t>PowerEdge M640</t>
  </si>
  <si>
    <t>x2 480GB 2,5" HDD</t>
  </si>
  <si>
    <t>https://i.dell.com/sites/csdocuments/CorpComm_Docs/en/carbon-footprint-poweredge-m830.pdf</t>
  </si>
  <si>
    <t>PowerEdge M830</t>
  </si>
  <si>
    <t>https://i.dell.com/sites/csdocuments/CorpComm_Docs/en/carbon-footprint-poweredge-r230.pdf</t>
  </si>
  <si>
    <t>PowerEdge R230</t>
  </si>
  <si>
    <t>x2 1TB 2,5" HDD</t>
  </si>
  <si>
    <t>https://i.dell.com/sites/csdocuments/CorpComm_Docs/en/carbon-footprint-poweredge-r240.pdf</t>
  </si>
  <si>
    <t>PowerEdge R240</t>
  </si>
  <si>
    <t>x2 1TB 3,5" HDD</t>
  </si>
  <si>
    <t>https://i.dell.com/sites/csdocuments/CorpComm_Docs/en/carbon-footprint-poweredge-r330.pdf</t>
  </si>
  <si>
    <t>PowerEdge R330</t>
  </si>
  <si>
    <t>https://i.dell.com/sites/csdocuments/CorpComm_Docs/en/carbon-footprint-poweredge-r340.pdf</t>
  </si>
  <si>
    <t>PowerEdge R340</t>
  </si>
  <si>
    <t>https://i.dell.com/sites/csdocuments/CorpComm_Docs/en/carbon-footprint-poweredge-r430.pdf</t>
  </si>
  <si>
    <t>PowerEdge R430</t>
  </si>
  <si>
    <t>https://i.dell.com/sites/csdocuments/CorpComm_Docs/en/carbon-footprint-poweredge-r440.pdf</t>
  </si>
  <si>
    <t>PowerEdge R440</t>
  </si>
  <si>
    <t>x2 1,2TB 2,5" HDD</t>
  </si>
  <si>
    <t>https://i.dell.com/sites/csdocuments/CorpComm_Docs/en/carbon-footprint-poweredge-r540.pdf</t>
  </si>
  <si>
    <t>PowerEdge R540</t>
  </si>
  <si>
    <t>x4 2TB 3,5" HDD</t>
  </si>
  <si>
    <t>https://i.dell.com/sites/csdocuments/CorpComm_Docs/en/carbon-footprint-poweredge-r630.pdf</t>
  </si>
  <si>
    <t>PowerEdge R630</t>
  </si>
  <si>
    <t>x4 1,2TB 2,5" HDD</t>
  </si>
  <si>
    <t>https://i.dell.com/sites/csdocuments/CorpComm_Docs/en/carbon-footprint-poweredge-r640.pdf</t>
  </si>
  <si>
    <t>PowerEdge R640</t>
  </si>
  <si>
    <t>x4 300GB 2,5" HDD</t>
  </si>
  <si>
    <t>https://i.dell.com/sites/csdocuments/CorpComm_Docs/en/carbon-footprint-poweredge-r730.pdf</t>
  </si>
  <si>
    <t>PowerEdge R730</t>
  </si>
  <si>
    <t>https://i.dell.com/sites/csdocuments/CorpComm_Docs/en/carbon-footprint-poweredge-r730xd.pdf</t>
  </si>
  <si>
    <t>PowerEdge R730XD</t>
  </si>
  <si>
    <t>x2 300GB 2,5" HDD x6 1TB 2,5" HDD</t>
  </si>
  <si>
    <t>https://i.dell.com/sites/csdocuments/CorpComm_Docs/en/carbon-footprint-poweredge-r740.pdf</t>
  </si>
  <si>
    <t>PowerEdge R740</t>
  </si>
  <si>
    <t>x2 300GB 2,5" HDD x1 1TB 2,5" HDD</t>
  </si>
  <si>
    <t>https://i.dell.com/sites/csdocuments/CorpComm_Docs/en/carbon-footprint-poweredge-r740xd.pdf</t>
  </si>
  <si>
    <t>PowerEdge R740XD</t>
  </si>
  <si>
    <t>x4 1TB 2,5" HDD x2 120GB 2,5" SSD</t>
  </si>
  <si>
    <t>https://i.dell.com/sites/csdocuments/CorpComm_Docs/en/carbon-footprint-poweredge-r830.pdf</t>
  </si>
  <si>
    <t>PowerEdge R830</t>
  </si>
  <si>
    <t>x4 1TB 2,5" HDD x2 300GB 2,5" HDD</t>
  </si>
  <si>
    <t>https://i.dell.com/sites/csdocuments/CorpComm_Docs/en/carbon-footprint-poweredge-r840.pdf</t>
  </si>
  <si>
    <t>PowerEdge R840</t>
  </si>
  <si>
    <t>https://i.dell.com/sites/csdocuments/CorpComm_Docs/en/carbon-footprint-poweredge-r930.pdf</t>
  </si>
  <si>
    <t>PowerEdge R930</t>
  </si>
  <si>
    <t>x2 300GB 2,5" HDD x4 2TB 2,5" HDD</t>
  </si>
  <si>
    <t>https://i.dell.com/sites/csdocuments/CorpComm_Docs/en/carbon-footprint-poweredge-r940.pdf</t>
  </si>
  <si>
    <t>PowerEdge R940</t>
  </si>
  <si>
    <t>https://i.dell.com/sites/csdocuments/CorpComm_Docs/en/carbon-footprint-poweredge-r6415.pdf</t>
  </si>
  <si>
    <t>PowerEdge R6415</t>
  </si>
  <si>
    <t>https://i.dell.com/sites/csdocuments/CorpComm_Docs/en/carbon-footprint-poweredge-r7415.pdf</t>
  </si>
  <si>
    <t>PowerEdge R7415</t>
  </si>
  <si>
    <t>https://i.dell.com/sites/csdocuments/CorpComm_Docs/en/carbon-footprint-poweredge-r7425.pdf</t>
  </si>
  <si>
    <t>PowerEdge R7425</t>
  </si>
  <si>
    <t>https://corporate.delltechnologies.com/en-gb/social-impact/advancing-sustainability/sustainable-products-and-services/product-carbon-footprints.htm#scroll=off&amp;tab0=3&amp;pdf-overlay=//corporate.delltechnologies.com/asset/en-gb/products/servers/technical-support/poweredge-r7515.pdf</t>
  </si>
  <si>
    <t>PowerEdge R7515</t>
  </si>
  <si>
    <t>January 2021</t>
  </si>
  <si>
    <t>x2 480GB 2.5” SSD</t>
  </si>
  <si>
    <t>https://corporate.delltechnologies.com/asset/en-gb/products/servers/technical-support/poweredge-r6525.pdf</t>
  </si>
  <si>
    <t>PowerEdge R6525</t>
  </si>
  <si>
    <t>x1 480GB 2.5” SSD x1 960GB 2.5” SSD</t>
  </si>
  <si>
    <t>https://corporate.delltechnologies.com/asset/en-gb/products/servers/technical-support/poweredge-r6515.pdf</t>
  </si>
  <si>
    <t>PowerEdge R6515</t>
  </si>
  <si>
    <t>https://corporate.delltechnologies.com/asset/en-gb/products/servers/technical-support/poweredge-r940xa.pdf</t>
  </si>
  <si>
    <t>PowerEdge R940xa</t>
  </si>
  <si>
    <t>x1 480GB 2.5” SSD</t>
  </si>
  <si>
    <t>HP</t>
  </si>
  <si>
    <t>https://www.hpe.com/psnow/doc/a50002430enw</t>
  </si>
  <si>
    <t>HPE ProLiant DL360 Gen10 server</t>
  </si>
  <si>
    <t>x4 SSD</t>
  </si>
  <si>
    <t>https://h20195.www2.hpe.com/v2/GetDocument.aspx?docname=a50002756enw</t>
  </si>
  <si>
    <t>HPE ProLiant DL385 Gen10 server</t>
  </si>
  <si>
    <t>https://h20195.www2.hpe.com/v2/GetDocument.aspx?docname=a50002755enw</t>
  </si>
  <si>
    <t>HPE ProLiant DL560 Gen10 server</t>
  </si>
  <si>
    <t>Dell PowerEdge R740 Life-Cycle Assessment</t>
  </si>
  <si>
    <t>Description</t>
  </si>
  <si>
    <t>The Dell PowerEdge R740 is 2U, 2-socket platform: 2x Intel Xeon 140W CPUs, 12x 32GB DIMMs, 1x 400GB SSD, 8x 3.84TB SDDs, and 2x 1100W PSUs.</t>
  </si>
  <si>
    <t>Total Scope 3 Emissions (kg CO2e)</t>
  </si>
  <si>
    <t>Distribution</t>
  </si>
  <si>
    <t>kg CO2e</t>
  </si>
  <si>
    <t>8*3.84TB Solid State Drives</t>
  </si>
  <si>
    <t>PWB Mixed</t>
  </si>
  <si>
    <t>Includes: RAM (12*32GB) - Riser card 1 - Riser card 2 - Riser card 3 - Ethernet card - HDD Controller - Q-logic - Intel Ethernet X710</t>
  </si>
  <si>
    <t>Mainboard</t>
  </si>
  <si>
    <t>Includes: CPU with housing - Mainboard PWB - Connectors - Transport</t>
  </si>
  <si>
    <t>1*400GB Solid State Drive</t>
  </si>
  <si>
    <t>Chassis</t>
  </si>
  <si>
    <t>PSU</t>
  </si>
  <si>
    <t>Fans</t>
  </si>
  <si>
    <t>PWB Mixed Scope 3 Distribution</t>
  </si>
  <si>
    <t>Memory (in GB)</t>
  </si>
  <si>
    <t>12*32GB DIMMs Memory</t>
  </si>
  <si>
    <t>The twelve 32GB RAM bars used within the configuration account for around 33% of the total mass of the mixed PWB. But analogous to the mass vs. carbon footprint discussions in chapter 4.2.1, they account for over 90% of the total GWP impact of the PWB Mixed due to their high capacity per RAM bar and the associated complexity and density of the built-in chips and dies.</t>
  </si>
  <si>
    <t>Riser card 1 - Riser card 2 - Riser card 3 - Ethernet card - HDD Controller - Q-logic - Intel Ethernet X710</t>
  </si>
  <si>
    <t>Mainboard Scope 3 Distribution</t>
  </si>
  <si>
    <t>Mainboard PWB</t>
  </si>
  <si>
    <t>2*Xeon CPUs with housing</t>
  </si>
  <si>
    <t>2*Xeon 140 W TDP</t>
  </si>
  <si>
    <t>Mainboard Connectors - Transport</t>
  </si>
  <si>
    <t>R740 Manufacturing Emissions Distribution</t>
  </si>
  <si>
    <t>PowerEdge R740 Manufacturing Footprint Comparison (kgCO2eq)</t>
  </si>
  <si>
    <t>Parts</t>
  </si>
  <si>
    <t>Emissions (kgCO2eq)</t>
  </si>
  <si>
    <t xml:space="preserve">R740 Product Carbon Footprint </t>
  </si>
  <si>
    <t>R740 Life Cycle Assessment (adapted)</t>
  </si>
  <si>
    <t>32 GB Memory</t>
  </si>
  <si>
    <t>1*32GB DIMM</t>
  </si>
  <si>
    <t>3*400GB Solid State Drive</t>
  </si>
  <si>
    <t>2 CPUs</t>
  </si>
  <si>
    <t>Other (chassis, PSU, mainboard, cards, etc.)</t>
  </si>
  <si>
    <t>Codename</t>
  </si>
  <si>
    <t>Socket</t>
  </si>
  <si>
    <t>Process (in nm)</t>
  </si>
  <si>
    <t>Xeon Bronze 3106</t>
  </si>
  <si>
    <t>Skylake-SP</t>
  </si>
  <si>
    <t>Socket 3647</t>
  </si>
  <si>
    <t>14 nm</t>
  </si>
  <si>
    <t>Jul 11th, 2017</t>
  </si>
  <si>
    <t>Xeon E3-1285 v6</t>
  </si>
  <si>
    <t>Kaby Lake-DT</t>
  </si>
  <si>
    <t>Socket 1151</t>
  </si>
  <si>
    <t>Aug 1st, 2017</t>
  </si>
  <si>
    <t>Xeon Gold 6154</t>
  </si>
  <si>
    <t>Xeon Phi 7235</t>
  </si>
  <si>
    <t>Knights Mill</t>
  </si>
  <si>
    <t>Dec 1st, 2017</t>
  </si>
  <si>
    <t>Xeon Phi 7285</t>
  </si>
  <si>
    <t>Xeon Phi 7295</t>
  </si>
  <si>
    <t>Xeon Platinum 8180</t>
  </si>
  <si>
    <t>Xeon Platinum 8180M</t>
  </si>
  <si>
    <t>Xeon Silver 4116</t>
  </si>
  <si>
    <t>Xeon W-2195</t>
  </si>
  <si>
    <t>Skylake-W</t>
  </si>
  <si>
    <t>Socket 2066</t>
  </si>
  <si>
    <t>Sep 29th, 2017</t>
  </si>
  <si>
    <t>Xeon E-2124</t>
  </si>
  <si>
    <t>Coffee Lake-S</t>
  </si>
  <si>
    <t>May 31st, 2018</t>
  </si>
  <si>
    <t>Xeon E-2124G</t>
  </si>
  <si>
    <t>Xeon Platinum 8253</t>
  </si>
  <si>
    <t>Cascade Lake-SP</t>
  </si>
  <si>
    <t>Dec 11th, 2018</t>
  </si>
  <si>
    <t>Xeon Platinum 8256</t>
  </si>
  <si>
    <t>Xeon Platinum 8260</t>
  </si>
  <si>
    <t>Xeon Platinum 8260M</t>
  </si>
  <si>
    <t>Xeon Platinum 8268</t>
  </si>
  <si>
    <t>Xeon Platinum 8270</t>
  </si>
  <si>
    <t>Xeon Platinum 8276</t>
  </si>
  <si>
    <t>Xeon Platinum 8280</t>
  </si>
  <si>
    <t>Xeon Platinum 8280M</t>
  </si>
  <si>
    <t>Xeon W-3175X</t>
  </si>
  <si>
    <t>Dec 19th, 2018</t>
  </si>
  <si>
    <t>Xeon Platinum 9221</t>
  </si>
  <si>
    <t>Cascade Lake-AP</t>
  </si>
  <si>
    <t>BGA5903</t>
  </si>
  <si>
    <t>Apr 2nd, 2019</t>
  </si>
  <si>
    <t>Xeon Platinum 9222</t>
  </si>
  <si>
    <t>Xeon Platinum 9242</t>
  </si>
  <si>
    <t>Xeon Platinum 9282</t>
  </si>
  <si>
    <t>Xeon Gold 5315Y</t>
  </si>
  <si>
    <t>Ice Lake-SP</t>
  </si>
  <si>
    <t>Socket 4189</t>
  </si>
  <si>
    <t>10 nm</t>
  </si>
  <si>
    <t>Apr 6th, 2021</t>
  </si>
  <si>
    <t>Xeon Gold 5317</t>
  </si>
  <si>
    <t>Xeon Gold 5318H</t>
  </si>
  <si>
    <t>Cooper Lake-SP</t>
  </si>
  <si>
    <t>Xeon Gold 5318N</t>
  </si>
  <si>
    <t>Xeon Gold 5318S</t>
  </si>
  <si>
    <t>Xeon Gold 5318Y</t>
  </si>
  <si>
    <t>Xeon Gold 5320</t>
  </si>
  <si>
    <t>Xeon Gold 5320H</t>
  </si>
  <si>
    <t>Xeon Gold 5320T</t>
  </si>
  <si>
    <t>Xeon Gold 6312U</t>
  </si>
  <si>
    <t>Xeon Gold 6314U</t>
  </si>
  <si>
    <t>Xeon Gold 6326</t>
  </si>
  <si>
    <t>Xeon Gold 6328H</t>
  </si>
  <si>
    <t>Xeon Gold 6328HL</t>
  </si>
  <si>
    <t>Xeon Gold 6330</t>
  </si>
  <si>
    <t>Xeon Gold 6330H</t>
  </si>
  <si>
    <t>Xeon Gold 6334</t>
  </si>
  <si>
    <t>Xeon Gold 6336Y</t>
  </si>
  <si>
    <t>Xeon Gold 6338N</t>
  </si>
  <si>
    <t>Xeon Gold 6338T</t>
  </si>
  <si>
    <t>Xeon Gold 6342</t>
  </si>
  <si>
    <t>Xeon Gold 6346</t>
  </si>
  <si>
    <t>Xeon Gold 6348</t>
  </si>
  <si>
    <t>Xeon Gold 6348H</t>
  </si>
  <si>
    <t>Xeon Gold 6354</t>
  </si>
  <si>
    <t>Xeon Platinum 8351N</t>
  </si>
  <si>
    <t>Xeon Platinum 8352M</t>
  </si>
  <si>
    <t>Xeon Platinum 8352S</t>
  </si>
  <si>
    <t>Xeon Platinum 8352V</t>
  </si>
  <si>
    <t>Xeon Platinum 8353H</t>
  </si>
  <si>
    <t>Xeon Platinum 8354H</t>
  </si>
  <si>
    <t>Xeon Platinum 8356H</t>
  </si>
  <si>
    <t>Xeon Platinum 8358</t>
  </si>
  <si>
    <t>Xeon Platinum 8358P</t>
  </si>
  <si>
    <t>Xeon Platinum 8360H</t>
  </si>
  <si>
    <t>Xeon Platinum 8360HL</t>
  </si>
  <si>
    <t>Xeon Platinum 8360Y</t>
  </si>
  <si>
    <t>Xeon Platinum 8362</t>
  </si>
  <si>
    <t>Xeon Platinum 8368</t>
  </si>
  <si>
    <t>Xeon Platinum 8368Q</t>
  </si>
  <si>
    <t>Xeon Platinum 8376H</t>
  </si>
  <si>
    <t>Xeon Platinum 8376HL</t>
  </si>
  <si>
    <t>Xeon Platinum 8380</t>
  </si>
  <si>
    <t>Xeon Platinum 8380H</t>
  </si>
  <si>
    <t>Xeon Platinum 8380HL</t>
  </si>
  <si>
    <t>Q2 2021</t>
  </si>
  <si>
    <t>Xeon Silver 4309Y</t>
  </si>
  <si>
    <t>Xeon Silver 4310</t>
  </si>
  <si>
    <t>Xeon Silver 4310T</t>
  </si>
  <si>
    <t>Xeon Silver 4314</t>
  </si>
  <si>
    <t>Xeon Silver 4316</t>
  </si>
  <si>
    <t>EPYC 72F3</t>
  </si>
  <si>
    <t>Milan</t>
  </si>
  <si>
    <t>Socket SP3</t>
  </si>
  <si>
    <t>7 nm</t>
  </si>
  <si>
    <t>Mar 15th, 2021</t>
  </si>
  <si>
    <t>EPYC 7313</t>
  </si>
  <si>
    <t>EPYC 7313P</t>
  </si>
  <si>
    <t>EPYC 7343</t>
  </si>
  <si>
    <t>EPYC 73F3</t>
  </si>
  <si>
    <t>EPYC 7413</t>
  </si>
  <si>
    <t>EPYC 7443</t>
  </si>
  <si>
    <t>EPYC 7443P</t>
  </si>
  <si>
    <t>EPYC 7453</t>
  </si>
  <si>
    <t>EPYC 74F3</t>
  </si>
  <si>
    <t>EPYC 7513</t>
  </si>
  <si>
    <t>EPYC 7543</t>
  </si>
  <si>
    <t>EPYC 7543P</t>
  </si>
  <si>
    <t>EPYC 75F3</t>
  </si>
  <si>
    <t>EPYC 7643</t>
  </si>
  <si>
    <t>EPYC 7663</t>
  </si>
  <si>
    <t>EPYC 7713</t>
  </si>
  <si>
    <t>EPYC 7713P</t>
  </si>
  <si>
    <t>EPYC 7763</t>
  </si>
  <si>
    <t>EPYC 7F32</t>
  </si>
  <si>
    <t>Rome</t>
  </si>
  <si>
    <t>Apr 14th, 2020</t>
  </si>
  <si>
    <t>EPYC 7F52</t>
  </si>
  <si>
    <t>EPYC 7F72</t>
  </si>
  <si>
    <t>EPYC 7232P</t>
  </si>
  <si>
    <t>Aug 7th, 2019</t>
  </si>
  <si>
    <t>EPYC 7252</t>
  </si>
  <si>
    <t>EPYC 7262</t>
  </si>
  <si>
    <t>EPYC 7272</t>
  </si>
  <si>
    <t>EPYC 7282</t>
  </si>
  <si>
    <t>EPYC 7302</t>
  </si>
  <si>
    <t>EPYC 7302P</t>
  </si>
  <si>
    <t>EPYC 7352</t>
  </si>
  <si>
    <t>EPYC 7402</t>
  </si>
  <si>
    <t>EPYC 7402P</t>
  </si>
  <si>
    <t>EPYC 7452</t>
  </si>
  <si>
    <t>EPYC 7502</t>
  </si>
  <si>
    <t>EPYC 7502P</t>
  </si>
  <si>
    <t>EPYC 7542</t>
  </si>
  <si>
    <t>EPYC 7552</t>
  </si>
  <si>
    <t>EPYC 7642</t>
  </si>
  <si>
    <t>EPYC 7702</t>
  </si>
  <si>
    <t>EPYC 7702P</t>
  </si>
  <si>
    <t>EPYC 7742</t>
  </si>
  <si>
    <t>EPYC 7H12</t>
  </si>
  <si>
    <t>Sep 18th, 2019</t>
  </si>
  <si>
    <t>EPYC 7261</t>
  </si>
  <si>
    <t>Naples</t>
  </si>
  <si>
    <t>Jun 14th, 2018</t>
  </si>
  <si>
    <t>EPYC 7371</t>
  </si>
  <si>
    <t>Nov 16th, 2018</t>
  </si>
  <si>
    <t>EPYC Embedded 3251</t>
  </si>
  <si>
    <t>Zen</t>
  </si>
  <si>
    <t>BGA SP4r2</t>
  </si>
  <si>
    <t>Feb 21st, 2018</t>
  </si>
  <si>
    <t>EPYC 7251</t>
  </si>
  <si>
    <t>Jun 29th, 2017</t>
  </si>
  <si>
    <t>EPYC 7301</t>
  </si>
  <si>
    <t>EPYC 7351</t>
  </si>
  <si>
    <t>EPYC 7351P</t>
  </si>
  <si>
    <t>EPYC 7401</t>
  </si>
  <si>
    <t>EPYC 7401P</t>
  </si>
  <si>
    <t>EPYC 7451</t>
  </si>
  <si>
    <t>EPYC 7501</t>
  </si>
  <si>
    <t>EPYC 7551</t>
  </si>
  <si>
    <t>EPYC 7551P</t>
  </si>
  <si>
    <t>EPYC 7601</t>
  </si>
  <si>
    <t>Xeon Phi 7210</t>
  </si>
  <si>
    <t>Knights Landing</t>
  </si>
  <si>
    <t>Jun 20th, 2016</t>
  </si>
  <si>
    <t>Xeon Phi 7210F</t>
  </si>
  <si>
    <t>Xeon Phi 7230</t>
  </si>
  <si>
    <t>Xeon Phi 7230F</t>
  </si>
  <si>
    <t>Xeon Phi 7250</t>
  </si>
  <si>
    <t>Xeon Phi 7250F</t>
  </si>
  <si>
    <t>Xeon Phi 7290</t>
  </si>
  <si>
    <t>Xeon Phi 7290F</t>
  </si>
  <si>
    <t>Xeon E3-1280 v5</t>
  </si>
  <si>
    <t>Skylake-S</t>
  </si>
  <si>
    <t>Oct 19th, 2015</t>
  </si>
  <si>
    <t>Xeon E3-1285 v4</t>
  </si>
  <si>
    <t>Broadwell-DT</t>
  </si>
  <si>
    <t>Socket 1150</t>
  </si>
  <si>
    <t>Jun 2nd, 2015</t>
  </si>
  <si>
    <t>Xeon E7-4809 v3</t>
  </si>
  <si>
    <t>Haswell-EX</t>
  </si>
  <si>
    <t>22 nm</t>
  </si>
  <si>
    <t>Jun 1st, 2015</t>
  </si>
  <si>
    <t>Xeon E7-4820 v3</t>
  </si>
  <si>
    <t>Xeon E7-4830 v3</t>
  </si>
  <si>
    <t>Xeon E7-4850 v3</t>
  </si>
  <si>
    <t>Xeon E7-8860 v3</t>
  </si>
  <si>
    <t>Xeon E7-8867 v3</t>
  </si>
  <si>
    <t>Xeon E7-8870 v3</t>
  </si>
  <si>
    <t>Xeon E7-8880L v3</t>
  </si>
  <si>
    <t>Xeon E7-8890 v3</t>
  </si>
  <si>
    <t>Socket 2011</t>
  </si>
  <si>
    <t>Xeon E7-8891 v3</t>
  </si>
  <si>
    <t>Xeon E7-8893 v3</t>
  </si>
  <si>
    <t>Xeon Phi 7120A</t>
  </si>
  <si>
    <t>Knights Corner</t>
  </si>
  <si>
    <t>PCIe x16</t>
  </si>
  <si>
    <t>Apr 6th, 2014</t>
  </si>
  <si>
    <t>Xeon Phi 7120D</t>
  </si>
  <si>
    <t>SFF 230-Pin</t>
  </si>
  <si>
    <t>Mar 1st, 2014</t>
  </si>
  <si>
    <t>Opteron A1120</t>
  </si>
  <si>
    <t>Seattle</t>
  </si>
  <si>
    <t>Socket SP1</t>
  </si>
  <si>
    <t>28 nm</t>
  </si>
  <si>
    <t>Jan 14th, 2016</t>
  </si>
  <si>
    <t>Opteron A1150</t>
  </si>
  <si>
    <t>Opteron A1170</t>
  </si>
  <si>
    <t>Opteron X2170</t>
  </si>
  <si>
    <t>Steppe Eagle</t>
  </si>
  <si>
    <t>Socket FT3</t>
  </si>
  <si>
    <t>Sep 1st, 2016</t>
  </si>
  <si>
    <t>ARM (AWS)</t>
  </si>
  <si>
    <t>16 nm</t>
  </si>
  <si>
    <t>Intel (AWS)</t>
  </si>
  <si>
    <t>Broadwell-EP</t>
  </si>
  <si>
    <t>Socket 2011-3</t>
  </si>
  <si>
    <t>Jun 1st, 2016</t>
  </si>
  <si>
    <t>Haswell-EP</t>
  </si>
  <si>
    <t>AMD (AWS)</t>
  </si>
  <si>
    <t>Ivy Bridge-EP</t>
  </si>
  <si>
    <t>Xeon E5-1410</t>
  </si>
  <si>
    <t>Sandy Bridge-EN</t>
  </si>
  <si>
    <t>Socket 1356</t>
  </si>
  <si>
    <t>May 14th, 2012</t>
  </si>
  <si>
    <t>Xeon E5-1428L</t>
  </si>
  <si>
    <t>Xeon E5-1620</t>
  </si>
  <si>
    <t>Sandy Bridge-E</t>
  </si>
  <si>
    <t>Mar 6th, 2012</t>
  </si>
  <si>
    <t>Xeon E5-1620 v2</t>
  </si>
  <si>
    <t>Ivy Bridge-E</t>
  </si>
  <si>
    <t>Sep 1st, 2013</t>
  </si>
  <si>
    <t>Xeon E5-1650</t>
  </si>
  <si>
    <t>Xeon E5-1650 v2</t>
  </si>
  <si>
    <t>Xeon E5-1660</t>
  </si>
  <si>
    <t>Xeon E5-1660 v2</t>
  </si>
  <si>
    <t>Xeon E5-2403</t>
  </si>
  <si>
    <t>Xeon E5-2403 v2</t>
  </si>
  <si>
    <t>Ivy Bridge-EN</t>
  </si>
  <si>
    <t>Xeon E5-2407</t>
  </si>
  <si>
    <t>Xeon E5-2407 v2</t>
  </si>
  <si>
    <t>Xeon E5-2418L</t>
  </si>
  <si>
    <t>Xeon E5-2420</t>
  </si>
  <si>
    <t>Xeon E5-2420 v2</t>
  </si>
  <si>
    <t>Xeon E5-2428L</t>
  </si>
  <si>
    <t>Xeon E5-2430</t>
  </si>
  <si>
    <t>Xeon E5-2430 v2</t>
  </si>
  <si>
    <t>Xeon E5-2430L</t>
  </si>
  <si>
    <t>Xeon E5-2440</t>
  </si>
  <si>
    <t>Xeon E5-2440 v2</t>
  </si>
  <si>
    <t>Xeon E5-2448L</t>
  </si>
  <si>
    <t>Xeon E5-2450</t>
  </si>
  <si>
    <t>Xeon E5-2450 v2</t>
  </si>
  <si>
    <t>Xeon E5-2450L</t>
  </si>
  <si>
    <t>Xeon E5-2470</t>
  </si>
  <si>
    <t>Xeon E5-2470 v2</t>
  </si>
  <si>
    <t>Xeon E5-2603</t>
  </si>
  <si>
    <t>Sandy Bridge-EP</t>
  </si>
  <si>
    <t>Xeon E5-2603 v2</t>
  </si>
  <si>
    <t>Xeon E5-2609</t>
  </si>
  <si>
    <t>Xeon E5-2609 v2</t>
  </si>
  <si>
    <t>Xeon E5-2620</t>
  </si>
  <si>
    <t>Xeon E5-2620 v2</t>
  </si>
  <si>
    <t>Xeon E5-2630</t>
  </si>
  <si>
    <t>Xeon E5-2630 v2</t>
  </si>
  <si>
    <t>Xeon E5-2630L</t>
  </si>
  <si>
    <t>Xeon E5-2630L v2</t>
  </si>
  <si>
    <t>Xeon E5-2637</t>
  </si>
  <si>
    <t>Xeon E5-2637 v2</t>
  </si>
  <si>
    <t>Xeon E5-2640</t>
  </si>
  <si>
    <t>Xeon E5-2640 v2</t>
  </si>
  <si>
    <t>Xeon E5-2643</t>
  </si>
  <si>
    <t>Xeon E5-2643 v2</t>
  </si>
  <si>
    <t>Xeon E5-2648L</t>
  </si>
  <si>
    <t>Xeon E5-2650 v2</t>
  </si>
  <si>
    <t>Xeon E5-2650L</t>
  </si>
  <si>
    <t>Xeon E5-2650L v2</t>
  </si>
  <si>
    <t>Xeon E5-2658</t>
  </si>
  <si>
    <t>Xeon E5-2660 v2</t>
  </si>
  <si>
    <t>Xeon E5-2667</t>
  </si>
  <si>
    <t>Xeon E5-2667 v2</t>
  </si>
  <si>
    <t>Xeon E5-2680</t>
  </si>
  <si>
    <t>Xeon E5-2687W</t>
  </si>
  <si>
    <t>Xeon E5-2687W v2</t>
  </si>
  <si>
    <t>Xeon E5-2690</t>
  </si>
  <si>
    <t>Xeon E5-2690 v2</t>
  </si>
  <si>
    <t>Xeon E5-2692 v2</t>
  </si>
  <si>
    <t>Xeon E5-2695 v2</t>
  </si>
  <si>
    <t>Xeon E5-2697 v2</t>
  </si>
  <si>
    <t>Xeon E5-4603</t>
  </si>
  <si>
    <t>Xeon E5-4607</t>
  </si>
  <si>
    <t>Xeon E5-4610</t>
  </si>
  <si>
    <t>Xeon E5-4617</t>
  </si>
  <si>
    <t>Xeon E5-4620</t>
  </si>
  <si>
    <t>Xeon E5-4640</t>
  </si>
  <si>
    <t>Xeon E5-4650</t>
  </si>
  <si>
    <t>Xeon E5-4650L</t>
  </si>
  <si>
    <t>Coffee Lake</t>
  </si>
  <si>
    <t>FCBGA1440</t>
  </si>
  <si>
    <t>CPU Data</t>
  </si>
  <si>
    <t>https://www.techpowerup.com/cpu-specs/?mfgr=Intel&amp;generation=Intel%20Xeon%20Platinum&amp;sort=name</t>
  </si>
  <si>
    <t>http://cpudb.stanford.edu/</t>
  </si>
  <si>
    <t>https://www.kaggle.com/bwolfram/intel-cpus</t>
  </si>
  <si>
    <t>https://github.com/Emma926/cpu_selection</t>
  </si>
  <si>
    <t>https://en.wikichip.org/wiki/intel/xeon_e3/e3-1240_v6</t>
  </si>
  <si>
    <t>http://www.x86-guide.net/</t>
  </si>
  <si>
    <t>AWS instances information (incomplete)</t>
  </si>
  <si>
    <t>https://instances.vantage.sh/</t>
  </si>
  <si>
    <t>AWS instances release date</t>
  </si>
  <si>
    <t>https://aws.amazon.com/blogs/aws/ec2-instance-history/</t>
  </si>
  <si>
    <t>GPU Data</t>
  </si>
  <si>
    <t>https://www.techpowerup.com/gpu-specs/</t>
  </si>
  <si>
    <t>LCA Data</t>
  </si>
  <si>
    <t>https://www.apple.com/environment/pdf/products/desktops/Mac_Pro_PER_Dec2019.pdf</t>
  </si>
  <si>
    <t>https://www.delltechnologies.com/asset/en-us/products/servers/technical-support/Full_LCA_Dell_R740.pdf</t>
  </si>
  <si>
    <t>https://corporate.delltechnologies.com/en-gb/social-impact/advancing-sustainability/sustainable-products-and-services/product-carbon-footprints.htm#tab0=3</t>
  </si>
  <si>
    <t>Carbon Mix Intensity for AWS Regions</t>
  </si>
  <si>
    <t>Graviton Data</t>
  </si>
  <si>
    <t>https://perspectives.mvdirona.com/2018/11/aws-designed-processor-graviton/</t>
  </si>
  <si>
    <t>https://community.arm.com/developer/ip-products/processors/b/processors-ip-blog/posts/arm-neoverse-n1-platform-accelerating-the-transformation-to-a-scalable-cloud-to-edge-infrastructure?_ga=2.14433335.1477319195.1626166805-335774423.1623250838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</si>
</sst>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"/>
    <numFmt numFmtId="165" formatCode="_(* #,##0_);_(* \(#,##0\);_(* &quot;-&quot;??_);_(@_)"/>
    <numFmt numFmtId="166" formatCode="0.000"/>
    <numFmt numFmtId="167" formatCode="0.0000"/>
    <numFmt numFmtId="168" formatCode="0.0%"/>
    <numFmt numFmtId="169" formatCode="#,##0.000"/>
  </numFmts>
  <fonts count="43">
    <font>
      <sz val="11.0"/>
      <color theme="1"/>
      <name val="Arial"/>
    </font>
    <font>
      <color theme="1"/>
      <name val="Calibri"/>
    </font>
    <font>
      <sz val="14.0"/>
      <color rgb="FFFFFFFF"/>
      <name val="Helvetica Neue"/>
    </font>
    <font>
      <u/>
      <color rgb="FF1155CC"/>
      <name val="Calibri"/>
    </font>
    <font>
      <u/>
      <color rgb="FF1155CC"/>
      <name val="Calibri"/>
    </font>
    <font>
      <color rgb="FF999999"/>
      <name val="Calibri"/>
    </font>
    <font>
      <i/>
      <sz val="11.0"/>
      <color rgb="FFFFFFFF"/>
      <name val="Calibri"/>
    </font>
    <font/>
    <font>
      <i/>
      <sz val="11.0"/>
      <color rgb="FF7B7B7B"/>
      <name val="Calibri"/>
    </font>
    <font>
      <i/>
      <u/>
      <sz val="11.0"/>
      <color rgb="FF7B7B7B"/>
    </font>
    <font>
      <i/>
      <color rgb="FF1155CC"/>
    </font>
    <font>
      <sz val="10.0"/>
      <color rgb="FF999999"/>
      <name val="Calibri"/>
    </font>
    <font>
      <sz val="11.0"/>
      <color rgb="FFFFFFFF"/>
      <name val="Calibri"/>
    </font>
    <font>
      <sz val="11.0"/>
      <color theme="1"/>
      <name val="Calibri"/>
    </font>
    <font>
      <sz val="10.0"/>
      <color rgb="FF999999"/>
    </font>
    <font>
      <b/>
      <sz val="10.0"/>
      <color theme="1"/>
      <name val="Calibri"/>
    </font>
    <font>
      <b/>
      <sz val="10.0"/>
      <color rgb="FFFFFFFF"/>
      <name val="Calibri"/>
    </font>
    <font>
      <sz val="10.0"/>
      <color theme="1"/>
      <name val="Calibri"/>
    </font>
    <font>
      <sz val="10.0"/>
      <color rgb="FF000000"/>
      <name val="Calibri"/>
    </font>
    <font>
      <sz val="11.0"/>
      <color rgb="FF000000"/>
      <name val="Calibri"/>
    </font>
    <font>
      <sz val="11.0"/>
      <color rgb="FFFF0000"/>
      <name val="Calibri"/>
    </font>
    <font>
      <sz val="10.0"/>
      <color rgb="FFFFFFFF"/>
      <name val="Calibri"/>
    </font>
    <font>
      <i/>
      <sz val="10.0"/>
      <color theme="1"/>
      <name val="Calibri"/>
    </font>
    <font>
      <b/>
      <sz val="10.0"/>
      <color theme="0"/>
      <name val="Calibri"/>
    </font>
    <font>
      <i/>
      <sz val="11.0"/>
      <color theme="1"/>
      <name val="Calibri"/>
    </font>
    <font>
      <u/>
      <color rgb="FF1155CC"/>
    </font>
    <font>
      <u/>
      <color rgb="FF0000FF"/>
    </font>
    <font>
      <color rgb="FF000000"/>
    </font>
    <font>
      <b/>
      <sz val="11.0"/>
      <color theme="1"/>
      <name val="Calibri"/>
    </font>
    <font>
      <b/>
      <color theme="1"/>
      <name val="Calibri"/>
    </font>
    <font>
      <u/>
      <color rgb="FF0000FF"/>
    </font>
    <font>
      <u/>
      <sz val="11.0"/>
      <color theme="10"/>
    </font>
    <font>
      <u/>
      <sz val="10.0"/>
      <color rgb="FF000000"/>
      <name val="Calibri"/>
    </font>
    <font>
      <u/>
      <sz val="10.0"/>
      <color rgb="FF000000"/>
      <name val="Calibri"/>
    </font>
    <font>
      <u/>
      <sz val="11.0"/>
      <color rgb="FF1155CC"/>
      <name val="Calibri"/>
    </font>
    <font>
      <b/>
      <sz val="14.0"/>
      <color theme="1"/>
      <name val="Calibri"/>
    </font>
    <font>
      <b/>
      <i/>
      <color theme="1"/>
      <name val="Calibri"/>
    </font>
    <font>
      <i/>
      <color theme="1"/>
      <name val="Calibri"/>
    </font>
    <font>
      <color rgb="FFFFFFFF"/>
      <name val="Calibri"/>
    </font>
    <font>
      <i/>
      <color rgb="FF999999"/>
      <name val="Calibri"/>
    </font>
    <font>
      <color rgb="FFCCCCCC"/>
      <name val="Calibri"/>
    </font>
    <font>
      <u/>
      <sz val="11.0"/>
      <color theme="10"/>
      <name val="Calibri"/>
    </font>
    <font>
      <sz val="10.0"/>
      <color rgb="FF333333"/>
      <name val="Tpu-body"/>
    </font>
  </fonts>
  <fills count="31">
    <fill>
      <patternFill patternType="none"/>
    </fill>
    <fill>
      <patternFill patternType="lightGray"/>
    </fill>
    <fill>
      <patternFill patternType="solid">
        <fgColor rgb="FF262626"/>
        <bgColor rgb="FF262626"/>
      </patternFill>
    </fill>
    <fill>
      <patternFill patternType="solid">
        <fgColor rgb="FFFFFFFF"/>
        <bgColor rgb="FFFFFFFF"/>
      </patternFill>
    </fill>
    <fill>
      <patternFill patternType="solid">
        <fgColor rgb="FF0E5DA5"/>
        <bgColor rgb="FF0E5DA5"/>
      </patternFill>
    </fill>
    <fill>
      <patternFill patternType="solid">
        <fgColor rgb="FFD1DDE8"/>
        <bgColor rgb="FFD1DDE8"/>
      </patternFill>
    </fill>
    <fill>
      <patternFill patternType="solid">
        <fgColor rgb="FFF2F2F2"/>
        <bgColor rgb="FFF2F2F2"/>
      </patternFill>
    </fill>
    <fill>
      <patternFill patternType="solid">
        <fgColor rgb="FFC00000"/>
        <bgColor rgb="FFC00000"/>
      </patternFill>
    </fill>
    <fill>
      <patternFill patternType="solid">
        <fgColor rgb="FF4472C4"/>
        <bgColor rgb="FF4472C4"/>
      </patternFill>
    </fill>
    <fill>
      <patternFill patternType="solid">
        <fgColor rgb="FF7030A0"/>
        <bgColor rgb="FF7030A0"/>
      </patternFill>
    </fill>
    <fill>
      <patternFill patternType="solid">
        <fgColor rgb="FF70AD47"/>
        <bgColor rgb="FF70AD47"/>
      </patternFill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9D9D9"/>
        <bgColor rgb="FFD9D9D9"/>
      </patternFill>
    </fill>
    <fill>
      <patternFill patternType="solid">
        <fgColor rgb="FFFCE4D6"/>
        <bgColor rgb="FFFCE4D6"/>
      </patternFill>
    </fill>
    <fill>
      <patternFill patternType="solid">
        <fgColor rgb="FFE2EFDA"/>
        <bgColor rgb="FFE2EFDA"/>
      </patternFill>
    </fill>
    <fill>
      <patternFill patternType="solid">
        <fgColor rgb="FFFCD7D7"/>
        <bgColor rgb="FFFCD7D7"/>
      </patternFill>
    </fill>
    <fill>
      <patternFill patternType="solid">
        <fgColor rgb="FFD9E1F2"/>
        <bgColor rgb="FFD9E1F2"/>
      </patternFill>
    </fill>
    <fill>
      <patternFill patternType="solid">
        <fgColor rgb="FFFFF2CC"/>
        <bgColor rgb="FFFFF2CC"/>
      </patternFill>
    </fill>
    <fill>
      <patternFill patternType="solid">
        <fgColor rgb="FF666666"/>
        <bgColor rgb="FF666666"/>
      </patternFill>
    </fill>
    <fill>
      <patternFill patternType="solid">
        <fgColor rgb="FFC65911"/>
        <bgColor rgb="FFC65911"/>
      </patternFill>
    </fill>
    <fill>
      <patternFill patternType="solid">
        <fgColor rgb="FF870000"/>
        <bgColor rgb="FF870000"/>
      </patternFill>
    </fill>
    <fill>
      <patternFill patternType="solid">
        <fgColor rgb="FFF1C232"/>
        <bgColor rgb="FFF1C232"/>
      </patternFill>
    </fill>
    <fill>
      <patternFill patternType="solid">
        <fgColor rgb="FFE7E6E6"/>
        <bgColor rgb="FFE7E6E6"/>
      </patternFill>
    </fill>
    <fill>
      <patternFill patternType="solid">
        <fgColor rgb="FF833C0B"/>
        <bgColor rgb="FF833C0B"/>
      </patternFill>
    </fill>
    <fill>
      <patternFill patternType="solid">
        <fgColor theme="5"/>
        <bgColor theme="5"/>
      </patternFill>
    </fill>
    <fill>
      <patternFill patternType="solid">
        <fgColor rgb="FF833C0C"/>
        <bgColor rgb="FF833C0C"/>
      </patternFill>
    </fill>
    <fill>
      <patternFill patternType="solid">
        <fgColor rgb="FFECECEC"/>
        <bgColor rgb="FFECECEC"/>
      </patternFill>
    </fill>
    <fill>
      <patternFill patternType="solid">
        <fgColor rgb="FF5B9BD5"/>
        <bgColor rgb="FF5B9BD5"/>
      </patternFill>
    </fill>
    <fill>
      <patternFill patternType="solid">
        <fgColor rgb="FFD0CECE"/>
        <bgColor rgb="FFD0CECE"/>
      </patternFill>
    </fill>
    <fill>
      <patternFill patternType="solid">
        <fgColor rgb="FF4A86E8"/>
        <bgColor rgb="FF4A86E8"/>
      </patternFill>
    </fill>
  </fills>
  <borders count="33">
    <border/>
    <border>
      <left style="thin">
        <color rgb="FFFFFFFF"/>
      </left>
      <right style="medium">
        <color rgb="FFFFFFFF"/>
      </right>
      <top style="medium">
        <color rgb="FF262626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262626"/>
      </top>
      <bottom style="medium">
        <color rgb="FFFFFFFF"/>
      </bottom>
    </border>
    <border>
      <left style="medium">
        <color rgb="FFFFFFFF"/>
      </left>
      <right style="thin">
        <color rgb="FFFFFFFF"/>
      </right>
      <top style="medium">
        <color rgb="FF262626"/>
      </top>
      <bottom style="medium">
        <color rgb="FFFFFFFF"/>
      </bottom>
    </border>
    <border>
      <left style="thin">
        <color rgb="FFFFFFFF"/>
      </left>
      <right style="medium">
        <color rgb="FFFFFFFF"/>
      </right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rgb="FFFFFFFF"/>
      </bottom>
    </border>
    <border>
      <left style="thin">
        <color rgb="FFFFFFFF"/>
      </left>
      <right style="medium">
        <color rgb="FFFFFFFF"/>
      </right>
      <top style="medium">
        <color rgb="FFFFFFFF"/>
      </top>
      <bottom style="thin">
        <color rgb="FFFFFFFF"/>
      </bottom>
    </border>
    <border>
      <left style="thin">
        <color rgb="FFFFFFFF"/>
      </left>
      <right style="medium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medium">
        <color rgb="FF0E5DA5"/>
      </left>
      <right style="medium">
        <color rgb="FF0E5DA5"/>
      </right>
      <top style="medium">
        <color rgb="FF0E5DA5"/>
      </top>
      <bottom style="medium">
        <color rgb="FF0E5DA5"/>
      </bottom>
    </border>
    <border>
      <left style="thin">
        <color rgb="FFFFFFFF"/>
      </left>
      <right style="thin">
        <color rgb="FFFFFFFF"/>
      </right>
    </border>
    <border>
      <left style="medium">
        <color rgb="FF0E5DA5"/>
      </left>
      <top style="medium">
        <color rgb="FF0E5DA5"/>
      </top>
      <bottom style="medium">
        <color rgb="FF0E5DA5"/>
      </bottom>
    </border>
    <border>
      <top style="medium">
        <color rgb="FF0E5DA5"/>
      </top>
      <bottom style="medium">
        <color rgb="FF0E5DA5"/>
      </bottom>
    </border>
    <border>
      <right style="medium">
        <color rgb="FF0E5DA5"/>
      </right>
      <top style="medium">
        <color rgb="FF0E5DA5"/>
      </top>
      <bottom style="medium">
        <color rgb="FF0E5DA5"/>
      </bottom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999999"/>
      </left>
      <right style="thin">
        <color rgb="FF999999"/>
      </right>
    </border>
  </borders>
  <cellStyleXfs count="1">
    <xf borderId="0" fillId="0" fontId="0" numFmtId="0" applyAlignment="1" applyFont="1"/>
  </cellStyleXfs>
  <cellXfs count="202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1" numFmtId="0" xfId="0" applyAlignment="1" applyFont="1">
      <alignment horizontal="center" vertical="center"/>
    </xf>
    <xf borderId="0" fillId="2" fontId="2" numFmtId="0" xfId="0" applyAlignment="1" applyFont="1">
      <alignment horizontal="center" readingOrder="0"/>
    </xf>
    <xf borderId="0" fillId="2" fontId="3" numFmtId="0" xfId="0" applyAlignment="1" applyFont="1">
      <alignment horizontal="center" readingOrder="0"/>
    </xf>
    <xf borderId="0" fillId="2" fontId="4" numFmtId="0" xfId="0" applyAlignment="1" applyFont="1">
      <alignment readingOrder="0"/>
    </xf>
    <xf borderId="0" fillId="2" fontId="5" numFmtId="0" xfId="0" applyAlignment="1" applyFont="1">
      <alignment shrinkToFit="0" wrapText="1"/>
    </xf>
    <xf borderId="1" fillId="0" fontId="1" numFmtId="0" xfId="0" applyBorder="1" applyFont="1"/>
    <xf borderId="2" fillId="0" fontId="1" numFmtId="0" xfId="0" applyBorder="1" applyFont="1"/>
    <xf borderId="3" fillId="0" fontId="1" numFmtId="0" xfId="0" applyBorder="1" applyFont="1"/>
    <xf borderId="4" fillId="3" fontId="1" numFmtId="0" xfId="0" applyBorder="1" applyFill="1" applyFont="1"/>
    <xf borderId="5" fillId="4" fontId="6" numFmtId="0" xfId="0" applyAlignment="1" applyBorder="1" applyFill="1" applyFont="1">
      <alignment horizontal="left" readingOrder="0" shrinkToFit="0" wrapText="1"/>
    </xf>
    <xf borderId="6" fillId="0" fontId="7" numFmtId="0" xfId="0" applyBorder="1" applyFont="1"/>
    <xf borderId="7" fillId="0" fontId="7" numFmtId="0" xfId="0" applyBorder="1" applyFont="1"/>
    <xf borderId="8" fillId="3" fontId="1" numFmtId="0" xfId="0" applyBorder="1" applyFont="1"/>
    <xf borderId="5" fillId="0" fontId="8" numFmtId="0" xfId="0" applyAlignment="1" applyBorder="1" applyFont="1">
      <alignment horizontal="left" readingOrder="0" shrinkToFit="0" wrapText="1"/>
    </xf>
    <xf borderId="9" fillId="3" fontId="1" numFmtId="0" xfId="0" applyBorder="1" applyFont="1"/>
    <xf borderId="10" fillId="3" fontId="1" numFmtId="0" xfId="0" applyBorder="1" applyFont="1"/>
    <xf borderId="5" fillId="0" fontId="9" numFmtId="0" xfId="0" applyAlignment="1" applyBorder="1" applyFont="1">
      <alignment horizontal="left" readingOrder="0" shrinkToFit="0" wrapText="1"/>
    </xf>
    <xf borderId="5" fillId="0" fontId="8" numFmtId="0" xfId="0" applyAlignment="1" applyBorder="1" applyFont="1">
      <alignment horizontal="left" readingOrder="0" shrinkToFit="0" wrapText="1"/>
    </xf>
    <xf borderId="11" fillId="0" fontId="1" numFmtId="0" xfId="0" applyBorder="1" applyFont="1"/>
    <xf borderId="12" fillId="0" fontId="1" numFmtId="0" xfId="0" applyBorder="1" applyFont="1"/>
    <xf borderId="11" fillId="0" fontId="10" numFmtId="0" xfId="0" applyAlignment="1" applyBorder="1" applyFont="1">
      <alignment readingOrder="0"/>
    </xf>
    <xf borderId="13" fillId="0" fontId="1" numFmtId="0" xfId="0" applyBorder="1" applyFont="1"/>
    <xf borderId="13" fillId="0" fontId="11" numFmtId="0" xfId="0" applyAlignment="1" applyBorder="1" applyFont="1">
      <alignment horizontal="right"/>
    </xf>
    <xf borderId="12" fillId="0" fontId="1" numFmtId="0" xfId="0" applyAlignment="1" applyBorder="1" applyFont="1">
      <alignment horizontal="center"/>
    </xf>
    <xf borderId="11" fillId="0" fontId="1" numFmtId="0" xfId="0" applyBorder="1" applyFont="1"/>
    <xf borderId="11" fillId="0" fontId="8" numFmtId="0" xfId="0" applyAlignment="1" applyBorder="1" applyFont="1">
      <alignment horizontal="left" readingOrder="0" shrinkToFit="0" wrapText="1"/>
    </xf>
    <xf borderId="5" fillId="0" fontId="1" numFmtId="0" xfId="0" applyBorder="1" applyFont="1"/>
    <xf borderId="14" fillId="4" fontId="12" numFmtId="0" xfId="0" applyAlignment="1" applyBorder="1" applyFont="1">
      <alignment horizontal="center"/>
    </xf>
    <xf borderId="14" fillId="0" fontId="13" numFmtId="0" xfId="0" applyAlignment="1" applyBorder="1" applyFont="1">
      <alignment readingOrder="0"/>
    </xf>
    <xf borderId="7" fillId="0" fontId="1" numFmtId="0" xfId="0" applyBorder="1" applyFont="1"/>
    <xf borderId="15" fillId="0" fontId="1" numFmtId="0" xfId="0" applyBorder="1" applyFont="1"/>
    <xf borderId="7" fillId="0" fontId="8" numFmtId="164" xfId="0" applyAlignment="1" applyBorder="1" applyFont="1" applyNumberFormat="1">
      <alignment horizontal="center"/>
    </xf>
    <xf borderId="11" fillId="0" fontId="8" numFmtId="0" xfId="0" applyAlignment="1" applyBorder="1" applyFont="1">
      <alignment horizontal="left" vertical="center"/>
    </xf>
    <xf borderId="11" fillId="0" fontId="8" numFmtId="164" xfId="0" applyAlignment="1" applyBorder="1" applyFont="1" applyNumberFormat="1">
      <alignment horizontal="center"/>
    </xf>
    <xf borderId="1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right"/>
    </xf>
    <xf borderId="14" fillId="5" fontId="13" numFmtId="164" xfId="0" applyBorder="1" applyFill="1" applyFont="1" applyNumberFormat="1"/>
    <xf borderId="7" fillId="0" fontId="8" numFmtId="0" xfId="0" applyBorder="1" applyFont="1"/>
    <xf borderId="11" fillId="0" fontId="8" numFmtId="0" xfId="0" applyAlignment="1" applyBorder="1" applyFont="1">
      <alignment horizontal="right"/>
    </xf>
    <xf borderId="16" fillId="5" fontId="13" numFmtId="164" xfId="0" applyAlignment="1" applyBorder="1" applyFont="1" applyNumberFormat="1">
      <alignment horizontal="center"/>
    </xf>
    <xf borderId="17" fillId="0" fontId="7" numFmtId="0" xfId="0" applyBorder="1" applyFont="1"/>
    <xf borderId="18" fillId="0" fontId="7" numFmtId="0" xfId="0" applyBorder="1" applyFont="1"/>
    <xf borderId="19" fillId="0" fontId="14" numFmtId="0" xfId="0" applyAlignment="1" applyBorder="1" applyFont="1">
      <alignment horizontal="right" readingOrder="0"/>
    </xf>
    <xf borderId="20" fillId="0" fontId="7" numFmtId="0" xfId="0" applyBorder="1" applyFont="1"/>
    <xf borderId="12" fillId="0" fontId="7" numFmtId="0" xfId="0" applyBorder="1" applyFont="1"/>
    <xf borderId="21" fillId="6" fontId="15" numFmtId="0" xfId="0" applyAlignment="1" applyBorder="1" applyFill="1" applyFont="1">
      <alignment horizontal="center" readingOrder="1" shrinkToFit="0" vertical="center" wrapText="1"/>
    </xf>
    <xf borderId="21" fillId="6" fontId="15" numFmtId="0" xfId="0" applyAlignment="1" applyBorder="1" applyFont="1">
      <alignment horizontal="center" readingOrder="1" shrinkToFit="0" vertical="center" wrapText="1"/>
    </xf>
    <xf borderId="21" fillId="7" fontId="16" numFmtId="0" xfId="0" applyAlignment="1" applyBorder="1" applyFill="1" applyFont="1">
      <alignment horizontal="center" readingOrder="1" shrinkToFit="0" vertical="center" wrapText="1"/>
    </xf>
    <xf borderId="21" fillId="8" fontId="16" numFmtId="0" xfId="0" applyAlignment="1" applyBorder="1" applyFill="1" applyFont="1">
      <alignment horizontal="center" readingOrder="1" shrinkToFit="0" vertical="center" wrapText="1"/>
    </xf>
    <xf borderId="21" fillId="9" fontId="16" numFmtId="0" xfId="0" applyAlignment="1" applyBorder="1" applyFill="1" applyFont="1">
      <alignment horizontal="center" readingOrder="1" shrinkToFit="0" vertical="center" wrapText="1"/>
    </xf>
    <xf borderId="21" fillId="10" fontId="16" numFmtId="0" xfId="0" applyAlignment="1" applyBorder="1" applyFill="1" applyFont="1">
      <alignment horizontal="center" readingOrder="1" shrinkToFit="0" vertical="center" wrapText="1"/>
    </xf>
    <xf borderId="21" fillId="11" fontId="16" numFmtId="0" xfId="0" applyAlignment="1" applyBorder="1" applyFill="1" applyFont="1">
      <alignment horizontal="center" readingOrder="1" shrinkToFit="0" vertical="center" wrapText="1"/>
    </xf>
    <xf borderId="21" fillId="12" fontId="16" numFmtId="0" xfId="0" applyAlignment="1" applyBorder="1" applyFill="1" applyFont="1">
      <alignment horizontal="center" readingOrder="1" shrinkToFit="0" vertical="center" wrapText="1"/>
    </xf>
    <xf borderId="21" fillId="6" fontId="15" numFmtId="0" xfId="0" applyAlignment="1" applyBorder="1" applyFont="1">
      <alignment horizontal="center" readingOrder="1" vertical="center"/>
    </xf>
    <xf borderId="0" fillId="0" fontId="17" numFmtId="0" xfId="0" applyAlignment="1" applyFont="1">
      <alignment horizontal="left" readingOrder="1" shrinkToFit="0" wrapText="1"/>
    </xf>
    <xf borderId="0" fillId="0" fontId="17" numFmtId="0" xfId="0" applyAlignment="1" applyFont="1">
      <alignment horizontal="left" readingOrder="1" shrinkToFit="0" wrapText="1"/>
    </xf>
    <xf borderId="0" fillId="0" fontId="17" numFmtId="0" xfId="0" applyAlignment="1" applyFont="1">
      <alignment horizontal="left" readingOrder="1"/>
    </xf>
    <xf borderId="0" fillId="0" fontId="17" numFmtId="2" xfId="0" applyAlignment="1" applyFont="1" applyNumberFormat="1">
      <alignment horizontal="left" readingOrder="1"/>
    </xf>
    <xf borderId="0" fillId="0" fontId="17" numFmtId="164" xfId="0" applyFont="1" applyNumberFormat="1"/>
    <xf borderId="0" fillId="0" fontId="17" numFmtId="0" xfId="0" applyAlignment="1" applyFont="1">
      <alignment horizontal="left" readingOrder="1"/>
    </xf>
    <xf borderId="0" fillId="0" fontId="17" numFmtId="0" xfId="0" applyAlignment="1" applyFont="1">
      <alignment horizontal="left" readingOrder="1" shrinkToFit="0" wrapText="1"/>
    </xf>
    <xf borderId="0" fillId="0" fontId="18" numFmtId="0" xfId="0" applyFont="1"/>
    <xf borderId="0" fillId="0" fontId="18" numFmtId="0" xfId="0" applyAlignment="1" applyFont="1">
      <alignment horizontal="left"/>
    </xf>
    <xf borderId="0" fillId="0" fontId="17" numFmtId="0" xfId="0" applyFont="1"/>
    <xf borderId="0" fillId="0" fontId="18" numFmtId="0" xfId="0" applyAlignment="1" applyFont="1">
      <alignment readingOrder="0"/>
    </xf>
    <xf borderId="0" fillId="0" fontId="17" numFmtId="0" xfId="0" applyAlignment="1" applyFont="1">
      <alignment horizontal="left" readingOrder="1"/>
    </xf>
    <xf borderId="0" fillId="0" fontId="17" numFmtId="0" xfId="0" applyAlignment="1" applyFont="1">
      <alignment horizontal="left" readingOrder="1"/>
    </xf>
    <xf borderId="0" fillId="0" fontId="17" numFmtId="0" xfId="0" applyAlignment="1" applyFont="1">
      <alignment horizontal="left"/>
    </xf>
    <xf borderId="0" fillId="0" fontId="17" numFmtId="0" xfId="0" applyAlignment="1" applyFont="1">
      <alignment horizontal="left" readingOrder="1" shrinkToFit="0" wrapText="1"/>
    </xf>
    <xf borderId="0" fillId="0" fontId="17" numFmtId="0" xfId="0" applyAlignment="1" applyFont="1">
      <alignment readingOrder="0"/>
    </xf>
    <xf borderId="0" fillId="0" fontId="17" numFmtId="0" xfId="0" applyAlignment="1" applyFont="1">
      <alignment horizontal="left" readingOrder="0"/>
    </xf>
    <xf borderId="0" fillId="0" fontId="17" numFmtId="0" xfId="0" applyAlignment="1" applyFont="1">
      <alignment readingOrder="0" shrinkToFit="0" wrapText="1"/>
    </xf>
    <xf borderId="0" fillId="0" fontId="18" numFmtId="0" xfId="0" applyAlignment="1" applyFont="1">
      <alignment readingOrder="0"/>
    </xf>
    <xf borderId="0" fillId="0" fontId="18" numFmtId="0" xfId="0" applyAlignment="1" applyFont="1">
      <alignment horizontal="left" readingOrder="1" shrinkToFit="0" wrapText="1"/>
    </xf>
    <xf borderId="0" fillId="0" fontId="17" numFmtId="0" xfId="0" applyAlignment="1" applyFont="1">
      <alignment readingOrder="0"/>
    </xf>
    <xf borderId="21" fillId="13" fontId="19" numFmtId="0" xfId="0" applyBorder="1" applyFill="1" applyFont="1"/>
    <xf borderId="21" fillId="13" fontId="20" numFmtId="0" xfId="0" applyBorder="1" applyFont="1"/>
    <xf borderId="21" fillId="14" fontId="13" numFmtId="0" xfId="0" applyBorder="1" applyFill="1" applyFont="1"/>
    <xf borderId="21" fillId="15" fontId="13" numFmtId="0" xfId="0" applyBorder="1" applyFill="1" applyFont="1"/>
    <xf borderId="21" fillId="16" fontId="13" numFmtId="0" xfId="0" applyBorder="1" applyFill="1" applyFont="1"/>
    <xf borderId="21" fillId="17" fontId="13" numFmtId="0" xfId="0" applyAlignment="1" applyBorder="1" applyFill="1" applyFont="1">
      <alignment horizontal="left"/>
    </xf>
    <xf borderId="21" fillId="17" fontId="13" numFmtId="0" xfId="0" applyBorder="1" applyFont="1"/>
    <xf borderId="21" fillId="18" fontId="13" numFmtId="0" xfId="0" applyBorder="1" applyFill="1" applyFont="1"/>
    <xf borderId="21" fillId="19" fontId="21" numFmtId="0" xfId="0" applyAlignment="1" applyBorder="1" applyFill="1" applyFont="1">
      <alignment horizontal="center" readingOrder="1" shrinkToFit="0" vertical="center" wrapText="1"/>
    </xf>
    <xf borderId="21" fillId="20" fontId="21" numFmtId="0" xfId="0" applyAlignment="1" applyBorder="1" applyFill="1" applyFont="1">
      <alignment horizontal="center" readingOrder="1" shrinkToFit="0" vertical="center" wrapText="1"/>
    </xf>
    <xf borderId="21" fillId="10" fontId="21" numFmtId="0" xfId="0" applyAlignment="1" applyBorder="1" applyFont="1">
      <alignment horizontal="center" readingOrder="1" shrinkToFit="0" vertical="center" wrapText="1"/>
    </xf>
    <xf borderId="21" fillId="7" fontId="21" numFmtId="0" xfId="0" applyAlignment="1" applyBorder="1" applyFont="1">
      <alignment horizontal="center" readingOrder="1" shrinkToFit="0" vertical="center" wrapText="1"/>
    </xf>
    <xf borderId="21" fillId="21" fontId="21" numFmtId="0" xfId="0" applyAlignment="1" applyBorder="1" applyFill="1" applyFont="1">
      <alignment horizontal="center" readingOrder="1" shrinkToFit="0" vertical="center" wrapText="1"/>
    </xf>
    <xf borderId="21" fillId="8" fontId="21" numFmtId="0" xfId="0" applyAlignment="1" applyBorder="1" applyFont="1">
      <alignment horizontal="center" readingOrder="1" shrinkToFit="0" vertical="center" wrapText="1"/>
    </xf>
    <xf borderId="21" fillId="22" fontId="21" numFmtId="0" xfId="0" applyAlignment="1" applyBorder="1" applyFill="1" applyFont="1">
      <alignment horizontal="center" readingOrder="1" shrinkToFit="0" vertical="center" wrapText="1"/>
    </xf>
    <xf borderId="0" fillId="0" fontId="17" numFmtId="17" xfId="0" applyAlignment="1" applyFont="1" applyNumberFormat="1">
      <alignment horizontal="left" readingOrder="1" shrinkToFit="0" wrapText="1"/>
    </xf>
    <xf borderId="0" fillId="0" fontId="17" numFmtId="0" xfId="0" applyAlignment="1" applyFont="1">
      <alignment horizontal="right" readingOrder="1" shrinkToFit="0" wrapText="1"/>
    </xf>
    <xf borderId="0" fillId="0" fontId="17" numFmtId="1" xfId="0" applyAlignment="1" applyFont="1" applyNumberFormat="1">
      <alignment horizontal="left" readingOrder="1" shrinkToFit="0" wrapText="1"/>
    </xf>
    <xf borderId="21" fillId="23" fontId="17" numFmtId="1" xfId="0" applyAlignment="1" applyBorder="1" applyFill="1" applyFont="1" applyNumberFormat="1">
      <alignment horizontal="left" readingOrder="1" shrinkToFit="0" wrapText="1"/>
    </xf>
    <xf borderId="0" fillId="0" fontId="22" numFmtId="165" xfId="0" applyAlignment="1" applyFont="1" applyNumberFormat="1">
      <alignment horizontal="left" readingOrder="1" shrinkToFit="0" wrapText="1"/>
    </xf>
    <xf borderId="0" fillId="0" fontId="22" numFmtId="164" xfId="0" applyAlignment="1" applyFont="1" applyNumberFormat="1">
      <alignment horizontal="left" readingOrder="1" shrinkToFit="0" wrapText="1"/>
    </xf>
    <xf borderId="0" fillId="0" fontId="1" numFmtId="0" xfId="0" applyFont="1"/>
    <xf borderId="0" fillId="0" fontId="13" numFmtId="164" xfId="0" applyFont="1" applyNumberFormat="1"/>
    <xf borderId="21" fillId="24" fontId="23" numFmtId="0" xfId="0" applyAlignment="1" applyBorder="1" applyFill="1" applyFont="1">
      <alignment horizontal="center" readingOrder="1" shrinkToFit="0" vertical="center" wrapText="1"/>
    </xf>
    <xf borderId="21" fillId="25" fontId="21" numFmtId="0" xfId="0" applyAlignment="1" applyBorder="1" applyFill="1" applyFont="1">
      <alignment horizontal="center" readingOrder="1" shrinkToFit="0" vertical="center" wrapText="1"/>
    </xf>
    <xf borderId="21" fillId="26" fontId="21" numFmtId="0" xfId="0" applyAlignment="1" applyBorder="1" applyFill="1" applyFont="1">
      <alignment horizontal="center" readingOrder="1" shrinkToFit="0" vertical="center" wrapText="1"/>
    </xf>
    <xf borderId="0" fillId="0" fontId="17" numFmtId="0" xfId="0" applyFont="1"/>
    <xf borderId="21" fillId="27" fontId="24" numFmtId="1" xfId="0" applyBorder="1" applyFill="1" applyFont="1" applyNumberFormat="1"/>
    <xf borderId="21" fillId="27" fontId="24" numFmtId="166" xfId="0" applyBorder="1" applyFont="1" applyNumberFormat="1"/>
    <xf borderId="0" fillId="0" fontId="13" numFmtId="2" xfId="0" applyFont="1" applyNumberFormat="1"/>
    <xf borderId="0" fillId="0" fontId="13" numFmtId="9" xfId="0" applyFont="1" applyNumberFormat="1"/>
    <xf borderId="0" fillId="0" fontId="13" numFmtId="1" xfId="0" applyFont="1" applyNumberFormat="1"/>
    <xf borderId="0" fillId="0" fontId="22" numFmtId="0" xfId="0" applyAlignment="1" applyFont="1">
      <alignment horizontal="right" readingOrder="1" shrinkToFit="0" wrapText="1"/>
    </xf>
    <xf borderId="0" fillId="0" fontId="13" numFmtId="166" xfId="0" applyFont="1" applyNumberFormat="1"/>
    <xf borderId="0" fillId="0" fontId="17" numFmtId="0" xfId="0" applyAlignment="1" applyFont="1">
      <alignment horizontal="right" readingOrder="1" shrinkToFit="0" wrapText="1"/>
    </xf>
    <xf borderId="0" fillId="0" fontId="22" numFmtId="0" xfId="0" applyFont="1"/>
    <xf borderId="0" fillId="0" fontId="25" numFmtId="0" xfId="0" applyAlignment="1" applyFont="1">
      <alignment readingOrder="0"/>
    </xf>
    <xf borderId="0" fillId="0" fontId="22" numFmtId="0" xfId="0" applyFont="1"/>
    <xf borderId="0" fillId="0" fontId="26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27" numFmtId="0" xfId="0" applyAlignment="1" applyFont="1">
      <alignment readingOrder="0"/>
    </xf>
    <xf borderId="0" fillId="0" fontId="13" numFmtId="0" xfId="0" applyFont="1"/>
    <xf borderId="21" fillId="28" fontId="21" numFmtId="0" xfId="0" applyAlignment="1" applyBorder="1" applyFill="1" applyFont="1">
      <alignment horizontal="center" readingOrder="1" shrinkToFit="0" vertical="center" wrapText="1"/>
    </xf>
    <xf borderId="0" fillId="0" fontId="1" numFmtId="0" xfId="0" applyAlignment="1" applyFont="1">
      <alignment readingOrder="0"/>
    </xf>
    <xf borderId="22" fillId="29" fontId="13" numFmtId="0" xfId="0" applyAlignment="1" applyBorder="1" applyFill="1" applyFont="1">
      <alignment horizontal="center"/>
    </xf>
    <xf borderId="23" fillId="0" fontId="7" numFmtId="0" xfId="0" applyBorder="1" applyFont="1"/>
    <xf borderId="24" fillId="0" fontId="7" numFmtId="0" xfId="0" applyBorder="1" applyFont="1"/>
    <xf borderId="21" fillId="29" fontId="13" numFmtId="2" xfId="0" applyBorder="1" applyFont="1" applyNumberFormat="1"/>
    <xf borderId="21" fillId="30" fontId="21" numFmtId="0" xfId="0" applyAlignment="1" applyBorder="1" applyFill="1" applyFont="1">
      <alignment horizontal="center" readingOrder="1" shrinkToFit="0" vertical="center" wrapText="1"/>
    </xf>
    <xf borderId="21" fillId="6" fontId="15" numFmtId="0" xfId="0" applyAlignment="1" applyBorder="1" applyFont="1">
      <alignment horizontal="center" readingOrder="1" vertical="center"/>
    </xf>
    <xf borderId="0" fillId="0" fontId="28" numFmtId="0" xfId="0" applyAlignment="1" applyFont="1">
      <alignment readingOrder="0" vertical="center"/>
    </xf>
    <xf borderId="25" fillId="6" fontId="15" numFmtId="0" xfId="0" applyAlignment="1" applyBorder="1" applyFont="1">
      <alignment horizontal="left" readingOrder="1" shrinkToFit="0" vertical="center" wrapText="1"/>
    </xf>
    <xf borderId="26" fillId="0" fontId="13" numFmtId="0" xfId="0" applyAlignment="1" applyBorder="1" applyFont="1">
      <alignment vertical="center"/>
    </xf>
    <xf borderId="0" fillId="0" fontId="24" numFmtId="0" xfId="0" applyAlignment="1" applyFont="1">
      <alignment readingOrder="0" vertical="center"/>
    </xf>
    <xf borderId="26" fillId="0" fontId="13" numFmtId="167" xfId="0" applyAlignment="1" applyBorder="1" applyFont="1" applyNumberFormat="1">
      <alignment vertical="center"/>
    </xf>
    <xf borderId="0" fillId="0" fontId="24" numFmtId="167" xfId="0" applyAlignment="1" applyFont="1" applyNumberFormat="1">
      <alignment readingOrder="0" vertical="center"/>
    </xf>
    <xf borderId="26" fillId="0" fontId="13" numFmtId="0" xfId="0" applyAlignment="1" applyBorder="1" applyFont="1">
      <alignment readingOrder="0" vertical="center"/>
    </xf>
    <xf borderId="25" fillId="6" fontId="15" numFmtId="0" xfId="0" applyAlignment="1" applyBorder="1" applyFont="1">
      <alignment horizontal="left" readingOrder="1" shrinkToFit="0" vertical="center" wrapText="1"/>
    </xf>
    <xf borderId="26" fillId="0" fontId="13" numFmtId="1" xfId="0" applyAlignment="1" applyBorder="1" applyFont="1" applyNumberFormat="1">
      <alignment readingOrder="0" vertical="center"/>
    </xf>
    <xf borderId="0" fillId="0" fontId="29" numFmtId="0" xfId="0" applyAlignment="1" applyFont="1">
      <alignment readingOrder="0"/>
    </xf>
    <xf borderId="0" fillId="0" fontId="30" numFmtId="0" xfId="0" applyFont="1"/>
    <xf borderId="0" fillId="0" fontId="31" numFmtId="0" xfId="0" applyFont="1"/>
    <xf borderId="11" fillId="4" fontId="21" numFmtId="0" xfId="0" applyAlignment="1" applyBorder="1" applyFont="1">
      <alignment horizontal="center" readingOrder="0" shrinkToFit="0" vertical="center" wrapText="1"/>
    </xf>
    <xf borderId="11" fillId="4" fontId="21" numFmtId="168" xfId="0" applyAlignment="1" applyBorder="1" applyFont="1" applyNumberFormat="1">
      <alignment horizontal="center" readingOrder="0" shrinkToFit="0" vertical="center" wrapText="1"/>
    </xf>
    <xf borderId="27" fillId="0" fontId="18" numFmtId="0" xfId="0" applyAlignment="1" applyBorder="1" applyFont="1">
      <alignment readingOrder="0" shrinkToFit="0" vertical="bottom" wrapText="0"/>
    </xf>
    <xf borderId="27" fillId="0" fontId="32" numFmtId="0" xfId="0" applyAlignment="1" applyBorder="1" applyFont="1">
      <alignment readingOrder="0" shrinkToFit="0" vertical="bottom" wrapText="0"/>
    </xf>
    <xf borderId="27" fillId="0" fontId="18" numFmtId="168" xfId="0" applyAlignment="1" applyBorder="1" applyFont="1" applyNumberFormat="1">
      <alignment readingOrder="0" shrinkToFit="0" vertical="bottom" wrapText="0"/>
    </xf>
    <xf borderId="27" fillId="0" fontId="18" numFmtId="0" xfId="0" applyAlignment="1" applyBorder="1" applyFont="1">
      <alignment horizontal="right" readingOrder="0" shrinkToFit="0" vertical="bottom" wrapText="0"/>
    </xf>
    <xf borderId="27" fillId="0" fontId="18" numFmtId="1" xfId="0" applyAlignment="1" applyBorder="1" applyFont="1" applyNumberFormat="1">
      <alignment horizontal="right" readingOrder="0" shrinkToFit="0" vertical="bottom" wrapText="0"/>
    </xf>
    <xf borderId="28" fillId="0" fontId="18" numFmtId="0" xfId="0" applyAlignment="1" applyBorder="1" applyFont="1">
      <alignment readingOrder="0" shrinkToFit="0" vertical="bottom" wrapText="0"/>
    </xf>
    <xf borderId="28" fillId="0" fontId="33" numFmtId="0" xfId="0" applyAlignment="1" applyBorder="1" applyFont="1">
      <alignment readingOrder="0" shrinkToFit="0" vertical="bottom" wrapText="0"/>
    </xf>
    <xf borderId="28" fillId="0" fontId="18" numFmtId="168" xfId="0" applyAlignment="1" applyBorder="1" applyFont="1" applyNumberFormat="1">
      <alignment readingOrder="0" shrinkToFit="0" vertical="bottom" wrapText="0"/>
    </xf>
    <xf borderId="28" fillId="0" fontId="18" numFmtId="0" xfId="0" applyAlignment="1" applyBorder="1" applyFont="1">
      <alignment horizontal="right" readingOrder="0" shrinkToFit="0" vertical="bottom" wrapText="0"/>
    </xf>
    <xf borderId="28" fillId="0" fontId="18" numFmtId="1" xfId="0" applyAlignment="1" applyBorder="1" applyFont="1" applyNumberFormat="1">
      <alignment horizontal="right" readingOrder="0" shrinkToFit="0" vertical="bottom" wrapText="0"/>
    </xf>
    <xf borderId="28" fillId="0" fontId="18" numFmtId="0" xfId="0" applyAlignment="1" applyBorder="1" applyFont="1">
      <alignment readingOrder="0" vertical="bottom"/>
    </xf>
    <xf borderId="0" fillId="0" fontId="1" numFmtId="168" xfId="0" applyFont="1" applyNumberFormat="1"/>
    <xf borderId="0" fillId="0" fontId="34" numFmtId="0" xfId="0" applyAlignment="1" applyFont="1">
      <alignment readingOrder="0"/>
    </xf>
    <xf borderId="0" fillId="0" fontId="35" numFmtId="0" xfId="0" applyAlignment="1" applyFont="1">
      <alignment readingOrder="0"/>
    </xf>
    <xf borderId="0" fillId="0" fontId="13" numFmtId="0" xfId="0" applyAlignment="1" applyFont="1">
      <alignment readingOrder="0"/>
    </xf>
    <xf borderId="29" fillId="0" fontId="28" numFmtId="0" xfId="0" applyBorder="1" applyFont="1"/>
    <xf borderId="0" fillId="0" fontId="13" numFmtId="10" xfId="0" applyFont="1" applyNumberFormat="1"/>
    <xf borderId="0" fillId="0" fontId="29" numFmtId="0" xfId="0" applyFont="1"/>
    <xf borderId="0" fillId="0" fontId="36" numFmtId="0" xfId="0" applyAlignment="1" applyFont="1">
      <alignment readingOrder="0"/>
    </xf>
    <xf borderId="29" fillId="0" fontId="1" numFmtId="0" xfId="0" applyAlignment="1" applyBorder="1" applyFont="1">
      <alignment readingOrder="0"/>
    </xf>
    <xf borderId="29" fillId="0" fontId="13" numFmtId="10" xfId="0" applyBorder="1" applyFont="1" applyNumberFormat="1"/>
    <xf borderId="29" fillId="0" fontId="13" numFmtId="1" xfId="0" applyBorder="1" applyFont="1" applyNumberFormat="1"/>
    <xf borderId="0" fillId="0" fontId="37" numFmtId="0" xfId="0" applyFont="1"/>
    <xf borderId="29" fillId="0" fontId="1" numFmtId="0" xfId="0" applyBorder="1" applyFont="1"/>
    <xf borderId="0" fillId="0" fontId="24" numFmtId="0" xfId="0" applyAlignment="1" applyFont="1">
      <alignment readingOrder="0"/>
    </xf>
    <xf borderId="29" fillId="0" fontId="28" numFmtId="1" xfId="0" applyBorder="1" applyFont="1" applyNumberFormat="1"/>
    <xf borderId="29" fillId="0" fontId="13" numFmtId="9" xfId="0" applyBorder="1" applyFont="1" applyNumberFormat="1"/>
    <xf borderId="29" fillId="0" fontId="1" numFmtId="9" xfId="0" applyBorder="1" applyFont="1" applyNumberFormat="1"/>
    <xf borderId="29" fillId="0" fontId="1" numFmtId="1" xfId="0" applyBorder="1" applyFont="1" applyNumberFormat="1"/>
    <xf borderId="0" fillId="0" fontId="28" numFmtId="0" xfId="0" applyFont="1"/>
    <xf borderId="0" fillId="0" fontId="28" numFmtId="1" xfId="0" applyFont="1" applyNumberFormat="1"/>
    <xf borderId="0" fillId="3" fontId="1" numFmtId="0" xfId="0" applyFont="1"/>
    <xf borderId="30" fillId="11" fontId="38" numFmtId="0" xfId="0" applyAlignment="1" applyBorder="1" applyFont="1">
      <alignment horizontal="center" readingOrder="0" vertical="center"/>
    </xf>
    <xf borderId="26" fillId="0" fontId="7" numFmtId="0" xfId="0" applyBorder="1" applyFont="1"/>
    <xf borderId="30" fillId="11" fontId="38" numFmtId="0" xfId="0" applyAlignment="1" applyBorder="1" applyFont="1">
      <alignment horizontal="center" readingOrder="0"/>
    </xf>
    <xf borderId="31" fillId="0" fontId="7" numFmtId="0" xfId="0" applyBorder="1" applyFont="1"/>
    <xf borderId="25" fillId="4" fontId="38" numFmtId="0" xfId="0" applyAlignment="1" applyBorder="1" applyFont="1">
      <alignment horizontal="center" readingOrder="0" vertical="center"/>
    </xf>
    <xf borderId="25" fillId="4" fontId="38" numFmtId="0" xfId="0" applyAlignment="1" applyBorder="1" applyFont="1">
      <alignment horizontal="center" readingOrder="0" shrinkToFit="0" vertical="center" wrapText="1"/>
    </xf>
    <xf borderId="25" fillId="0" fontId="29" numFmtId="1" xfId="0" applyAlignment="1" applyBorder="1" applyFont="1" applyNumberFormat="1">
      <alignment vertical="top"/>
    </xf>
    <xf borderId="25" fillId="0" fontId="29" numFmtId="1" xfId="0" applyBorder="1" applyFont="1" applyNumberFormat="1"/>
    <xf borderId="25" fillId="0" fontId="1" numFmtId="0" xfId="0" applyAlignment="1" applyBorder="1" applyFont="1">
      <alignment vertical="center"/>
    </xf>
    <xf borderId="25" fillId="0" fontId="1" numFmtId="1" xfId="0" applyAlignment="1" applyBorder="1" applyFont="1" applyNumberFormat="1">
      <alignment horizontal="right" vertical="center"/>
    </xf>
    <xf borderId="27" fillId="0" fontId="39" numFmtId="0" xfId="0" applyAlignment="1" applyBorder="1" applyFont="1">
      <alignment readingOrder="0"/>
    </xf>
    <xf borderId="32" fillId="0" fontId="29" numFmtId="1" xfId="0" applyAlignment="1" applyBorder="1" applyFont="1" applyNumberFormat="1">
      <alignment vertical="top"/>
    </xf>
    <xf borderId="27" fillId="0" fontId="39" numFmtId="1" xfId="0" applyBorder="1" applyFont="1" applyNumberFormat="1"/>
    <xf borderId="28" fillId="0" fontId="39" numFmtId="0" xfId="0" applyAlignment="1" applyBorder="1" applyFont="1">
      <alignment readingOrder="0"/>
    </xf>
    <xf borderId="32" fillId="0" fontId="7" numFmtId="0" xfId="0" applyBorder="1" applyFont="1"/>
    <xf borderId="28" fillId="0" fontId="39" numFmtId="1" xfId="0" applyBorder="1" applyFont="1" applyNumberFormat="1"/>
    <xf borderId="28" fillId="0" fontId="39" numFmtId="0" xfId="0" applyBorder="1" applyFont="1"/>
    <xf borderId="27" fillId="0" fontId="7" numFmtId="0" xfId="0" applyBorder="1" applyFont="1"/>
    <xf borderId="25" fillId="0" fontId="1" numFmtId="0" xfId="0" applyAlignment="1" applyBorder="1" applyFont="1">
      <alignment shrinkToFit="0" vertical="center" wrapText="1"/>
    </xf>
    <xf borderId="0" fillId="0" fontId="40" numFmtId="0" xfId="0" applyFont="1"/>
    <xf borderId="0" fillId="0" fontId="40" numFmtId="1" xfId="0" applyFont="1" applyNumberFormat="1"/>
    <xf borderId="0" fillId="0" fontId="40" numFmtId="0" xfId="0" applyAlignment="1" applyFont="1">
      <alignment shrinkToFit="0" wrapText="1"/>
    </xf>
    <xf borderId="0" fillId="0" fontId="15" numFmtId="0" xfId="0" applyAlignment="1" applyFont="1">
      <alignment horizontal="center" readingOrder="1" shrinkToFit="0" vertical="center" wrapText="1"/>
    </xf>
    <xf borderId="0" fillId="0" fontId="17" numFmtId="3" xfId="0" applyAlignment="1" applyFont="1" applyNumberFormat="1">
      <alignment horizontal="left" readingOrder="1" shrinkToFit="0" wrapText="1"/>
    </xf>
    <xf borderId="0" fillId="0" fontId="17" numFmtId="169" xfId="0" applyAlignment="1" applyFont="1" applyNumberFormat="1">
      <alignment horizontal="left" readingOrder="1" shrinkToFit="0" wrapText="1"/>
    </xf>
    <xf borderId="0" fillId="0" fontId="22" numFmtId="0" xfId="0" applyAlignment="1" applyFont="1">
      <alignment horizontal="left" readingOrder="1" shrinkToFit="0" wrapText="1"/>
    </xf>
    <xf borderId="0" fillId="0" fontId="41" numFmtId="0" xfId="0" applyAlignment="1" applyFont="1">
      <alignment shrinkToFit="0" wrapText="1"/>
    </xf>
    <xf borderId="0" fillId="0" fontId="42" numFmtId="0" xfId="0" applyAlignment="1" applyFont="1">
      <alignment shrinkToFit="0" wrapText="1"/>
    </xf>
    <xf borderId="0" fillId="0" fontId="1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466725" cy="20955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1</xdr:row>
      <xdr:rowOff>0</xdr:rowOff>
    </xdr:from>
    <xdr:ext cx="590550" cy="2095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33</xdr:row>
      <xdr:rowOff>0</xdr:rowOff>
    </xdr:from>
    <xdr:ext cx="495300" cy="17145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ngineering.teads.com/" TargetMode="External"/><Relationship Id="rId2" Type="http://schemas.openxmlformats.org/officeDocument/2006/relationships/hyperlink" Target="https://www.linkedin.com/in/benjamin-davy-a52a02b/" TargetMode="External"/><Relationship Id="rId3" Type="http://schemas.openxmlformats.org/officeDocument/2006/relationships/hyperlink" Target="https://www.boavizta.org/" TargetMode="External"/><Relationship Id="rId4" Type="http://schemas.openxmlformats.org/officeDocument/2006/relationships/hyperlink" Target="https://www.cloudcarbonfootprint.org/" TargetMode="External"/><Relationship Id="rId5" Type="http://schemas.openxmlformats.org/officeDocument/2006/relationships/hyperlink" Target="https://www.workflowers.net/teads-workflowers-and-hardbricks-collaborate-on-measurements-for-cloud-infrastructures/" TargetMode="External"/><Relationship Id="rId6" Type="http://schemas.openxmlformats.org/officeDocument/2006/relationships/hyperlink" Target="http://creativecommons.org/licenses/by/4.0/" TargetMode="External"/><Relationship Id="rId7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corporate.delltechnologies.com/content/dam/digitalassets/active/en/unauth/data-sheets/products/servers/Full_LCA_Dell_R740.pdf" TargetMode="Externa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echpowerup.com/cpu-specs/?mfgr=Intel&amp;generation=Intel%20Xeon%20Platinum&amp;sort=name" TargetMode="External"/><Relationship Id="rId2" Type="http://schemas.openxmlformats.org/officeDocument/2006/relationships/hyperlink" Target="http://cpudb.stanford.edu/" TargetMode="External"/><Relationship Id="rId3" Type="http://schemas.openxmlformats.org/officeDocument/2006/relationships/hyperlink" Target="https://www.kaggle.com/bwolfram/intel-cpus" TargetMode="External"/><Relationship Id="rId4" Type="http://schemas.openxmlformats.org/officeDocument/2006/relationships/hyperlink" Target="https://github.com/Emma926/cpu_selection" TargetMode="External"/><Relationship Id="rId9" Type="http://schemas.openxmlformats.org/officeDocument/2006/relationships/hyperlink" Target="https://www.techpowerup.com/gpu-specs/" TargetMode="External"/><Relationship Id="rId5" Type="http://schemas.openxmlformats.org/officeDocument/2006/relationships/hyperlink" Target="https://en.wikichip.org/wiki/intel/xeon_e3/e3-1240_v6" TargetMode="External"/><Relationship Id="rId6" Type="http://schemas.openxmlformats.org/officeDocument/2006/relationships/hyperlink" Target="http://www.x86-guide.net/" TargetMode="External"/><Relationship Id="rId7" Type="http://schemas.openxmlformats.org/officeDocument/2006/relationships/hyperlink" Target="https://instances.vantage.sh/" TargetMode="External"/><Relationship Id="rId8" Type="http://schemas.openxmlformats.org/officeDocument/2006/relationships/hyperlink" Target="https://aws.amazon.com/blogs/aws/ec2-instance-history/" TargetMode="External"/><Relationship Id="rId11" Type="http://schemas.openxmlformats.org/officeDocument/2006/relationships/hyperlink" Target="https://www.delltechnologies.com/asset/en-us/products/servers/technical-support/Full_LCA_Dell_R740.pdf" TargetMode="External"/><Relationship Id="rId10" Type="http://schemas.openxmlformats.org/officeDocument/2006/relationships/hyperlink" Target="https://www.apple.com/environment/pdf/products/desktops/Mac_Pro_PER_Dec2019.pdf" TargetMode="External"/><Relationship Id="rId13" Type="http://schemas.openxmlformats.org/officeDocument/2006/relationships/hyperlink" Target="https://github.com/cloud-carbon-footprint/cloud-carbon-footprint/blob/075dfafa0333734f31519cf2e4c5725be6fa6c38/microsite/docs/Methodology.md" TargetMode="External"/><Relationship Id="rId12" Type="http://schemas.openxmlformats.org/officeDocument/2006/relationships/hyperlink" Target="https://corporate.delltechnologies.com/en-gb/social-impact/advancing-sustainability/sustainable-products-and-services/product-carbon-footprints.htm" TargetMode="External"/><Relationship Id="rId15" Type="http://schemas.openxmlformats.org/officeDocument/2006/relationships/hyperlink" Target="https://community.arm.com/developer/ip-products/processors/b/processors-ip-blog/posts/arm-neoverse-n1-platform-accelerating-the-transformation-to-a-scalable-cloud-to-edge-infrastructure?_ga=2.14433335.1477319195.1626166805-335774423.1623250838" TargetMode="External"/><Relationship Id="rId14" Type="http://schemas.openxmlformats.org/officeDocument/2006/relationships/hyperlink" Target="https://perspectives.mvdirona.com/2018/11/aws-designed-processor-graviton/" TargetMode="External"/><Relationship Id="rId16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cpubenchmark.net/cpu.php?cpu=Intel+Xeon+Platinum+8375C+%40+2.90GHz&amp;id=4486&amp;cpuCount=2" TargetMode="External"/><Relationship Id="rId2" Type="http://schemas.openxmlformats.org/officeDocument/2006/relationships/hyperlink" Target="https://www.cpu-world.com/CPUs/Zen/AMD-EPYC%207571.html" TargetMode="External"/><Relationship Id="rId3" Type="http://schemas.openxmlformats.org/officeDocument/2006/relationships/hyperlink" Target="https://perspectives.mvdirona.com/2018/11/aws-designed-processor-graviton/" TargetMode="External"/><Relationship Id="rId4" Type="http://schemas.openxmlformats.org/officeDocument/2006/relationships/hyperlink" Target="https://community.arm.com/developer/ip-products/processors/b/processors-ip-blog/posts/arm-neoverse-n1-platform-accelerating-the-transformation-to-a-scalable-cloud-to-edge-infrastructure?_ga=2.14433335.1477319195.1626166805-335774423.1623250838" TargetMode="External"/><Relationship Id="rId5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eea.europa.eu/data-and-maps/daviz/co2-emission-intensity-6" TargetMode="External"/><Relationship Id="rId22" Type="http://schemas.openxmlformats.org/officeDocument/2006/relationships/hyperlink" Target="https://www.eea.europa.eu/data-and-maps/daviz/co2-emission-intensity-6" TargetMode="External"/><Relationship Id="rId21" Type="http://schemas.openxmlformats.org/officeDocument/2006/relationships/hyperlink" Target="https://www.eea.europa.eu/data-and-maps/daviz/co2-emission-intensity-6" TargetMode="External"/><Relationship Id="rId24" Type="http://schemas.openxmlformats.org/officeDocument/2006/relationships/hyperlink" Target="https://www.carbonfootprint.com/docs/2020_07_emissions_factors_sources_for_2020_electricity_v1_3.pdf" TargetMode="External"/><Relationship Id="rId23" Type="http://schemas.openxmlformats.org/officeDocument/2006/relationships/hyperlink" Target="https://www.carbonfootprint.com/docs/2020_07_emissions_factors_sources_for_2020_electricity_v1_3.pdf" TargetMode="External"/><Relationship Id="rId1" Type="http://schemas.openxmlformats.org/officeDocument/2006/relationships/hyperlink" Target="https://www.epa.gov/egrid/download-data" TargetMode="External"/><Relationship Id="rId2" Type="http://schemas.openxmlformats.org/officeDocument/2006/relationships/hyperlink" Target="https://github.com/cloud-carbon-footprint/cloud-carbon-footprint/blob/075dfafa0333734f31519cf2e4c5725be6fa6c38/microsite/docs/Methodology.md" TargetMode="External"/><Relationship Id="rId3" Type="http://schemas.openxmlformats.org/officeDocument/2006/relationships/hyperlink" Target="https://www.epa.gov/egrid/download-data" TargetMode="External"/><Relationship Id="rId4" Type="http://schemas.openxmlformats.org/officeDocument/2006/relationships/hyperlink" Target="https://www.epa.gov/egrid/download-data" TargetMode="External"/><Relationship Id="rId9" Type="http://schemas.openxmlformats.org/officeDocument/2006/relationships/hyperlink" Target="https://www.carbonfootprint.com/docs/2020_07_emissions_factors_sources_for_2020_electricity_v1_3.pdf" TargetMode="External"/><Relationship Id="rId25" Type="http://schemas.openxmlformats.org/officeDocument/2006/relationships/drawing" Target="../drawings/drawing8.xml"/><Relationship Id="rId5" Type="http://schemas.openxmlformats.org/officeDocument/2006/relationships/hyperlink" Target="https://www.epa.gov/egrid/download-data" TargetMode="External"/><Relationship Id="rId6" Type="http://schemas.openxmlformats.org/officeDocument/2006/relationships/hyperlink" Target="https://www.carbonfootprint.com/docs/2020_07_emissions_factors_sources_for_2020_electricity_v1_3.pdf" TargetMode="External"/><Relationship Id="rId7" Type="http://schemas.openxmlformats.org/officeDocument/2006/relationships/hyperlink" Target="https://www.carbonfootprint.com/docs/2020_07_emissions_factors_sources_for_2020_electricity_v1_3.pdf" TargetMode="External"/><Relationship Id="rId8" Type="http://schemas.openxmlformats.org/officeDocument/2006/relationships/hyperlink" Target="https://www.carbonfootprint.com/docs/2020_07_emissions_factors_sources_for_2020_electricity_v1_3.pdf" TargetMode="External"/><Relationship Id="rId11" Type="http://schemas.openxmlformats.org/officeDocument/2006/relationships/hyperlink" Target="https://www.ema.gov.sg/singapore-energy-statistics/Ch02/index2" TargetMode="External"/><Relationship Id="rId10" Type="http://schemas.openxmlformats.org/officeDocument/2006/relationships/hyperlink" Target="https://www.carbonfootprint.com/docs/2020_07_emissions_factors_sources_for_2020_electricity_v1_3.pdf" TargetMode="External"/><Relationship Id="rId13" Type="http://schemas.openxmlformats.org/officeDocument/2006/relationships/hyperlink" Target="https://www.carbonfootprint.com/docs/2020_07_emissions_factors_sources_for_2020_electricity_v1_3.pdf" TargetMode="External"/><Relationship Id="rId12" Type="http://schemas.openxmlformats.org/officeDocument/2006/relationships/hyperlink" Target="https://www.carbonfootprint.com/docs/2020_07_emissions_factors_sources_for_2020_electricity_v1_3.pdf" TargetMode="External"/><Relationship Id="rId15" Type="http://schemas.openxmlformats.org/officeDocument/2006/relationships/hyperlink" Target="https://www.carbonfootprint.com/docs/2020_07_emissions_factors_sources_for_2020_electricity_v1_3.pdf" TargetMode="External"/><Relationship Id="rId14" Type="http://schemas.openxmlformats.org/officeDocument/2006/relationships/hyperlink" Target="https://www.carbonfootprint.com/docs/2020_07_emissions_factors_sources_for_2020_electricity_v1_3.pdf" TargetMode="External"/><Relationship Id="rId17" Type="http://schemas.openxmlformats.org/officeDocument/2006/relationships/hyperlink" Target="https://www.eea.europa.eu/data-and-maps/daviz/co2-emission-intensity-6" TargetMode="External"/><Relationship Id="rId16" Type="http://schemas.openxmlformats.org/officeDocument/2006/relationships/hyperlink" Target="https://www.carbonfootprint.com/docs/2020_07_emissions_factors_sources_for_2020_electricity_v1_3.pdf" TargetMode="External"/><Relationship Id="rId19" Type="http://schemas.openxmlformats.org/officeDocument/2006/relationships/hyperlink" Target="https://www.eea.europa.eu/data-and-maps/daviz/co2-emission-intensity-6" TargetMode="External"/><Relationship Id="rId18" Type="http://schemas.openxmlformats.org/officeDocument/2006/relationships/hyperlink" Target="https://www.eea.europa.eu/data-and-maps/daviz/co2-emission-intensity-6" TargetMode="External"/></Relationships>
</file>

<file path=xl/worksheets/_rels/sheet9.xml.rels><?xml version="1.0" encoding="UTF-8" standalone="yes"?><Relationships xmlns="http://schemas.openxmlformats.org/package/2006/relationships"><Relationship Id="rId20" Type="http://schemas.openxmlformats.org/officeDocument/2006/relationships/hyperlink" Target="https://i.dell.com/sites/csdocuments/CorpComm_Docs/en/carbon-footprint-poweredge-r730.pdf" TargetMode="External"/><Relationship Id="rId22" Type="http://schemas.openxmlformats.org/officeDocument/2006/relationships/hyperlink" Target="https://i.dell.com/sites/csdocuments/CorpComm_Docs/en/carbon-footprint-poweredge-r740.pdf" TargetMode="External"/><Relationship Id="rId21" Type="http://schemas.openxmlformats.org/officeDocument/2006/relationships/hyperlink" Target="https://i.dell.com/sites/csdocuments/CorpComm_Docs/en/carbon-footprint-poweredge-r730xd.pdf" TargetMode="External"/><Relationship Id="rId24" Type="http://schemas.openxmlformats.org/officeDocument/2006/relationships/hyperlink" Target="https://i.dell.com/sites/csdocuments/CorpComm_Docs/en/carbon-footprint-poweredge-r830.pdf" TargetMode="External"/><Relationship Id="rId23" Type="http://schemas.openxmlformats.org/officeDocument/2006/relationships/hyperlink" Target="https://i.dell.com/sites/csdocuments/CorpComm_Docs/en/carbon-footprint-poweredge-r740xd.pdf" TargetMode="External"/><Relationship Id="rId1" Type="http://schemas.openxmlformats.org/officeDocument/2006/relationships/hyperlink" Target="https://i.dell.com/sites/csdocuments/CorpComm_Docs/en/carbon-footprint-poweredge-c4130.pdf" TargetMode="External"/><Relationship Id="rId2" Type="http://schemas.openxmlformats.org/officeDocument/2006/relationships/hyperlink" Target="https://i.dell.com/sites/csdocuments/CorpComm_Docs/en/carbon-footprint-poweredge-c4140.pdf" TargetMode="External"/><Relationship Id="rId3" Type="http://schemas.openxmlformats.org/officeDocument/2006/relationships/hyperlink" Target="https://i.dell.com/sites/csdocuments/CorpComm_Docs/en/carbon-footprint-poweredge-c6420.pdf" TargetMode="External"/><Relationship Id="rId4" Type="http://schemas.openxmlformats.org/officeDocument/2006/relationships/hyperlink" Target="https://i.dell.com/sites/csdocuments/CorpComm_Docs/en/carbon-footprint-poweredge-fc430.pdf" TargetMode="External"/><Relationship Id="rId9" Type="http://schemas.openxmlformats.org/officeDocument/2006/relationships/hyperlink" Target="https://i.dell.com/sites/csdocuments/CorpComm_Docs/en/carbon-footprint-poweredge-m640.pdf" TargetMode="External"/><Relationship Id="rId26" Type="http://schemas.openxmlformats.org/officeDocument/2006/relationships/hyperlink" Target="https://i.dell.com/sites/csdocuments/CorpComm_Docs/en/carbon-footprint-poweredge-r930.pdf" TargetMode="External"/><Relationship Id="rId25" Type="http://schemas.openxmlformats.org/officeDocument/2006/relationships/hyperlink" Target="https://i.dell.com/sites/csdocuments/CorpComm_Docs/en/carbon-footprint-poweredge-r840.pdf" TargetMode="External"/><Relationship Id="rId28" Type="http://schemas.openxmlformats.org/officeDocument/2006/relationships/hyperlink" Target="https://i.dell.com/sites/csdocuments/CorpComm_Docs/en/carbon-footprint-poweredge-r6415.pdf" TargetMode="External"/><Relationship Id="rId27" Type="http://schemas.openxmlformats.org/officeDocument/2006/relationships/hyperlink" Target="https://i.dell.com/sites/csdocuments/CorpComm_Docs/en/carbon-footprint-poweredge-r940.pdf" TargetMode="External"/><Relationship Id="rId5" Type="http://schemas.openxmlformats.org/officeDocument/2006/relationships/hyperlink" Target="https://i.dell.com/sites/csdocuments/CorpComm_Docs/en/carbon-footprint-poweredge-fc630.pdf" TargetMode="External"/><Relationship Id="rId6" Type="http://schemas.openxmlformats.org/officeDocument/2006/relationships/hyperlink" Target="https://i.dell.com/sites/csdocuments/CorpComm_Docs/en/carbon-footprint-poweredge-fc640.pdf" TargetMode="External"/><Relationship Id="rId29" Type="http://schemas.openxmlformats.org/officeDocument/2006/relationships/hyperlink" Target="https://i.dell.com/sites/csdocuments/CorpComm_Docs/en/carbon-footprint-poweredge-r7415.pdf" TargetMode="External"/><Relationship Id="rId7" Type="http://schemas.openxmlformats.org/officeDocument/2006/relationships/hyperlink" Target="https://i.dell.com/sites/csdocuments/CorpComm_Docs/en/carbon-footprint-poweredge-fc830.pdf" TargetMode="External"/><Relationship Id="rId8" Type="http://schemas.openxmlformats.org/officeDocument/2006/relationships/hyperlink" Target="https://i.dell.com/sites/csdocuments/CorpComm_Docs/en/carbon-footprint-poweredge-m630.pdf" TargetMode="External"/><Relationship Id="rId31" Type="http://schemas.openxmlformats.org/officeDocument/2006/relationships/hyperlink" Target="https://corporate.delltechnologies.com/en-gb/social-impact/advancing-sustainability/sustainable-products-and-services/product-carbon-footprints.htm" TargetMode="External"/><Relationship Id="rId30" Type="http://schemas.openxmlformats.org/officeDocument/2006/relationships/hyperlink" Target="https://i.dell.com/sites/csdocuments/CorpComm_Docs/en/carbon-footprint-poweredge-r7425.pdf" TargetMode="External"/><Relationship Id="rId11" Type="http://schemas.openxmlformats.org/officeDocument/2006/relationships/hyperlink" Target="https://i.dell.com/sites/csdocuments/CorpComm_Docs/en/carbon-footprint-poweredge-r230.pdf" TargetMode="External"/><Relationship Id="rId33" Type="http://schemas.openxmlformats.org/officeDocument/2006/relationships/hyperlink" Target="https://corporate.delltechnologies.com/asset/en-gb/products/servers/technical-support/poweredge-r6515.pdf" TargetMode="External"/><Relationship Id="rId10" Type="http://schemas.openxmlformats.org/officeDocument/2006/relationships/hyperlink" Target="https://i.dell.com/sites/csdocuments/CorpComm_Docs/en/carbon-footprint-poweredge-m830.pdf" TargetMode="External"/><Relationship Id="rId32" Type="http://schemas.openxmlformats.org/officeDocument/2006/relationships/hyperlink" Target="https://corporate.delltechnologies.com/asset/en-gb/products/servers/technical-support/poweredge-r6525.pdf" TargetMode="External"/><Relationship Id="rId13" Type="http://schemas.openxmlformats.org/officeDocument/2006/relationships/hyperlink" Target="https://i.dell.com/sites/csdocuments/CorpComm_Docs/en/carbon-footprint-poweredge-r330.pdf" TargetMode="External"/><Relationship Id="rId35" Type="http://schemas.openxmlformats.org/officeDocument/2006/relationships/hyperlink" Target="https://www.hpe.com/psnow/doc/a50002430enw" TargetMode="External"/><Relationship Id="rId12" Type="http://schemas.openxmlformats.org/officeDocument/2006/relationships/hyperlink" Target="https://i.dell.com/sites/csdocuments/CorpComm_Docs/en/carbon-footprint-poweredge-r240.pdf" TargetMode="External"/><Relationship Id="rId34" Type="http://schemas.openxmlformats.org/officeDocument/2006/relationships/hyperlink" Target="https://corporate.delltechnologies.com/asset/en-gb/products/servers/technical-support/poweredge-r940xa.pdf" TargetMode="External"/><Relationship Id="rId15" Type="http://schemas.openxmlformats.org/officeDocument/2006/relationships/hyperlink" Target="https://i.dell.com/sites/csdocuments/CorpComm_Docs/en/carbon-footprint-poweredge-r430.pdf" TargetMode="External"/><Relationship Id="rId37" Type="http://schemas.openxmlformats.org/officeDocument/2006/relationships/hyperlink" Target="https://h20195.www2.hpe.com/v2/GetDocument.aspx?docname=a50002755enw" TargetMode="External"/><Relationship Id="rId14" Type="http://schemas.openxmlformats.org/officeDocument/2006/relationships/hyperlink" Target="https://i.dell.com/sites/csdocuments/CorpComm_Docs/en/carbon-footprint-poweredge-r340.pdf" TargetMode="External"/><Relationship Id="rId36" Type="http://schemas.openxmlformats.org/officeDocument/2006/relationships/hyperlink" Target="https://h20195.www2.hpe.com/v2/GetDocument.aspx?docname=a50002756enw" TargetMode="External"/><Relationship Id="rId17" Type="http://schemas.openxmlformats.org/officeDocument/2006/relationships/hyperlink" Target="https://i.dell.com/sites/csdocuments/CorpComm_Docs/en/carbon-footprint-poweredge-r540.pdf" TargetMode="External"/><Relationship Id="rId16" Type="http://schemas.openxmlformats.org/officeDocument/2006/relationships/hyperlink" Target="https://i.dell.com/sites/csdocuments/CorpComm_Docs/en/carbon-footprint-poweredge-r440.pdf" TargetMode="External"/><Relationship Id="rId38" Type="http://schemas.openxmlformats.org/officeDocument/2006/relationships/drawing" Target="../drawings/drawing9.xml"/><Relationship Id="rId19" Type="http://schemas.openxmlformats.org/officeDocument/2006/relationships/hyperlink" Target="https://i.dell.com/sites/csdocuments/CorpComm_Docs/en/carbon-footprint-poweredge-r640.pdf" TargetMode="External"/><Relationship Id="rId18" Type="http://schemas.openxmlformats.org/officeDocument/2006/relationships/hyperlink" Target="https://i.dell.com/sites/csdocuments/CorpComm_Docs/en/carbon-footprint-poweredge-r63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15.13"/>
    <col customWidth="1" min="3" max="3" width="22.38"/>
    <col customWidth="1" min="4" max="7" width="9.25"/>
    <col customWidth="1" min="8" max="8" width="6.5"/>
  </cols>
  <sheetData>
    <row r="1" ht="9.0" customHeight="1">
      <c r="A1" s="1"/>
      <c r="B1" s="2"/>
      <c r="C1" s="1"/>
      <c r="D1" s="1"/>
      <c r="E1" s="1"/>
      <c r="F1" s="1"/>
      <c r="G1" s="1"/>
      <c r="H1" s="1"/>
    </row>
    <row r="2" ht="16.5" customHeight="1">
      <c r="A2" s="1"/>
      <c r="B2" s="2"/>
      <c r="C2" s="3" t="s">
        <v>0</v>
      </c>
      <c r="G2" s="4"/>
      <c r="H2" s="5"/>
    </row>
    <row r="3" ht="8.25" customHeight="1">
      <c r="A3" s="1"/>
      <c r="B3" s="2"/>
      <c r="C3" s="1"/>
      <c r="D3" s="1"/>
      <c r="E3" s="1"/>
      <c r="F3" s="1"/>
      <c r="G3" s="1"/>
      <c r="H3" s="6"/>
    </row>
    <row r="4">
      <c r="A4" s="7"/>
      <c r="B4" s="8"/>
      <c r="C4" s="8"/>
      <c r="D4" s="8"/>
      <c r="E4" s="8"/>
      <c r="F4" s="8"/>
      <c r="G4" s="8"/>
      <c r="H4" s="9"/>
    </row>
    <row r="5">
      <c r="A5" s="10"/>
      <c r="B5" s="11" t="s">
        <v>1</v>
      </c>
      <c r="C5" s="12"/>
      <c r="D5" s="12"/>
      <c r="E5" s="12"/>
      <c r="F5" s="12"/>
      <c r="G5" s="13"/>
      <c r="H5" s="14"/>
    </row>
    <row r="6">
      <c r="A6" s="10"/>
      <c r="B6" s="15"/>
      <c r="C6" s="12"/>
      <c r="D6" s="12"/>
      <c r="E6" s="12"/>
      <c r="F6" s="12"/>
      <c r="G6" s="13"/>
      <c r="H6" s="14"/>
    </row>
    <row r="7">
      <c r="A7" s="10"/>
      <c r="B7" s="15" t="s">
        <v>2</v>
      </c>
      <c r="C7" s="12"/>
      <c r="D7" s="12"/>
      <c r="E7" s="12"/>
      <c r="F7" s="12"/>
      <c r="G7" s="13"/>
      <c r="H7" s="14"/>
    </row>
    <row r="8" ht="9.0" customHeight="1">
      <c r="A8" s="16"/>
      <c r="B8" s="15"/>
      <c r="C8" s="12"/>
      <c r="D8" s="12"/>
      <c r="E8" s="12"/>
      <c r="F8" s="12"/>
      <c r="G8" s="13"/>
      <c r="H8" s="14"/>
    </row>
    <row r="9">
      <c r="A9" s="16"/>
      <c r="B9" s="15" t="s">
        <v>3</v>
      </c>
      <c r="C9" s="12"/>
      <c r="D9" s="12"/>
      <c r="E9" s="12"/>
      <c r="F9" s="12"/>
      <c r="G9" s="13"/>
      <c r="H9" s="14"/>
    </row>
    <row r="10" ht="9.0" customHeight="1">
      <c r="A10" s="17"/>
      <c r="B10" s="15"/>
      <c r="C10" s="12"/>
      <c r="D10" s="12"/>
      <c r="E10" s="12"/>
      <c r="F10" s="12"/>
      <c r="G10" s="13"/>
      <c r="H10" s="14"/>
    </row>
    <row r="11">
      <c r="A11" s="17"/>
      <c r="B11" s="18" t="s">
        <v>4</v>
      </c>
      <c r="C11" s="12"/>
      <c r="D11" s="12"/>
      <c r="E11" s="12"/>
      <c r="F11" s="12"/>
      <c r="G11" s="13"/>
      <c r="H11" s="14"/>
    </row>
    <row r="12" ht="9.75" customHeight="1">
      <c r="A12" s="16"/>
      <c r="B12" s="15"/>
      <c r="C12" s="12"/>
      <c r="D12" s="12"/>
      <c r="E12" s="12"/>
      <c r="F12" s="12"/>
      <c r="G12" s="13"/>
      <c r="H12" s="14"/>
    </row>
    <row r="13">
      <c r="A13" s="16"/>
      <c r="B13" s="18" t="s">
        <v>5</v>
      </c>
      <c r="C13" s="12"/>
      <c r="D13" s="12"/>
      <c r="E13" s="12"/>
      <c r="F13" s="12"/>
      <c r="G13" s="13"/>
      <c r="H13" s="14"/>
    </row>
    <row r="14" ht="9.75" customHeight="1">
      <c r="A14" s="16"/>
      <c r="B14" s="19"/>
      <c r="C14" s="12"/>
      <c r="D14" s="12"/>
      <c r="E14" s="12"/>
      <c r="F14" s="12"/>
      <c r="G14" s="13"/>
      <c r="H14" s="14"/>
    </row>
    <row r="15" ht="15.0" customHeight="1">
      <c r="A15" s="20"/>
      <c r="B15" s="19" t="s">
        <v>6</v>
      </c>
      <c r="C15" s="12"/>
      <c r="D15" s="12"/>
      <c r="E15" s="12"/>
      <c r="F15" s="12"/>
      <c r="G15" s="13"/>
      <c r="H15" s="21"/>
    </row>
    <row r="16">
      <c r="A16" s="20"/>
      <c r="B16" s="22" t="s">
        <v>7</v>
      </c>
      <c r="C16" s="23"/>
      <c r="D16" s="23"/>
      <c r="E16" s="23"/>
      <c r="F16" s="23"/>
      <c r="G16" s="23"/>
      <c r="H16" s="21"/>
    </row>
    <row r="17">
      <c r="A17" s="20"/>
      <c r="B17" s="22" t="s">
        <v>8</v>
      </c>
      <c r="C17" s="23"/>
      <c r="D17" s="23"/>
      <c r="E17" s="23"/>
      <c r="F17" s="23"/>
      <c r="G17" s="23"/>
      <c r="H17" s="21"/>
    </row>
    <row r="18" ht="15.75" customHeight="1">
      <c r="A18" s="20"/>
      <c r="B18" s="22" t="s">
        <v>9</v>
      </c>
      <c r="C18" s="24"/>
      <c r="D18" s="24"/>
      <c r="E18" s="24"/>
      <c r="F18" s="24"/>
      <c r="G18" s="24"/>
      <c r="H18" s="25"/>
    </row>
    <row r="19" ht="9.75" customHeight="1">
      <c r="A19" s="20"/>
      <c r="B19" s="26"/>
      <c r="C19" s="24"/>
      <c r="D19" s="24"/>
      <c r="E19" s="24"/>
      <c r="F19" s="24"/>
      <c r="G19" s="24"/>
      <c r="H19" s="25"/>
    </row>
    <row r="20">
      <c r="A20" s="16"/>
      <c r="B20" s="19" t="s">
        <v>10</v>
      </c>
      <c r="C20" s="12"/>
      <c r="D20" s="12"/>
      <c r="E20" s="12"/>
      <c r="F20" s="12"/>
      <c r="G20" s="13"/>
      <c r="H20" s="14"/>
    </row>
    <row r="21" ht="9.75" customHeight="1">
      <c r="A21" s="16"/>
      <c r="B21" s="27"/>
      <c r="C21" s="27"/>
      <c r="D21" s="27"/>
      <c r="E21" s="27"/>
      <c r="F21" s="27"/>
      <c r="G21" s="27"/>
      <c r="H21" s="14"/>
    </row>
    <row r="22">
      <c r="A22" s="16"/>
      <c r="B22" s="19" t="s">
        <v>11</v>
      </c>
      <c r="C22" s="12"/>
      <c r="D22" s="12"/>
      <c r="E22" s="12"/>
      <c r="F22" s="12"/>
      <c r="G22" s="13"/>
      <c r="H22" s="14"/>
    </row>
    <row r="23" ht="9.75" customHeight="1">
      <c r="A23" s="16"/>
      <c r="B23" s="19"/>
      <c r="C23" s="12"/>
      <c r="D23" s="12"/>
      <c r="E23" s="12"/>
      <c r="F23" s="12"/>
      <c r="G23" s="13"/>
      <c r="H23" s="14"/>
    </row>
    <row r="24">
      <c r="A24" s="28"/>
      <c r="B24" s="29" t="s">
        <v>12</v>
      </c>
      <c r="C24" s="30">
        <v>1.0</v>
      </c>
      <c r="D24" s="31"/>
      <c r="E24" s="20"/>
      <c r="F24" s="20"/>
      <c r="G24" s="20"/>
      <c r="H24" s="20"/>
    </row>
    <row r="25" ht="10.5" customHeight="1">
      <c r="A25" s="20"/>
      <c r="B25" s="23"/>
      <c r="C25" s="32"/>
      <c r="D25" s="20"/>
      <c r="E25" s="20"/>
      <c r="F25" s="20"/>
      <c r="G25" s="20"/>
      <c r="H25" s="20"/>
    </row>
    <row r="26">
      <c r="A26" s="20"/>
      <c r="B26" s="29" t="s">
        <v>13</v>
      </c>
      <c r="C26" s="30" t="s">
        <v>14</v>
      </c>
      <c r="D26" s="33">
        <f>VLOOKUP(C26,'AWS Regions Mix Intensity'!B2:E25,4,FALSE)</f>
        <v>52</v>
      </c>
      <c r="E26" s="34" t="s">
        <v>15</v>
      </c>
      <c r="F26" s="35" t="s">
        <v>16</v>
      </c>
      <c r="G26" s="36">
        <f>VLOOKUP($C$26,'AWS Regions Mix Intensity'!B2:H25,6,FALSE)</f>
        <v>1.2</v>
      </c>
      <c r="H26" s="20"/>
    </row>
    <row r="27" ht="10.5" customHeight="1">
      <c r="A27" s="20"/>
      <c r="B27" s="20"/>
      <c r="C27" s="32"/>
      <c r="D27" s="20"/>
      <c r="E27" s="20"/>
      <c r="F27" s="20"/>
      <c r="G27" s="20"/>
      <c r="H27" s="20"/>
    </row>
    <row r="28">
      <c r="A28" s="20"/>
      <c r="B28" s="29" t="s">
        <v>17</v>
      </c>
      <c r="C28" s="30" t="s">
        <v>18</v>
      </c>
      <c r="D28" s="29" t="s">
        <v>19</v>
      </c>
      <c r="E28" s="29" t="s">
        <v>20</v>
      </c>
      <c r="F28" s="29" t="s">
        <v>21</v>
      </c>
      <c r="G28" s="29" t="s">
        <v>22</v>
      </c>
      <c r="H28" s="20"/>
    </row>
    <row r="29">
      <c r="A29" s="20"/>
      <c r="B29" s="37" t="s">
        <v>23</v>
      </c>
      <c r="C29" s="13"/>
      <c r="D29" s="38">
        <f>VLOOKUP($C$28,'EC2 Instances Dataset'!$A$2:$AE$515,28,FALSE)</f>
        <v>190.48</v>
      </c>
      <c r="E29" s="38">
        <f>VLOOKUP($C$28,'EC2 Instances Dataset'!$A$2:$AE$515,29,FALSE)</f>
        <v>337.79</v>
      </c>
      <c r="F29" s="38">
        <f>VLOOKUP($C$28,'EC2 Instances Dataset'!$A$2:$AE$515,30,FALSE)</f>
        <v>682.68</v>
      </c>
      <c r="G29" s="38">
        <f>VLOOKUP($C$28,'EC2 Instances Dataset'!$A$2:$AE$515,31,FALSE)</f>
        <v>933.235</v>
      </c>
      <c r="H29" s="39" t="s">
        <v>24</v>
      </c>
    </row>
    <row r="30">
      <c r="A30" s="20"/>
      <c r="B30" s="40"/>
      <c r="C30" s="37" t="s">
        <v>25</v>
      </c>
      <c r="D30" s="38">
        <f t="shared" ref="D30:G30" si="1">D29*$G$26</f>
        <v>228.576</v>
      </c>
      <c r="E30" s="38">
        <f t="shared" si="1"/>
        <v>405.348</v>
      </c>
      <c r="F30" s="38">
        <f t="shared" si="1"/>
        <v>819.216</v>
      </c>
      <c r="G30" s="38">
        <f t="shared" si="1"/>
        <v>1119.882</v>
      </c>
      <c r="H30" s="39" t="s">
        <v>24</v>
      </c>
    </row>
    <row r="31">
      <c r="A31" s="20"/>
      <c r="B31" s="37" t="s">
        <v>26</v>
      </c>
      <c r="C31" s="13"/>
      <c r="D31" s="38">
        <f t="shared" ref="D31:G31" si="2">D$30/1000*$C$24*$D$26</f>
        <v>11.885952</v>
      </c>
      <c r="E31" s="38">
        <f t="shared" si="2"/>
        <v>21.078096</v>
      </c>
      <c r="F31" s="38">
        <f t="shared" si="2"/>
        <v>42.599232</v>
      </c>
      <c r="G31" s="38">
        <f t="shared" si="2"/>
        <v>58.233864</v>
      </c>
      <c r="H31" s="39" t="s">
        <v>27</v>
      </c>
    </row>
    <row r="32">
      <c r="A32" s="20"/>
      <c r="B32" s="37" t="s">
        <v>28</v>
      </c>
      <c r="C32" s="13"/>
      <c r="D32" s="41">
        <f>VLOOKUP($C$28,'EC2 Instances Dataset'!$A$2:$AK$515,37,FALSE)*$C$24</f>
        <v>38.89162037</v>
      </c>
      <c r="E32" s="42"/>
      <c r="F32" s="42"/>
      <c r="G32" s="43"/>
      <c r="H32" s="39" t="s">
        <v>27</v>
      </c>
    </row>
    <row r="33">
      <c r="A33" s="20"/>
      <c r="B33" s="20"/>
      <c r="C33" s="20"/>
      <c r="D33" s="23"/>
      <c r="E33" s="23"/>
      <c r="F33" s="23"/>
      <c r="G33" s="23"/>
      <c r="H33" s="20"/>
    </row>
    <row r="34" ht="15.75" customHeight="1">
      <c r="A34" s="20"/>
      <c r="B34" s="20"/>
      <c r="C34" s="44" t="s">
        <v>29</v>
      </c>
      <c r="D34" s="45"/>
      <c r="E34" s="45"/>
      <c r="F34" s="45"/>
      <c r="G34" s="46"/>
      <c r="H34" s="25"/>
    </row>
  </sheetData>
  <mergeCells count="20">
    <mergeCell ref="C2:F2"/>
    <mergeCell ref="B5:G5"/>
    <mergeCell ref="B6:G6"/>
    <mergeCell ref="B7:G7"/>
    <mergeCell ref="B8:G8"/>
    <mergeCell ref="B9:G9"/>
    <mergeCell ref="B10:G10"/>
    <mergeCell ref="B23:G23"/>
    <mergeCell ref="B29:C29"/>
    <mergeCell ref="B31:C31"/>
    <mergeCell ref="B32:C32"/>
    <mergeCell ref="D32:G32"/>
    <mergeCell ref="C34:G34"/>
    <mergeCell ref="B11:G11"/>
    <mergeCell ref="B12:G12"/>
    <mergeCell ref="B13:G13"/>
    <mergeCell ref="B14:G14"/>
    <mergeCell ref="B15:G15"/>
    <mergeCell ref="B20:G20"/>
    <mergeCell ref="B22:G22"/>
  </mergeCells>
  <dataValidations>
    <dataValidation type="list" allowBlank="1" showErrorMessage="1" sqref="C26">
      <formula1>'AWS Regions Mix Intensity'!$B$2:$B$24</formula1>
    </dataValidation>
    <dataValidation type="list" allowBlank="1" showErrorMessage="1" sqref="C28">
      <formula1>'EC2 Instances Dataset'!$A$2:$A$515</formula1>
    </dataValidation>
    <dataValidation type="decimal" allowBlank="1" showErrorMessage="1" sqref="C24:C25">
      <formula1>0.0</formula1>
      <formula2>1000.0</formula2>
    </dataValidation>
  </dataValidations>
  <hyperlinks>
    <hyperlink r:id="rId1" ref="B11"/>
    <hyperlink r:id="rId2" ref="B13"/>
    <hyperlink r:id="rId3" ref="B16"/>
    <hyperlink r:id="rId4" ref="B17"/>
    <hyperlink r:id="rId5" ref="B18"/>
    <hyperlink r:id="rId6" ref="C34"/>
  </hyperlinks>
  <printOptions/>
  <pageMargins bottom="0.75" footer="0.0" header="0.0" left="0.7" right="0.7" top="0.75"/>
  <pageSetup orientation="landscape"/>
  <drawing r:id="rId7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12.88"/>
    <col customWidth="1" min="2" max="2" width="42.63"/>
    <col customWidth="1" min="3" max="3" width="12.13"/>
    <col customWidth="1" min="4" max="5" width="9.38"/>
    <col customWidth="1" min="6" max="6" width="33.38"/>
    <col customWidth="1" min="7" max="7" width="5.13"/>
    <col customWidth="1" min="8" max="8" width="38.38"/>
    <col customWidth="1" min="9" max="9" width="4.88"/>
    <col customWidth="1" min="10" max="10" width="7.75"/>
  </cols>
  <sheetData>
    <row r="1">
      <c r="A1" s="153" t="s">
        <v>1148</v>
      </c>
      <c r="B1" s="154" t="s">
        <v>1338</v>
      </c>
      <c r="C1" s="98"/>
      <c r="D1" s="98"/>
      <c r="E1" s="98"/>
      <c r="F1" s="98"/>
      <c r="G1" s="98"/>
      <c r="H1" s="98"/>
      <c r="I1" s="98"/>
      <c r="J1" s="98"/>
    </row>
    <row r="2">
      <c r="A2" s="120" t="s">
        <v>1339</v>
      </c>
      <c r="B2" s="155" t="s">
        <v>1340</v>
      </c>
      <c r="C2" s="98"/>
      <c r="D2" s="98"/>
      <c r="E2" s="98"/>
      <c r="F2" s="98"/>
      <c r="G2" s="98"/>
      <c r="H2" s="98"/>
      <c r="I2" s="98"/>
      <c r="J2" s="98"/>
    </row>
    <row r="3">
      <c r="A3" s="98"/>
      <c r="B3" s="98"/>
      <c r="C3" s="98"/>
      <c r="D3" s="98"/>
      <c r="E3" s="98"/>
      <c r="F3" s="98"/>
      <c r="G3" s="98"/>
      <c r="H3" s="98"/>
      <c r="I3" s="98"/>
      <c r="J3" s="98"/>
    </row>
    <row r="4">
      <c r="A4" s="98"/>
      <c r="B4" s="98"/>
      <c r="C4" s="98"/>
      <c r="D4" s="98"/>
      <c r="E4" s="98"/>
      <c r="F4" s="98"/>
      <c r="G4" s="98"/>
      <c r="H4" s="98"/>
      <c r="I4" s="98"/>
      <c r="J4" s="98"/>
    </row>
    <row r="5">
      <c r="A5" s="98"/>
      <c r="B5" s="156" t="s">
        <v>1341</v>
      </c>
      <c r="C5" s="156">
        <v>4288.0</v>
      </c>
      <c r="D5" s="157"/>
      <c r="E5" s="157"/>
      <c r="F5" s="98"/>
      <c r="G5" s="98"/>
      <c r="H5" s="98"/>
      <c r="I5" s="98"/>
      <c r="J5" s="98"/>
    </row>
    <row r="6">
      <c r="A6" s="98"/>
      <c r="B6" s="98"/>
      <c r="C6" s="158" t="s">
        <v>1342</v>
      </c>
      <c r="D6" s="158" t="s">
        <v>1343</v>
      </c>
      <c r="E6" s="159" t="s">
        <v>1082</v>
      </c>
      <c r="F6" s="98"/>
      <c r="G6" s="98"/>
      <c r="H6" s="98"/>
      <c r="I6" s="98"/>
      <c r="J6" s="98"/>
    </row>
    <row r="7">
      <c r="A7" s="98"/>
      <c r="B7" s="160" t="s">
        <v>1344</v>
      </c>
      <c r="C7" s="161">
        <v>0.788</v>
      </c>
      <c r="D7" s="162">
        <f t="shared" ref="D7:D13" si="1">$C$5*C7</f>
        <v>3378.944</v>
      </c>
      <c r="E7" s="163"/>
      <c r="F7" s="108"/>
      <c r="G7" s="98"/>
      <c r="H7" s="98"/>
      <c r="I7" s="98"/>
      <c r="J7" s="98"/>
    </row>
    <row r="8">
      <c r="A8" s="98"/>
      <c r="B8" s="164" t="s">
        <v>1345</v>
      </c>
      <c r="C8" s="161">
        <v>0.138</v>
      </c>
      <c r="D8" s="162">
        <f t="shared" si="1"/>
        <v>591.744</v>
      </c>
      <c r="E8" s="165" t="s">
        <v>1346</v>
      </c>
      <c r="F8" s="108"/>
      <c r="G8" s="108"/>
      <c r="H8" s="108"/>
      <c r="I8" s="107"/>
      <c r="J8" s="98"/>
    </row>
    <row r="9">
      <c r="A9" s="98"/>
      <c r="B9" s="164" t="s">
        <v>1347</v>
      </c>
      <c r="C9" s="161">
        <v>0.041</v>
      </c>
      <c r="D9" s="162">
        <f t="shared" si="1"/>
        <v>175.808</v>
      </c>
      <c r="E9" s="163" t="s">
        <v>1348</v>
      </c>
      <c r="F9" s="108"/>
      <c r="G9" s="98"/>
      <c r="H9" s="98"/>
      <c r="I9" s="98"/>
      <c r="J9" s="98"/>
    </row>
    <row r="10">
      <c r="A10" s="98"/>
      <c r="B10" s="160" t="s">
        <v>1349</v>
      </c>
      <c r="C10" s="161">
        <v>0.015</v>
      </c>
      <c r="D10" s="162">
        <f t="shared" si="1"/>
        <v>64.32</v>
      </c>
      <c r="E10" s="163"/>
      <c r="F10" s="108"/>
      <c r="G10" s="98"/>
      <c r="H10" s="98"/>
      <c r="I10" s="98"/>
      <c r="J10" s="98"/>
    </row>
    <row r="11">
      <c r="A11" s="98"/>
      <c r="B11" s="164" t="s">
        <v>1350</v>
      </c>
      <c r="C11" s="161">
        <v>0.008</v>
      </c>
      <c r="D11" s="162">
        <f t="shared" si="1"/>
        <v>34.304</v>
      </c>
      <c r="E11" s="163"/>
      <c r="F11" s="98"/>
      <c r="G11" s="98"/>
      <c r="H11" s="108"/>
      <c r="I11" s="107"/>
      <c r="J11" s="98"/>
    </row>
    <row r="12">
      <c r="A12" s="98"/>
      <c r="B12" s="164" t="s">
        <v>1351</v>
      </c>
      <c r="C12" s="161">
        <v>0.007</v>
      </c>
      <c r="D12" s="162">
        <f t="shared" si="1"/>
        <v>30.016</v>
      </c>
      <c r="E12" s="163"/>
      <c r="F12" s="98"/>
      <c r="G12" s="98"/>
      <c r="H12" s="98"/>
      <c r="I12" s="98"/>
      <c r="J12" s="98"/>
    </row>
    <row r="13">
      <c r="A13" s="98"/>
      <c r="B13" s="164" t="s">
        <v>1352</v>
      </c>
      <c r="C13" s="161">
        <v>0.003</v>
      </c>
      <c r="D13" s="162">
        <f t="shared" si="1"/>
        <v>12.864</v>
      </c>
      <c r="E13" s="163"/>
      <c r="F13" s="98"/>
      <c r="G13" s="98"/>
      <c r="H13" s="98"/>
      <c r="I13" s="98"/>
      <c r="J13" s="98"/>
    </row>
    <row r="14">
      <c r="A14" s="98"/>
      <c r="B14" s="98"/>
      <c r="C14" s="98"/>
      <c r="D14" s="98"/>
      <c r="E14" s="163"/>
      <c r="F14" s="98"/>
      <c r="G14" s="98"/>
      <c r="H14" s="98"/>
      <c r="I14" s="98"/>
      <c r="J14" s="98"/>
    </row>
    <row r="15">
      <c r="A15" s="98"/>
      <c r="B15" s="156" t="s">
        <v>1353</v>
      </c>
      <c r="C15" s="166">
        <f>D8</f>
        <v>591.744</v>
      </c>
      <c r="D15" s="98"/>
      <c r="E15" s="163"/>
      <c r="F15" s="98"/>
      <c r="G15" s="98"/>
      <c r="H15" s="98"/>
      <c r="I15" s="98"/>
      <c r="J15" s="98"/>
    </row>
    <row r="16">
      <c r="A16" s="120" t="s">
        <v>1354</v>
      </c>
      <c r="B16" s="98"/>
      <c r="C16" s="158" t="s">
        <v>1342</v>
      </c>
      <c r="D16" s="158" t="s">
        <v>1343</v>
      </c>
      <c r="E16" s="163"/>
      <c r="F16" s="98"/>
      <c r="G16" s="98"/>
      <c r="H16" s="98"/>
      <c r="I16" s="98"/>
      <c r="J16" s="98"/>
    </row>
    <row r="17">
      <c r="A17" s="98">
        <f>12*32</f>
        <v>384</v>
      </c>
      <c r="B17" s="160" t="s">
        <v>1355</v>
      </c>
      <c r="C17" s="167">
        <v>0.9</v>
      </c>
      <c r="D17" s="162">
        <f>C15*C17</f>
        <v>532.5696</v>
      </c>
      <c r="E17" s="163" t="s">
        <v>1356</v>
      </c>
      <c r="F17" s="98"/>
      <c r="G17" s="98"/>
      <c r="H17" s="98"/>
      <c r="I17" s="98"/>
      <c r="J17" s="98"/>
    </row>
    <row r="18">
      <c r="A18" s="98"/>
      <c r="B18" s="160" t="s">
        <v>1357</v>
      </c>
      <c r="C18" s="168">
        <f>1-C17</f>
        <v>0.1</v>
      </c>
      <c r="D18" s="169">
        <f>C18*C15</f>
        <v>59.1744</v>
      </c>
      <c r="E18" s="163"/>
      <c r="F18" s="98"/>
      <c r="G18" s="98"/>
      <c r="H18" s="98"/>
      <c r="I18" s="98"/>
      <c r="J18" s="98"/>
    </row>
    <row r="19">
      <c r="A19" s="98"/>
      <c r="B19" s="170"/>
      <c r="C19" s="171"/>
      <c r="D19" s="98"/>
      <c r="E19" s="163"/>
      <c r="F19" s="98"/>
      <c r="G19" s="98"/>
      <c r="H19" s="98"/>
      <c r="I19" s="98"/>
      <c r="J19" s="98"/>
    </row>
    <row r="20">
      <c r="A20" s="98"/>
      <c r="B20" s="156" t="s">
        <v>1358</v>
      </c>
      <c r="C20" s="166">
        <f>D9</f>
        <v>175.808</v>
      </c>
      <c r="D20" s="98"/>
      <c r="E20" s="163"/>
      <c r="F20" s="98"/>
      <c r="G20" s="98"/>
      <c r="H20" s="98"/>
      <c r="I20" s="98"/>
      <c r="J20" s="98"/>
    </row>
    <row r="21">
      <c r="A21" s="98"/>
      <c r="B21" s="98"/>
      <c r="C21" s="158" t="s">
        <v>1342</v>
      </c>
      <c r="D21" s="158" t="s">
        <v>1343</v>
      </c>
      <c r="E21" s="163"/>
      <c r="F21" s="98"/>
      <c r="G21" s="98"/>
      <c r="H21" s="98"/>
      <c r="I21" s="98"/>
      <c r="J21" s="98"/>
    </row>
    <row r="22">
      <c r="A22" s="98"/>
      <c r="B22" s="164" t="s">
        <v>1359</v>
      </c>
      <c r="C22" s="167">
        <v>0.62</v>
      </c>
      <c r="D22" s="162">
        <f>C22*C20</f>
        <v>109.00096</v>
      </c>
      <c r="E22" s="163"/>
      <c r="F22" s="98"/>
      <c r="G22" s="98"/>
      <c r="H22" s="98"/>
      <c r="I22" s="98"/>
      <c r="J22" s="98"/>
    </row>
    <row r="23">
      <c r="A23" s="98"/>
      <c r="B23" s="160" t="s">
        <v>1360</v>
      </c>
      <c r="C23" s="167">
        <v>0.266</v>
      </c>
      <c r="D23" s="162">
        <f>C23*C20</f>
        <v>46.764928</v>
      </c>
      <c r="E23" s="163" t="s">
        <v>1361</v>
      </c>
      <c r="F23" s="98"/>
      <c r="G23" s="98"/>
      <c r="H23" s="98"/>
      <c r="I23" s="98"/>
      <c r="J23" s="98"/>
    </row>
    <row r="24" ht="15.75" customHeight="1">
      <c r="A24" s="98"/>
      <c r="B24" s="160" t="s">
        <v>1362</v>
      </c>
      <c r="C24" s="168">
        <f>1-C23-C22</f>
        <v>0.114</v>
      </c>
      <c r="D24" s="169">
        <f>C20*C24</f>
        <v>20.042112</v>
      </c>
      <c r="E24" s="98"/>
      <c r="F24" s="98"/>
      <c r="G24" s="98"/>
      <c r="H24" s="98"/>
      <c r="I24" s="98"/>
      <c r="J24" s="98"/>
    </row>
    <row r="25" ht="15.75" customHeight="1">
      <c r="A25" s="172"/>
      <c r="B25" s="172"/>
      <c r="C25" s="172"/>
      <c r="D25" s="172"/>
      <c r="E25" s="98"/>
      <c r="F25" s="98"/>
      <c r="G25" s="98"/>
      <c r="H25" s="98"/>
      <c r="I25" s="98"/>
      <c r="J25" s="98"/>
    </row>
    <row r="26" ht="15.75" customHeight="1">
      <c r="A26" s="98"/>
      <c r="B26" s="173" t="s">
        <v>1363</v>
      </c>
      <c r="C26" s="174"/>
      <c r="D26" s="98"/>
      <c r="E26" s="98"/>
      <c r="F26" s="175" t="s">
        <v>1364</v>
      </c>
      <c r="G26" s="176"/>
      <c r="H26" s="176"/>
      <c r="I26" s="174"/>
      <c r="J26" s="98"/>
    </row>
    <row r="27" ht="15.75" customHeight="1">
      <c r="A27" s="98"/>
      <c r="B27" s="177" t="s">
        <v>1365</v>
      </c>
      <c r="C27" s="178" t="s">
        <v>1366</v>
      </c>
      <c r="D27" s="98"/>
      <c r="E27" s="98"/>
      <c r="F27" s="177" t="s">
        <v>1367</v>
      </c>
      <c r="G27" s="179">
        <f>'Server Carbon Footprint'!Q23</f>
        <v>1313.28</v>
      </c>
      <c r="H27" s="177" t="s">
        <v>1368</v>
      </c>
      <c r="I27" s="180">
        <f>SUM(I28:I31)</f>
        <v>549.5072</v>
      </c>
      <c r="J27" s="98"/>
    </row>
    <row r="28" ht="15.75" customHeight="1">
      <c r="A28" s="98"/>
      <c r="B28" s="181" t="str">
        <f>B7</f>
        <v>8*3.84TB Solid State Drives</v>
      </c>
      <c r="C28" s="182">
        <f>D7</f>
        <v>3378.944</v>
      </c>
      <c r="D28" s="98"/>
      <c r="E28" s="98"/>
      <c r="F28" s="183" t="s">
        <v>1369</v>
      </c>
      <c r="G28" s="184"/>
      <c r="H28" s="183" t="s">
        <v>1370</v>
      </c>
      <c r="I28" s="185">
        <f>C29*1/12</f>
        <v>44.3808</v>
      </c>
      <c r="J28" s="98"/>
    </row>
    <row r="29" ht="15.75" customHeight="1">
      <c r="A29" s="98"/>
      <c r="B29" s="181" t="str">
        <f>B17</f>
        <v>12*32GB DIMMs Memory</v>
      </c>
      <c r="C29" s="182">
        <f>D17</f>
        <v>532.5696</v>
      </c>
      <c r="D29" s="98"/>
      <c r="E29" s="98"/>
      <c r="F29" s="186" t="s">
        <v>1298</v>
      </c>
      <c r="G29" s="187"/>
      <c r="H29" s="186" t="s">
        <v>1371</v>
      </c>
      <c r="I29" s="188">
        <f>3*C31</f>
        <v>192.96</v>
      </c>
      <c r="J29" s="98"/>
    </row>
    <row r="30" ht="15.75" customHeight="1">
      <c r="A30" s="98"/>
      <c r="B30" s="181" t="str">
        <f>B22</f>
        <v>Mainboard PWB</v>
      </c>
      <c r="C30" s="182">
        <f>D22</f>
        <v>109.00096</v>
      </c>
      <c r="D30" s="98"/>
      <c r="E30" s="98"/>
      <c r="F30" s="186" t="s">
        <v>1372</v>
      </c>
      <c r="G30" s="187"/>
      <c r="H30" s="189" t="str">
        <f t="shared" ref="H30:I30" si="2">B33</f>
        <v>2*Xeon CPUs with housing</v>
      </c>
      <c r="I30" s="188">
        <f t="shared" si="2"/>
        <v>46.764928</v>
      </c>
      <c r="J30" s="98"/>
    </row>
    <row r="31" ht="15.75" customHeight="1">
      <c r="A31" s="98"/>
      <c r="B31" s="181" t="str">
        <f>B10</f>
        <v>1*400GB Solid State Drive</v>
      </c>
      <c r="C31" s="182">
        <f>D10</f>
        <v>64.32</v>
      </c>
      <c r="D31" s="98"/>
      <c r="E31" s="98"/>
      <c r="F31" s="189"/>
      <c r="G31" s="190"/>
      <c r="H31" s="186" t="s">
        <v>1373</v>
      </c>
      <c r="I31" s="188">
        <f>sum(I32:I37)</f>
        <v>265.401472</v>
      </c>
      <c r="J31" s="98"/>
    </row>
    <row r="32" ht="15.75" customHeight="1">
      <c r="A32" s="98"/>
      <c r="B32" s="191" t="str">
        <f>B18</f>
        <v>Riser card 1 - Riser card 2 - Riser card 3 - Ethernet card - HDD Controller - Q-logic - Intel Ethernet X710</v>
      </c>
      <c r="C32" s="182">
        <f>D18</f>
        <v>59.1744</v>
      </c>
      <c r="D32" s="98"/>
      <c r="E32" s="98"/>
      <c r="F32" s="98"/>
      <c r="G32" s="98"/>
      <c r="H32" s="192" t="str">
        <f t="shared" ref="H32:I32" si="3">B34</f>
        <v>Chassis</v>
      </c>
      <c r="I32" s="193">
        <f t="shared" si="3"/>
        <v>34.304</v>
      </c>
      <c r="J32" s="98"/>
    </row>
    <row r="33" ht="15.75" customHeight="1">
      <c r="A33" s="98"/>
      <c r="B33" s="181" t="str">
        <f>B23</f>
        <v>2*Xeon CPUs with housing</v>
      </c>
      <c r="C33" s="182">
        <f>D23</f>
        <v>46.764928</v>
      </c>
      <c r="D33" s="98"/>
      <c r="E33" s="98"/>
      <c r="F33" s="98"/>
      <c r="G33" s="98"/>
      <c r="H33" s="192" t="str">
        <f t="shared" ref="H33:I33" si="4">B35</f>
        <v>PSU</v>
      </c>
      <c r="I33" s="193">
        <f t="shared" si="4"/>
        <v>30.016</v>
      </c>
      <c r="J33" s="98"/>
    </row>
    <row r="34" ht="15.75" customHeight="1">
      <c r="A34" s="98"/>
      <c r="B34" s="181" t="str">
        <f t="shared" ref="B34:B35" si="6">B11</f>
        <v>Chassis</v>
      </c>
      <c r="C34" s="182">
        <f t="shared" ref="C34:C35" si="7">D11</f>
        <v>34.304</v>
      </c>
      <c r="D34" s="98"/>
      <c r="E34" s="98"/>
      <c r="F34" s="98"/>
      <c r="G34" s="98"/>
      <c r="H34" s="192" t="str">
        <f t="shared" ref="H34:I34" si="5">B36</f>
        <v>Mainboard Connectors - Transport</v>
      </c>
      <c r="I34" s="193">
        <f t="shared" si="5"/>
        <v>20.042112</v>
      </c>
      <c r="J34" s="98"/>
    </row>
    <row r="35" ht="15.75" customHeight="1">
      <c r="A35" s="98"/>
      <c r="B35" s="181" t="str">
        <f t="shared" si="6"/>
        <v>PSU</v>
      </c>
      <c r="C35" s="182">
        <f t="shared" si="7"/>
        <v>30.016</v>
      </c>
      <c r="D35" s="98"/>
      <c r="E35" s="98"/>
      <c r="F35" s="98"/>
      <c r="G35" s="98"/>
      <c r="H35" s="192" t="str">
        <f t="shared" ref="H35:I35" si="8">B37</f>
        <v>Fans</v>
      </c>
      <c r="I35" s="193">
        <f t="shared" si="8"/>
        <v>12.864</v>
      </c>
      <c r="J35" s="98"/>
    </row>
    <row r="36" ht="15.75" customHeight="1">
      <c r="A36" s="98"/>
      <c r="B36" s="181" t="str">
        <f>B24</f>
        <v>Mainboard Connectors - Transport</v>
      </c>
      <c r="C36" s="182">
        <f>D24</f>
        <v>20.042112</v>
      </c>
      <c r="D36" s="98"/>
      <c r="E36" s="98"/>
      <c r="F36" s="98"/>
      <c r="G36" s="98"/>
      <c r="H36" s="192" t="str">
        <f t="shared" ref="H36:I36" si="9">B30</f>
        <v>Mainboard PWB</v>
      </c>
      <c r="I36" s="193">
        <f t="shared" si="9"/>
        <v>109.00096</v>
      </c>
      <c r="J36" s="98"/>
    </row>
    <row r="37" ht="16.5" customHeight="1">
      <c r="A37" s="98"/>
      <c r="B37" s="181" t="str">
        <f t="shared" ref="B37:B38" si="11">B13</f>
        <v>Fans</v>
      </c>
      <c r="C37" s="182">
        <f t="shared" ref="C37:C38" si="12">D13</f>
        <v>12.864</v>
      </c>
      <c r="D37" s="98"/>
      <c r="E37" s="98"/>
      <c r="F37" s="98"/>
      <c r="G37" s="98"/>
      <c r="H37" s="194" t="str">
        <f t="shared" ref="H37:I37" si="10">B32</f>
        <v>Riser card 1 - Riser card 2 - Riser card 3 - Ethernet card - HDD Controller - Q-logic - Intel Ethernet X710</v>
      </c>
      <c r="I37" s="193">
        <f t="shared" si="10"/>
        <v>59.1744</v>
      </c>
      <c r="J37" s="98"/>
    </row>
    <row r="38" ht="15.75" customHeight="1">
      <c r="A38" s="98"/>
      <c r="B38" s="98" t="str">
        <f t="shared" si="11"/>
        <v/>
      </c>
      <c r="C38" s="98" t="str">
        <f t="shared" si="12"/>
        <v/>
      </c>
      <c r="D38" s="98"/>
      <c r="E38" s="98"/>
      <c r="F38" s="98"/>
      <c r="G38" s="98"/>
      <c r="H38" s="98"/>
      <c r="I38" s="98"/>
      <c r="J38" s="98"/>
    </row>
  </sheetData>
  <mergeCells count="3">
    <mergeCell ref="B26:C26"/>
    <mergeCell ref="F26:I26"/>
    <mergeCell ref="G28:G31"/>
  </mergeCells>
  <hyperlinks>
    <hyperlink r:id="rId1" ref="A1"/>
  </hyperlinks>
  <printOptions/>
  <pageMargins bottom="0.75" footer="0.0" header="0.0" left="0.7" right="0.7" top="0.75"/>
  <pageSetup orientation="landscape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3.88"/>
    <col customWidth="1" min="2" max="2" width="26.25"/>
    <col customWidth="1" min="3" max="3" width="12.5"/>
    <col customWidth="1" min="4" max="7" width="8.0"/>
    <col customWidth="1" min="8" max="8" width="10.5"/>
    <col customWidth="1" min="9" max="10" width="8.0"/>
    <col customWidth="1" min="11" max="11" width="9.13"/>
    <col customWidth="1" min="12" max="12" width="16.0"/>
  </cols>
  <sheetData>
    <row r="1">
      <c r="A1" s="195" t="s">
        <v>1109</v>
      </c>
      <c r="B1" s="195" t="s">
        <v>1110</v>
      </c>
      <c r="C1" s="195" t="s">
        <v>1374</v>
      </c>
      <c r="D1" s="195" t="s">
        <v>965</v>
      </c>
      <c r="E1" s="195" t="s">
        <v>966</v>
      </c>
      <c r="F1" s="195" t="s">
        <v>967</v>
      </c>
      <c r="G1" s="195" t="s">
        <v>968</v>
      </c>
      <c r="H1" s="195" t="s">
        <v>1375</v>
      </c>
      <c r="I1" s="195" t="s">
        <v>1376</v>
      </c>
      <c r="J1" s="195" t="s">
        <v>969</v>
      </c>
      <c r="K1" s="195" t="s">
        <v>970</v>
      </c>
      <c r="L1" s="195" t="s">
        <v>1113</v>
      </c>
    </row>
    <row r="2">
      <c r="A2" s="56" t="s">
        <v>1017</v>
      </c>
      <c r="B2" s="56" t="s">
        <v>1377</v>
      </c>
      <c r="C2" s="56" t="s">
        <v>1378</v>
      </c>
      <c r="D2" s="56">
        <v>8.0</v>
      </c>
      <c r="E2" s="56">
        <v>8.0</v>
      </c>
      <c r="F2" s="56">
        <v>2.1</v>
      </c>
      <c r="G2" s="56">
        <v>3.0</v>
      </c>
      <c r="H2" s="56" t="s">
        <v>1379</v>
      </c>
      <c r="I2" s="56" t="s">
        <v>1380</v>
      </c>
      <c r="J2" s="56">
        <v>11.0</v>
      </c>
      <c r="K2" s="56">
        <v>85.0</v>
      </c>
      <c r="L2" s="57" t="s">
        <v>1381</v>
      </c>
    </row>
    <row r="3">
      <c r="A3" s="56" t="s">
        <v>1017</v>
      </c>
      <c r="B3" s="56" t="s">
        <v>1382</v>
      </c>
      <c r="C3" s="56" t="s">
        <v>1383</v>
      </c>
      <c r="D3" s="56">
        <v>4.0</v>
      </c>
      <c r="E3" s="56">
        <v>8.0</v>
      </c>
      <c r="F3" s="56">
        <v>4.1</v>
      </c>
      <c r="G3" s="56">
        <v>4.5</v>
      </c>
      <c r="H3" s="56" t="s">
        <v>1384</v>
      </c>
      <c r="I3" s="56" t="s">
        <v>1380</v>
      </c>
      <c r="J3" s="56">
        <v>8.0</v>
      </c>
      <c r="K3" s="56">
        <v>79.0</v>
      </c>
      <c r="L3" s="57" t="s">
        <v>1385</v>
      </c>
    </row>
    <row r="4">
      <c r="A4" s="56" t="s">
        <v>1017</v>
      </c>
      <c r="B4" s="56" t="s">
        <v>1386</v>
      </c>
      <c r="C4" s="56" t="s">
        <v>1378</v>
      </c>
      <c r="D4" s="56">
        <v>18.0</v>
      </c>
      <c r="E4" s="56">
        <v>36.0</v>
      </c>
      <c r="F4" s="56">
        <v>3.0</v>
      </c>
      <c r="G4" s="56">
        <v>3.7</v>
      </c>
      <c r="H4" s="56" t="s">
        <v>1379</v>
      </c>
      <c r="I4" s="56" t="s">
        <v>1380</v>
      </c>
      <c r="J4" s="56">
        <v>24.75</v>
      </c>
      <c r="K4" s="56">
        <v>200.0</v>
      </c>
      <c r="L4" s="57" t="s">
        <v>1381</v>
      </c>
    </row>
    <row r="5">
      <c r="A5" s="56" t="s">
        <v>1017</v>
      </c>
      <c r="B5" s="56" t="s">
        <v>1387</v>
      </c>
      <c r="C5" s="56" t="s">
        <v>1388</v>
      </c>
      <c r="D5" s="56">
        <v>64.0</v>
      </c>
      <c r="E5" s="56">
        <v>256.0</v>
      </c>
      <c r="F5" s="56">
        <v>1.3</v>
      </c>
      <c r="G5" s="56">
        <v>1.4</v>
      </c>
      <c r="H5" s="56" t="s">
        <v>1379</v>
      </c>
      <c r="I5" s="56" t="s">
        <v>1380</v>
      </c>
      <c r="J5" s="56" t="s">
        <v>73</v>
      </c>
      <c r="K5" s="56">
        <v>250.0</v>
      </c>
      <c r="L5" s="57" t="s">
        <v>1389</v>
      </c>
    </row>
    <row r="6">
      <c r="A6" s="56" t="s">
        <v>1017</v>
      </c>
      <c r="B6" s="56" t="s">
        <v>1390</v>
      </c>
      <c r="C6" s="56" t="s">
        <v>1388</v>
      </c>
      <c r="D6" s="56">
        <v>68.0</v>
      </c>
      <c r="E6" s="56">
        <v>272.0</v>
      </c>
      <c r="F6" s="56">
        <v>1.3</v>
      </c>
      <c r="G6" s="56">
        <v>1.4</v>
      </c>
      <c r="H6" s="56" t="s">
        <v>1379</v>
      </c>
      <c r="I6" s="56" t="s">
        <v>1380</v>
      </c>
      <c r="J6" s="56" t="s">
        <v>73</v>
      </c>
      <c r="K6" s="56">
        <v>250.0</v>
      </c>
      <c r="L6" s="57" t="s">
        <v>1389</v>
      </c>
    </row>
    <row r="7">
      <c r="A7" s="56" t="s">
        <v>1017</v>
      </c>
      <c r="B7" s="56" t="s">
        <v>1391</v>
      </c>
      <c r="C7" s="56" t="s">
        <v>1388</v>
      </c>
      <c r="D7" s="56">
        <v>72.0</v>
      </c>
      <c r="E7" s="56">
        <v>288.0</v>
      </c>
      <c r="F7" s="56">
        <v>1.5</v>
      </c>
      <c r="G7" s="56">
        <v>1.6</v>
      </c>
      <c r="H7" s="56" t="s">
        <v>1379</v>
      </c>
      <c r="I7" s="56" t="s">
        <v>1380</v>
      </c>
      <c r="J7" s="56" t="s">
        <v>73</v>
      </c>
      <c r="K7" s="56">
        <v>320.0</v>
      </c>
      <c r="L7" s="57" t="s">
        <v>1389</v>
      </c>
    </row>
    <row r="8">
      <c r="A8" s="56" t="s">
        <v>1017</v>
      </c>
      <c r="B8" s="56" t="s">
        <v>1392</v>
      </c>
      <c r="C8" s="56" t="s">
        <v>1378</v>
      </c>
      <c r="D8" s="56">
        <v>28.0</v>
      </c>
      <c r="E8" s="56">
        <v>56.0</v>
      </c>
      <c r="F8" s="56">
        <v>2.5</v>
      </c>
      <c r="G8" s="56">
        <v>3.8</v>
      </c>
      <c r="H8" s="56" t="s">
        <v>1379</v>
      </c>
      <c r="I8" s="56" t="s">
        <v>1380</v>
      </c>
      <c r="J8" s="56">
        <v>38.5</v>
      </c>
      <c r="K8" s="56">
        <v>205.0</v>
      </c>
      <c r="L8" s="57" t="s">
        <v>1381</v>
      </c>
    </row>
    <row r="9">
      <c r="A9" s="56" t="s">
        <v>1017</v>
      </c>
      <c r="B9" s="56" t="s">
        <v>1393</v>
      </c>
      <c r="C9" s="56" t="s">
        <v>1378</v>
      </c>
      <c r="D9" s="56">
        <v>28.0</v>
      </c>
      <c r="E9" s="56">
        <v>56.0</v>
      </c>
      <c r="F9" s="56">
        <v>2.5</v>
      </c>
      <c r="G9" s="56">
        <v>3.8</v>
      </c>
      <c r="H9" s="56" t="s">
        <v>1379</v>
      </c>
      <c r="I9" s="56" t="s">
        <v>1380</v>
      </c>
      <c r="J9" s="56">
        <v>38.5</v>
      </c>
      <c r="K9" s="56">
        <v>205.0</v>
      </c>
      <c r="L9" s="57" t="s">
        <v>1381</v>
      </c>
    </row>
    <row r="10">
      <c r="A10" s="56" t="s">
        <v>1017</v>
      </c>
      <c r="B10" s="56" t="s">
        <v>1394</v>
      </c>
      <c r="C10" s="56" t="s">
        <v>1378</v>
      </c>
      <c r="D10" s="56">
        <v>12.0</v>
      </c>
      <c r="E10" s="56">
        <v>24.0</v>
      </c>
      <c r="F10" s="56">
        <v>2.1</v>
      </c>
      <c r="G10" s="56">
        <v>3.0</v>
      </c>
      <c r="H10" s="56" t="s">
        <v>1379</v>
      </c>
      <c r="I10" s="56" t="s">
        <v>1380</v>
      </c>
      <c r="J10" s="56">
        <v>16.5</v>
      </c>
      <c r="K10" s="56">
        <v>85.0</v>
      </c>
      <c r="L10" s="57" t="s">
        <v>1381</v>
      </c>
    </row>
    <row r="11">
      <c r="A11" s="56" t="s">
        <v>1017</v>
      </c>
      <c r="B11" s="56" t="s">
        <v>1395</v>
      </c>
      <c r="C11" s="56" t="s">
        <v>1396</v>
      </c>
      <c r="D11" s="56">
        <v>18.0</v>
      </c>
      <c r="E11" s="56">
        <v>36.0</v>
      </c>
      <c r="F11" s="56">
        <v>2.3</v>
      </c>
      <c r="G11" s="56">
        <v>4.3</v>
      </c>
      <c r="H11" s="56" t="s">
        <v>1397</v>
      </c>
      <c r="I11" s="56" t="s">
        <v>1380</v>
      </c>
      <c r="J11" s="56">
        <v>24.75</v>
      </c>
      <c r="K11" s="56">
        <v>140.0</v>
      </c>
      <c r="L11" s="57" t="s">
        <v>1398</v>
      </c>
    </row>
    <row r="12">
      <c r="A12" s="56" t="s">
        <v>1017</v>
      </c>
      <c r="B12" s="56" t="s">
        <v>1399</v>
      </c>
      <c r="C12" s="56" t="s">
        <v>1400</v>
      </c>
      <c r="D12" s="56">
        <v>4.0</v>
      </c>
      <c r="E12" s="56">
        <v>4.0</v>
      </c>
      <c r="F12" s="56">
        <v>3.4</v>
      </c>
      <c r="G12" s="56">
        <v>4.5</v>
      </c>
      <c r="H12" s="56" t="s">
        <v>1384</v>
      </c>
      <c r="I12" s="56" t="s">
        <v>1380</v>
      </c>
      <c r="J12" s="56">
        <v>8.0</v>
      </c>
      <c r="K12" s="56">
        <v>72.0</v>
      </c>
      <c r="L12" s="57" t="s">
        <v>1401</v>
      </c>
    </row>
    <row r="13">
      <c r="A13" s="56" t="s">
        <v>1017</v>
      </c>
      <c r="B13" s="56" t="s">
        <v>1402</v>
      </c>
      <c r="C13" s="56" t="s">
        <v>1400</v>
      </c>
      <c r="D13" s="56">
        <v>4.0</v>
      </c>
      <c r="E13" s="56">
        <v>4.0</v>
      </c>
      <c r="F13" s="56">
        <v>3.4</v>
      </c>
      <c r="G13" s="56">
        <v>4.5</v>
      </c>
      <c r="H13" s="56" t="s">
        <v>1384</v>
      </c>
      <c r="I13" s="56" t="s">
        <v>1380</v>
      </c>
      <c r="J13" s="56">
        <v>8.0</v>
      </c>
      <c r="K13" s="56">
        <v>72.0</v>
      </c>
      <c r="L13" s="57" t="s">
        <v>1401</v>
      </c>
    </row>
    <row r="14">
      <c r="A14" s="56" t="s">
        <v>1017</v>
      </c>
      <c r="B14" s="56" t="s">
        <v>1403</v>
      </c>
      <c r="C14" s="56" t="s">
        <v>1404</v>
      </c>
      <c r="D14" s="56">
        <v>16.0</v>
      </c>
      <c r="E14" s="56">
        <v>32.0</v>
      </c>
      <c r="F14" s="56">
        <v>2.2</v>
      </c>
      <c r="G14" s="56">
        <v>3.0</v>
      </c>
      <c r="H14" s="56" t="s">
        <v>1379</v>
      </c>
      <c r="I14" s="56" t="s">
        <v>1380</v>
      </c>
      <c r="J14" s="56">
        <v>22.0</v>
      </c>
      <c r="K14" s="56">
        <v>125.0</v>
      </c>
      <c r="L14" s="57" t="s">
        <v>1405</v>
      </c>
    </row>
    <row r="15">
      <c r="A15" s="56" t="s">
        <v>1017</v>
      </c>
      <c r="B15" s="56" t="s">
        <v>1406</v>
      </c>
      <c r="C15" s="56" t="s">
        <v>1404</v>
      </c>
      <c r="D15" s="56">
        <v>4.0</v>
      </c>
      <c r="E15" s="56">
        <v>8.0</v>
      </c>
      <c r="F15" s="56">
        <v>3.8</v>
      </c>
      <c r="G15" s="56">
        <v>3.9</v>
      </c>
      <c r="H15" s="56" t="s">
        <v>1379</v>
      </c>
      <c r="I15" s="56" t="s">
        <v>1380</v>
      </c>
      <c r="J15" s="56">
        <v>16.5</v>
      </c>
      <c r="K15" s="56">
        <v>105.0</v>
      </c>
      <c r="L15" s="57" t="s">
        <v>1405</v>
      </c>
    </row>
    <row r="16">
      <c r="A16" s="56" t="s">
        <v>1017</v>
      </c>
      <c r="B16" s="56" t="s">
        <v>1407</v>
      </c>
      <c r="C16" s="56" t="s">
        <v>1404</v>
      </c>
      <c r="D16" s="56">
        <v>24.0</v>
      </c>
      <c r="E16" s="56">
        <v>48.0</v>
      </c>
      <c r="F16" s="56">
        <v>2.4</v>
      </c>
      <c r="G16" s="56">
        <v>3.9</v>
      </c>
      <c r="H16" s="56" t="s">
        <v>1379</v>
      </c>
      <c r="I16" s="56" t="s">
        <v>1380</v>
      </c>
      <c r="J16" s="56">
        <v>35.75</v>
      </c>
      <c r="K16" s="56">
        <v>165.0</v>
      </c>
      <c r="L16" s="57" t="s">
        <v>1405</v>
      </c>
    </row>
    <row r="17">
      <c r="A17" s="56" t="s">
        <v>1017</v>
      </c>
      <c r="B17" s="56" t="s">
        <v>1408</v>
      </c>
      <c r="C17" s="56" t="s">
        <v>1404</v>
      </c>
      <c r="D17" s="56">
        <v>24.0</v>
      </c>
      <c r="E17" s="56">
        <v>48.0</v>
      </c>
      <c r="F17" s="56">
        <v>2.4</v>
      </c>
      <c r="G17" s="56">
        <v>3.9</v>
      </c>
      <c r="H17" s="56" t="s">
        <v>1379</v>
      </c>
      <c r="I17" s="56" t="s">
        <v>1380</v>
      </c>
      <c r="J17" s="56">
        <v>35.75</v>
      </c>
      <c r="K17" s="56">
        <v>165.0</v>
      </c>
      <c r="L17" s="57" t="s">
        <v>1405</v>
      </c>
    </row>
    <row r="18">
      <c r="A18" s="56" t="s">
        <v>1017</v>
      </c>
      <c r="B18" s="56" t="s">
        <v>1409</v>
      </c>
      <c r="C18" s="56" t="s">
        <v>1404</v>
      </c>
      <c r="D18" s="56">
        <v>24.0</v>
      </c>
      <c r="E18" s="56">
        <v>48.0</v>
      </c>
      <c r="F18" s="56">
        <v>2.9</v>
      </c>
      <c r="G18" s="56">
        <v>3.9</v>
      </c>
      <c r="H18" s="56" t="s">
        <v>1379</v>
      </c>
      <c r="I18" s="56" t="s">
        <v>1380</v>
      </c>
      <c r="J18" s="56">
        <v>35.75</v>
      </c>
      <c r="K18" s="56">
        <v>205.0</v>
      </c>
      <c r="L18" s="57" t="s">
        <v>1405</v>
      </c>
    </row>
    <row r="19">
      <c r="A19" s="56" t="s">
        <v>1017</v>
      </c>
      <c r="B19" s="56" t="s">
        <v>1410</v>
      </c>
      <c r="C19" s="56" t="s">
        <v>1404</v>
      </c>
      <c r="D19" s="56">
        <v>26.0</v>
      </c>
      <c r="E19" s="56">
        <v>52.0</v>
      </c>
      <c r="F19" s="56">
        <v>2.7</v>
      </c>
      <c r="G19" s="56">
        <v>4.0</v>
      </c>
      <c r="H19" s="56" t="s">
        <v>1379</v>
      </c>
      <c r="I19" s="56" t="s">
        <v>1380</v>
      </c>
      <c r="J19" s="56">
        <v>35.75</v>
      </c>
      <c r="K19" s="56">
        <v>205.0</v>
      </c>
      <c r="L19" s="57" t="s">
        <v>1405</v>
      </c>
    </row>
    <row r="20">
      <c r="A20" s="56" t="s">
        <v>1017</v>
      </c>
      <c r="B20" s="56" t="s">
        <v>1411</v>
      </c>
      <c r="C20" s="56" t="s">
        <v>1404</v>
      </c>
      <c r="D20" s="56">
        <v>28.0</v>
      </c>
      <c r="E20" s="56">
        <v>56.0</v>
      </c>
      <c r="F20" s="56">
        <v>2.2</v>
      </c>
      <c r="G20" s="56">
        <v>4.0</v>
      </c>
      <c r="H20" s="56" t="s">
        <v>1379</v>
      </c>
      <c r="I20" s="56" t="s">
        <v>1380</v>
      </c>
      <c r="J20" s="56">
        <v>38.5</v>
      </c>
      <c r="K20" s="56">
        <v>165.0</v>
      </c>
      <c r="L20" s="57" t="s">
        <v>1405</v>
      </c>
    </row>
    <row r="21" ht="15.75" customHeight="1">
      <c r="A21" s="56" t="s">
        <v>1017</v>
      </c>
      <c r="B21" s="56" t="s">
        <v>1412</v>
      </c>
      <c r="C21" s="56" t="s">
        <v>1404</v>
      </c>
      <c r="D21" s="56">
        <v>28.0</v>
      </c>
      <c r="E21" s="56">
        <v>56.0</v>
      </c>
      <c r="F21" s="56">
        <v>2.7</v>
      </c>
      <c r="G21" s="56">
        <v>4.0</v>
      </c>
      <c r="H21" s="56" t="s">
        <v>1379</v>
      </c>
      <c r="I21" s="56" t="s">
        <v>1380</v>
      </c>
      <c r="J21" s="56">
        <v>38.5</v>
      </c>
      <c r="K21" s="56">
        <v>205.0</v>
      </c>
      <c r="L21" s="57" t="s">
        <v>1405</v>
      </c>
    </row>
    <row r="22" ht="15.75" customHeight="1">
      <c r="A22" s="56" t="s">
        <v>1017</v>
      </c>
      <c r="B22" s="56" t="s">
        <v>1413</v>
      </c>
      <c r="C22" s="56" t="s">
        <v>1404</v>
      </c>
      <c r="D22" s="56">
        <v>28.0</v>
      </c>
      <c r="E22" s="56">
        <v>56.0</v>
      </c>
      <c r="F22" s="56">
        <v>2.7</v>
      </c>
      <c r="G22" s="56">
        <v>4.0</v>
      </c>
      <c r="H22" s="56" t="s">
        <v>1379</v>
      </c>
      <c r="I22" s="56" t="s">
        <v>1380</v>
      </c>
      <c r="J22" s="56">
        <v>38.5</v>
      </c>
      <c r="K22" s="56">
        <v>205.0</v>
      </c>
      <c r="L22" s="57" t="s">
        <v>1405</v>
      </c>
    </row>
    <row r="23" ht="15.75" customHeight="1">
      <c r="A23" s="56" t="s">
        <v>1017</v>
      </c>
      <c r="B23" s="56" t="s">
        <v>1414</v>
      </c>
      <c r="C23" s="56" t="s">
        <v>1396</v>
      </c>
      <c r="D23" s="56">
        <v>28.0</v>
      </c>
      <c r="E23" s="56">
        <v>56.0</v>
      </c>
      <c r="F23" s="56">
        <v>3.1</v>
      </c>
      <c r="G23" s="56">
        <v>4.3</v>
      </c>
      <c r="H23" s="56" t="s">
        <v>1379</v>
      </c>
      <c r="I23" s="56" t="s">
        <v>1380</v>
      </c>
      <c r="J23" s="56">
        <v>38.5</v>
      </c>
      <c r="K23" s="56">
        <v>255.0</v>
      </c>
      <c r="L23" s="57" t="s">
        <v>1415</v>
      </c>
    </row>
    <row r="24" ht="15.75" customHeight="1">
      <c r="A24" s="56" t="s">
        <v>1017</v>
      </c>
      <c r="B24" s="56" t="s">
        <v>1416</v>
      </c>
      <c r="C24" s="56" t="s">
        <v>1417</v>
      </c>
      <c r="D24" s="56">
        <v>32.0</v>
      </c>
      <c r="E24" s="56">
        <v>64.0</v>
      </c>
      <c r="F24" s="56">
        <v>2.1</v>
      </c>
      <c r="G24" s="56">
        <v>3.7</v>
      </c>
      <c r="H24" s="56" t="s">
        <v>1418</v>
      </c>
      <c r="I24" s="56" t="s">
        <v>1380</v>
      </c>
      <c r="J24" s="56">
        <v>71.5</v>
      </c>
      <c r="K24" s="56">
        <v>250.0</v>
      </c>
      <c r="L24" s="57" t="s">
        <v>1419</v>
      </c>
    </row>
    <row r="25" ht="15.75" customHeight="1">
      <c r="A25" s="56" t="s">
        <v>1017</v>
      </c>
      <c r="B25" s="56" t="s">
        <v>1420</v>
      </c>
      <c r="C25" s="56" t="s">
        <v>1417</v>
      </c>
      <c r="D25" s="56">
        <v>32.0</v>
      </c>
      <c r="E25" s="56">
        <v>64.0</v>
      </c>
      <c r="F25" s="56">
        <v>2.3</v>
      </c>
      <c r="G25" s="56">
        <v>3.7</v>
      </c>
      <c r="H25" s="56" t="s">
        <v>1418</v>
      </c>
      <c r="I25" s="56" t="s">
        <v>1380</v>
      </c>
      <c r="J25" s="56">
        <v>71.5</v>
      </c>
      <c r="K25" s="56">
        <v>250.0</v>
      </c>
      <c r="L25" s="57" t="s">
        <v>1419</v>
      </c>
    </row>
    <row r="26" ht="15.75" customHeight="1">
      <c r="A26" s="56" t="s">
        <v>1017</v>
      </c>
      <c r="B26" s="56" t="s">
        <v>1421</v>
      </c>
      <c r="C26" s="56" t="s">
        <v>1417</v>
      </c>
      <c r="D26" s="56">
        <v>48.0</v>
      </c>
      <c r="E26" s="56">
        <v>96.0</v>
      </c>
      <c r="F26" s="56">
        <v>2.3</v>
      </c>
      <c r="G26" s="56">
        <v>3.8</v>
      </c>
      <c r="H26" s="56" t="s">
        <v>1418</v>
      </c>
      <c r="I26" s="56" t="s">
        <v>1380</v>
      </c>
      <c r="J26" s="56">
        <v>71.5</v>
      </c>
      <c r="K26" s="56">
        <v>350.0</v>
      </c>
      <c r="L26" s="57" t="s">
        <v>1419</v>
      </c>
    </row>
    <row r="27" ht="15.75" customHeight="1">
      <c r="A27" s="56" t="s">
        <v>1017</v>
      </c>
      <c r="B27" s="56" t="s">
        <v>1422</v>
      </c>
      <c r="C27" s="56" t="s">
        <v>1417</v>
      </c>
      <c r="D27" s="56">
        <v>56.0</v>
      </c>
      <c r="E27" s="56">
        <v>112.0</v>
      </c>
      <c r="F27" s="56">
        <v>2.6</v>
      </c>
      <c r="G27" s="56">
        <v>3.8</v>
      </c>
      <c r="H27" s="56" t="s">
        <v>1418</v>
      </c>
      <c r="I27" s="56" t="s">
        <v>1380</v>
      </c>
      <c r="J27" s="56">
        <v>77.0</v>
      </c>
      <c r="K27" s="56">
        <v>400.0</v>
      </c>
      <c r="L27" s="57" t="s">
        <v>1419</v>
      </c>
    </row>
    <row r="28" ht="15.75" customHeight="1">
      <c r="A28" s="56" t="s">
        <v>1017</v>
      </c>
      <c r="B28" s="56" t="s">
        <v>1423</v>
      </c>
      <c r="C28" s="56" t="s">
        <v>1424</v>
      </c>
      <c r="D28" s="56">
        <v>8.0</v>
      </c>
      <c r="E28" s="56">
        <v>16.0</v>
      </c>
      <c r="F28" s="56">
        <v>3.2</v>
      </c>
      <c r="G28" s="56">
        <v>3.6</v>
      </c>
      <c r="H28" s="56" t="s">
        <v>1425</v>
      </c>
      <c r="I28" s="56" t="s">
        <v>1426</v>
      </c>
      <c r="J28" s="56">
        <v>12.0</v>
      </c>
      <c r="K28" s="56">
        <v>140.0</v>
      </c>
      <c r="L28" s="57" t="s">
        <v>1427</v>
      </c>
    </row>
    <row r="29" ht="15.75" customHeight="1">
      <c r="A29" s="56" t="s">
        <v>1017</v>
      </c>
      <c r="B29" s="56" t="s">
        <v>1428</v>
      </c>
      <c r="C29" s="56" t="s">
        <v>1424</v>
      </c>
      <c r="D29" s="56">
        <v>12.0</v>
      </c>
      <c r="E29" s="56">
        <v>24.0</v>
      </c>
      <c r="F29" s="56">
        <v>3.0</v>
      </c>
      <c r="G29" s="56">
        <v>3.6</v>
      </c>
      <c r="H29" s="56" t="s">
        <v>1425</v>
      </c>
      <c r="I29" s="56" t="s">
        <v>1426</v>
      </c>
      <c r="J29" s="56">
        <v>18.0</v>
      </c>
      <c r="K29" s="56">
        <v>150.0</v>
      </c>
      <c r="L29" s="57" t="s">
        <v>1427</v>
      </c>
    </row>
    <row r="30" ht="15.75" customHeight="1">
      <c r="A30" s="56" t="s">
        <v>1017</v>
      </c>
      <c r="B30" s="56" t="s">
        <v>1429</v>
      </c>
      <c r="C30" s="56" t="s">
        <v>1430</v>
      </c>
      <c r="D30" s="56">
        <v>18.0</v>
      </c>
      <c r="E30" s="56">
        <v>36.0</v>
      </c>
      <c r="F30" s="56">
        <v>2.5</v>
      </c>
      <c r="G30" s="56">
        <v>3.8</v>
      </c>
      <c r="H30" s="56" t="s">
        <v>1425</v>
      </c>
      <c r="I30" s="56" t="s">
        <v>1380</v>
      </c>
      <c r="J30" s="56">
        <v>24.75</v>
      </c>
      <c r="K30" s="56">
        <v>150.0</v>
      </c>
      <c r="L30" s="57" t="s">
        <v>1427</v>
      </c>
    </row>
    <row r="31" ht="15.75" customHeight="1">
      <c r="A31" s="56" t="s">
        <v>1017</v>
      </c>
      <c r="B31" s="56" t="s">
        <v>1431</v>
      </c>
      <c r="C31" s="56" t="s">
        <v>1424</v>
      </c>
      <c r="D31" s="56">
        <v>24.0</v>
      </c>
      <c r="E31" s="56">
        <v>48.0</v>
      </c>
      <c r="F31" s="56">
        <v>2.1</v>
      </c>
      <c r="G31" s="56">
        <v>3.4</v>
      </c>
      <c r="H31" s="56" t="s">
        <v>1425</v>
      </c>
      <c r="I31" s="56" t="s">
        <v>1426</v>
      </c>
      <c r="J31" s="56">
        <v>36.0</v>
      </c>
      <c r="K31" s="56">
        <v>150.0</v>
      </c>
      <c r="L31" s="57" t="s">
        <v>1427</v>
      </c>
    </row>
    <row r="32" ht="15.75" customHeight="1">
      <c r="A32" s="56" t="s">
        <v>1017</v>
      </c>
      <c r="B32" s="56" t="s">
        <v>1432</v>
      </c>
      <c r="C32" s="56" t="s">
        <v>1424</v>
      </c>
      <c r="D32" s="56">
        <v>24.0</v>
      </c>
      <c r="E32" s="56">
        <v>48.0</v>
      </c>
      <c r="F32" s="56">
        <v>2.1</v>
      </c>
      <c r="G32" s="56">
        <v>3.4</v>
      </c>
      <c r="H32" s="56" t="s">
        <v>1425</v>
      </c>
      <c r="I32" s="56" t="s">
        <v>1426</v>
      </c>
      <c r="J32" s="56">
        <v>36.0</v>
      </c>
      <c r="K32" s="56">
        <v>165.0</v>
      </c>
      <c r="L32" s="57" t="s">
        <v>1427</v>
      </c>
    </row>
    <row r="33" ht="15.75" customHeight="1">
      <c r="A33" s="56" t="s">
        <v>1017</v>
      </c>
      <c r="B33" s="56" t="s">
        <v>1433</v>
      </c>
      <c r="C33" s="56" t="s">
        <v>1424</v>
      </c>
      <c r="D33" s="56">
        <v>24.0</v>
      </c>
      <c r="E33" s="56">
        <v>48.0</v>
      </c>
      <c r="F33" s="56">
        <v>2.1</v>
      </c>
      <c r="G33" s="56">
        <v>3.4</v>
      </c>
      <c r="H33" s="56" t="s">
        <v>1425</v>
      </c>
      <c r="I33" s="56" t="s">
        <v>1426</v>
      </c>
      <c r="J33" s="56">
        <v>36.0</v>
      </c>
      <c r="K33" s="56">
        <v>165.0</v>
      </c>
      <c r="L33" s="57" t="s">
        <v>1427</v>
      </c>
    </row>
    <row r="34" ht="15.75" customHeight="1">
      <c r="A34" s="56" t="s">
        <v>1017</v>
      </c>
      <c r="B34" s="56" t="s">
        <v>1434</v>
      </c>
      <c r="C34" s="56" t="s">
        <v>1424</v>
      </c>
      <c r="D34" s="56">
        <v>26.0</v>
      </c>
      <c r="E34" s="56">
        <v>52.0</v>
      </c>
      <c r="F34" s="56">
        <v>2.2</v>
      </c>
      <c r="G34" s="56">
        <v>3.4</v>
      </c>
      <c r="H34" s="56" t="s">
        <v>1425</v>
      </c>
      <c r="I34" s="56" t="s">
        <v>1426</v>
      </c>
      <c r="J34" s="56">
        <v>39.0</v>
      </c>
      <c r="K34" s="56">
        <v>185.0</v>
      </c>
      <c r="L34" s="57" t="s">
        <v>1427</v>
      </c>
    </row>
    <row r="35" ht="15.75" customHeight="1">
      <c r="A35" s="56" t="s">
        <v>1017</v>
      </c>
      <c r="B35" s="56" t="s">
        <v>1435</v>
      </c>
      <c r="C35" s="56" t="s">
        <v>1430</v>
      </c>
      <c r="D35" s="56">
        <v>20.0</v>
      </c>
      <c r="E35" s="56">
        <v>40.0</v>
      </c>
      <c r="F35" s="56">
        <v>2.4</v>
      </c>
      <c r="G35" s="56">
        <v>4.2</v>
      </c>
      <c r="H35" s="56" t="s">
        <v>1425</v>
      </c>
      <c r="I35" s="56" t="s">
        <v>1380</v>
      </c>
      <c r="J35" s="56">
        <v>27.5</v>
      </c>
      <c r="K35" s="56">
        <v>150.0</v>
      </c>
      <c r="L35" s="57" t="s">
        <v>1427</v>
      </c>
    </row>
    <row r="36" ht="15.75" customHeight="1">
      <c r="A36" s="56" t="s">
        <v>1017</v>
      </c>
      <c r="B36" s="56" t="s">
        <v>1436</v>
      </c>
      <c r="C36" s="56" t="s">
        <v>1424</v>
      </c>
      <c r="D36" s="56">
        <v>20.0</v>
      </c>
      <c r="E36" s="56">
        <v>40.0</v>
      </c>
      <c r="F36" s="56">
        <v>2.3</v>
      </c>
      <c r="G36" s="56">
        <v>3.5</v>
      </c>
      <c r="H36" s="56" t="s">
        <v>1425</v>
      </c>
      <c r="I36" s="56" t="s">
        <v>1426</v>
      </c>
      <c r="J36" s="56">
        <v>30.0</v>
      </c>
      <c r="K36" s="56">
        <v>150.0</v>
      </c>
      <c r="L36" s="57" t="s">
        <v>1427</v>
      </c>
    </row>
    <row r="37" ht="15.75" customHeight="1">
      <c r="A37" s="56" t="s">
        <v>1017</v>
      </c>
      <c r="B37" s="56" t="s">
        <v>1437</v>
      </c>
      <c r="C37" s="56" t="s">
        <v>1424</v>
      </c>
      <c r="D37" s="56">
        <v>24.0</v>
      </c>
      <c r="E37" s="56">
        <v>48.0</v>
      </c>
      <c r="F37" s="56">
        <v>2.4</v>
      </c>
      <c r="G37" s="56">
        <v>3.6</v>
      </c>
      <c r="H37" s="56" t="s">
        <v>1425</v>
      </c>
      <c r="I37" s="56" t="s">
        <v>1426</v>
      </c>
      <c r="J37" s="56">
        <v>36.0</v>
      </c>
      <c r="K37" s="56">
        <v>185.0</v>
      </c>
      <c r="L37" s="57" t="s">
        <v>1427</v>
      </c>
    </row>
    <row r="38" ht="15.75" customHeight="1">
      <c r="A38" s="56" t="s">
        <v>1017</v>
      </c>
      <c r="B38" s="56" t="s">
        <v>1438</v>
      </c>
      <c r="C38" s="56" t="s">
        <v>1424</v>
      </c>
      <c r="D38" s="56">
        <v>32.0</v>
      </c>
      <c r="E38" s="56">
        <v>64.0</v>
      </c>
      <c r="F38" s="56">
        <v>2.3</v>
      </c>
      <c r="G38" s="56">
        <v>3.4</v>
      </c>
      <c r="H38" s="56" t="s">
        <v>1425</v>
      </c>
      <c r="I38" s="56" t="s">
        <v>1426</v>
      </c>
      <c r="J38" s="56">
        <v>48.0</v>
      </c>
      <c r="K38" s="56">
        <v>205.0</v>
      </c>
      <c r="L38" s="57" t="s">
        <v>1427</v>
      </c>
    </row>
    <row r="39" ht="15.75" customHeight="1">
      <c r="A39" s="56" t="s">
        <v>1017</v>
      </c>
      <c r="B39" s="56" t="s">
        <v>1439</v>
      </c>
      <c r="C39" s="56" t="s">
        <v>1424</v>
      </c>
      <c r="D39" s="56">
        <v>16.0</v>
      </c>
      <c r="E39" s="56">
        <v>32.0</v>
      </c>
      <c r="F39" s="56">
        <v>2.9</v>
      </c>
      <c r="G39" s="56">
        <v>3.5</v>
      </c>
      <c r="H39" s="56" t="s">
        <v>1425</v>
      </c>
      <c r="I39" s="56" t="s">
        <v>1426</v>
      </c>
      <c r="J39" s="56">
        <v>24.0</v>
      </c>
      <c r="K39" s="56">
        <v>185.0</v>
      </c>
      <c r="L39" s="57" t="s">
        <v>1427</v>
      </c>
    </row>
    <row r="40" ht="15.75" customHeight="1">
      <c r="A40" s="56" t="s">
        <v>1017</v>
      </c>
      <c r="B40" s="56" t="s">
        <v>1440</v>
      </c>
      <c r="C40" s="56" t="s">
        <v>1430</v>
      </c>
      <c r="D40" s="56">
        <v>16.0</v>
      </c>
      <c r="E40" s="56">
        <v>32.0</v>
      </c>
      <c r="F40" s="56">
        <v>2.8</v>
      </c>
      <c r="G40" s="56">
        <v>4.3</v>
      </c>
      <c r="H40" s="56" t="s">
        <v>1425</v>
      </c>
      <c r="I40" s="56" t="s">
        <v>1380</v>
      </c>
      <c r="J40" s="56">
        <v>22.0</v>
      </c>
      <c r="K40" s="56">
        <v>165.0</v>
      </c>
      <c r="L40" s="57" t="s">
        <v>1427</v>
      </c>
    </row>
    <row r="41" ht="15.75" customHeight="1">
      <c r="A41" s="56" t="s">
        <v>1017</v>
      </c>
      <c r="B41" s="56" t="s">
        <v>1441</v>
      </c>
      <c r="C41" s="56" t="s">
        <v>1430</v>
      </c>
      <c r="D41" s="56">
        <v>16.0</v>
      </c>
      <c r="E41" s="56">
        <v>32.0</v>
      </c>
      <c r="F41" s="56">
        <v>2.8</v>
      </c>
      <c r="G41" s="56">
        <v>4.3</v>
      </c>
      <c r="H41" s="56" t="s">
        <v>1425</v>
      </c>
      <c r="I41" s="56" t="s">
        <v>1380</v>
      </c>
      <c r="J41" s="56">
        <v>22.0</v>
      </c>
      <c r="K41" s="56">
        <v>165.0</v>
      </c>
      <c r="L41" s="57" t="s">
        <v>1427</v>
      </c>
    </row>
    <row r="42" ht="15.75" customHeight="1">
      <c r="A42" s="56" t="s">
        <v>1017</v>
      </c>
      <c r="B42" s="56" t="s">
        <v>1442</v>
      </c>
      <c r="C42" s="56" t="s">
        <v>1424</v>
      </c>
      <c r="D42" s="56">
        <v>28.0</v>
      </c>
      <c r="E42" s="56">
        <v>56.0</v>
      </c>
      <c r="F42" s="56">
        <v>2.0</v>
      </c>
      <c r="G42" s="56">
        <v>3.1</v>
      </c>
      <c r="H42" s="56" t="s">
        <v>1425</v>
      </c>
      <c r="I42" s="56" t="s">
        <v>1426</v>
      </c>
      <c r="J42" s="56">
        <v>42.0</v>
      </c>
      <c r="K42" s="56">
        <v>205.0</v>
      </c>
      <c r="L42" s="57" t="s">
        <v>1427</v>
      </c>
    </row>
    <row r="43" ht="15.75" customHeight="1">
      <c r="A43" s="56" t="s">
        <v>1017</v>
      </c>
      <c r="B43" s="56" t="s">
        <v>1443</v>
      </c>
      <c r="C43" s="56" t="s">
        <v>1430</v>
      </c>
      <c r="D43" s="56">
        <v>24.0</v>
      </c>
      <c r="E43" s="56">
        <v>48.0</v>
      </c>
      <c r="F43" s="56">
        <v>2.0</v>
      </c>
      <c r="G43" s="56">
        <v>3.7</v>
      </c>
      <c r="H43" s="56" t="s">
        <v>1425</v>
      </c>
      <c r="I43" s="56" t="s">
        <v>1380</v>
      </c>
      <c r="J43" s="56">
        <v>33.0</v>
      </c>
      <c r="K43" s="56">
        <v>150.0</v>
      </c>
      <c r="L43" s="57" t="s">
        <v>1427</v>
      </c>
    </row>
    <row r="44" ht="15.75" customHeight="1">
      <c r="A44" s="56" t="s">
        <v>1017</v>
      </c>
      <c r="B44" s="56" t="s">
        <v>1444</v>
      </c>
      <c r="C44" s="56" t="s">
        <v>1424</v>
      </c>
      <c r="D44" s="56">
        <v>8.0</v>
      </c>
      <c r="E44" s="56">
        <v>16.0</v>
      </c>
      <c r="F44" s="56">
        <v>3.6</v>
      </c>
      <c r="G44" s="56">
        <v>3.7</v>
      </c>
      <c r="H44" s="56" t="s">
        <v>1425</v>
      </c>
      <c r="I44" s="56" t="s">
        <v>1426</v>
      </c>
      <c r="J44" s="56">
        <v>18.0</v>
      </c>
      <c r="K44" s="56">
        <v>165.0</v>
      </c>
      <c r="L44" s="57" t="s">
        <v>1427</v>
      </c>
    </row>
    <row r="45" ht="15.75" customHeight="1">
      <c r="A45" s="56" t="s">
        <v>1017</v>
      </c>
      <c r="B45" s="56" t="s">
        <v>1445</v>
      </c>
      <c r="C45" s="56" t="s">
        <v>1424</v>
      </c>
      <c r="D45" s="56">
        <v>24.0</v>
      </c>
      <c r="E45" s="56">
        <v>48.0</v>
      </c>
      <c r="F45" s="56">
        <v>2.4</v>
      </c>
      <c r="G45" s="56">
        <v>3.6</v>
      </c>
      <c r="H45" s="56" t="s">
        <v>1425</v>
      </c>
      <c r="I45" s="56" t="s">
        <v>1426</v>
      </c>
      <c r="J45" s="56">
        <v>36.0</v>
      </c>
      <c r="K45" s="56">
        <v>185.0</v>
      </c>
      <c r="L45" s="57" t="s">
        <v>1427</v>
      </c>
    </row>
    <row r="46" ht="15.75" customHeight="1">
      <c r="A46" s="56" t="s">
        <v>1017</v>
      </c>
      <c r="B46" s="56" t="s">
        <v>1446</v>
      </c>
      <c r="C46" s="56" t="s">
        <v>1424</v>
      </c>
      <c r="D46" s="56">
        <v>32.0</v>
      </c>
      <c r="E46" s="56">
        <v>64.0</v>
      </c>
      <c r="F46" s="56">
        <v>2.2</v>
      </c>
      <c r="G46" s="56">
        <v>3.5</v>
      </c>
      <c r="H46" s="56" t="s">
        <v>1425</v>
      </c>
      <c r="I46" s="56" t="s">
        <v>1426</v>
      </c>
      <c r="J46" s="56">
        <v>48.0</v>
      </c>
      <c r="K46" s="56">
        <v>185.0</v>
      </c>
      <c r="L46" s="57" t="s">
        <v>1427</v>
      </c>
    </row>
    <row r="47" ht="15.75" customHeight="1">
      <c r="A47" s="56" t="s">
        <v>1017</v>
      </c>
      <c r="B47" s="56" t="s">
        <v>1447</v>
      </c>
      <c r="C47" s="56" t="s">
        <v>1424</v>
      </c>
      <c r="D47" s="56">
        <v>24.0</v>
      </c>
      <c r="E47" s="56">
        <v>48.0</v>
      </c>
      <c r="F47" s="56">
        <v>2.1</v>
      </c>
      <c r="G47" s="56">
        <v>3.4</v>
      </c>
      <c r="H47" s="56" t="s">
        <v>1425</v>
      </c>
      <c r="I47" s="56" t="s">
        <v>1426</v>
      </c>
      <c r="J47" s="56">
        <v>36.0</v>
      </c>
      <c r="K47" s="56">
        <v>165.0</v>
      </c>
      <c r="L47" s="57" t="s">
        <v>1427</v>
      </c>
    </row>
    <row r="48" ht="15.75" customHeight="1">
      <c r="A48" s="56" t="s">
        <v>1017</v>
      </c>
      <c r="B48" s="56" t="s">
        <v>1448</v>
      </c>
      <c r="C48" s="56" t="s">
        <v>1424</v>
      </c>
      <c r="D48" s="56">
        <v>24.0</v>
      </c>
      <c r="E48" s="56">
        <v>48.0</v>
      </c>
      <c r="F48" s="56">
        <v>2.8</v>
      </c>
      <c r="G48" s="56">
        <v>3.5</v>
      </c>
      <c r="H48" s="56" t="s">
        <v>1425</v>
      </c>
      <c r="I48" s="56" t="s">
        <v>1426</v>
      </c>
      <c r="J48" s="56">
        <v>36.0</v>
      </c>
      <c r="K48" s="56">
        <v>230.0</v>
      </c>
      <c r="L48" s="57" t="s">
        <v>1427</v>
      </c>
    </row>
    <row r="49" ht="15.75" customHeight="1">
      <c r="A49" s="56" t="s">
        <v>1017</v>
      </c>
      <c r="B49" s="56" t="s">
        <v>1449</v>
      </c>
      <c r="C49" s="56" t="s">
        <v>1424</v>
      </c>
      <c r="D49" s="56">
        <v>16.0</v>
      </c>
      <c r="E49" s="56">
        <v>32.0</v>
      </c>
      <c r="F49" s="56">
        <v>3.1</v>
      </c>
      <c r="G49" s="56">
        <v>3.6</v>
      </c>
      <c r="H49" s="56" t="s">
        <v>1425</v>
      </c>
      <c r="I49" s="56" t="s">
        <v>1426</v>
      </c>
      <c r="J49" s="56">
        <v>36.0</v>
      </c>
      <c r="K49" s="56">
        <v>205.0</v>
      </c>
      <c r="L49" s="57" t="s">
        <v>1427</v>
      </c>
    </row>
    <row r="50" ht="15.75" customHeight="1">
      <c r="A50" s="56" t="s">
        <v>1017</v>
      </c>
      <c r="B50" s="56" t="s">
        <v>1450</v>
      </c>
      <c r="C50" s="56" t="s">
        <v>1424</v>
      </c>
      <c r="D50" s="56">
        <v>28.0</v>
      </c>
      <c r="E50" s="56">
        <v>56.0</v>
      </c>
      <c r="F50" s="56">
        <v>2.6</v>
      </c>
      <c r="G50" s="56">
        <v>3.5</v>
      </c>
      <c r="H50" s="56" t="s">
        <v>1425</v>
      </c>
      <c r="I50" s="56" t="s">
        <v>1426</v>
      </c>
      <c r="J50" s="56">
        <v>42.0</v>
      </c>
      <c r="K50" s="56">
        <v>235.0</v>
      </c>
      <c r="L50" s="57" t="s">
        <v>1427</v>
      </c>
    </row>
    <row r="51" ht="15.75" customHeight="1">
      <c r="A51" s="56" t="s">
        <v>1017</v>
      </c>
      <c r="B51" s="56" t="s">
        <v>1451</v>
      </c>
      <c r="C51" s="56" t="s">
        <v>1430</v>
      </c>
      <c r="D51" s="56">
        <v>24.0</v>
      </c>
      <c r="E51" s="56">
        <v>48.0</v>
      </c>
      <c r="F51" s="56">
        <v>2.3</v>
      </c>
      <c r="G51" s="56">
        <v>4.2</v>
      </c>
      <c r="H51" s="56" t="s">
        <v>1425</v>
      </c>
      <c r="I51" s="56" t="s">
        <v>1380</v>
      </c>
      <c r="J51" s="56">
        <v>33.0</v>
      </c>
      <c r="K51" s="56">
        <v>165.0</v>
      </c>
      <c r="L51" s="57" t="s">
        <v>1427</v>
      </c>
    </row>
    <row r="52" ht="15.75" customHeight="1">
      <c r="A52" s="56" t="s">
        <v>1017</v>
      </c>
      <c r="B52" s="56" t="s">
        <v>1452</v>
      </c>
      <c r="C52" s="56" t="s">
        <v>1424</v>
      </c>
      <c r="D52" s="56">
        <v>18.0</v>
      </c>
      <c r="E52" s="56">
        <v>36.0</v>
      </c>
      <c r="F52" s="56">
        <v>3.0</v>
      </c>
      <c r="G52" s="56">
        <v>3.6</v>
      </c>
      <c r="H52" s="56" t="s">
        <v>1425</v>
      </c>
      <c r="I52" s="56" t="s">
        <v>1426</v>
      </c>
      <c r="J52" s="56">
        <v>39.0</v>
      </c>
      <c r="K52" s="56">
        <v>205.0</v>
      </c>
      <c r="L52" s="57" t="s">
        <v>1427</v>
      </c>
    </row>
    <row r="53" ht="15.75" customHeight="1">
      <c r="A53" s="56" t="s">
        <v>1017</v>
      </c>
      <c r="B53" s="56" t="s">
        <v>1453</v>
      </c>
      <c r="C53" s="56" t="s">
        <v>1424</v>
      </c>
      <c r="D53" s="56">
        <v>36.0</v>
      </c>
      <c r="E53" s="56">
        <v>72.0</v>
      </c>
      <c r="F53" s="56">
        <v>2.4</v>
      </c>
      <c r="G53" s="56">
        <v>3.5</v>
      </c>
      <c r="H53" s="56" t="s">
        <v>1425</v>
      </c>
      <c r="I53" s="56" t="s">
        <v>1426</v>
      </c>
      <c r="J53" s="56">
        <v>54.0</v>
      </c>
      <c r="K53" s="56">
        <v>225.0</v>
      </c>
      <c r="L53" s="57" t="s">
        <v>1427</v>
      </c>
    </row>
    <row r="54" ht="15.75" customHeight="1">
      <c r="A54" s="56" t="s">
        <v>1017</v>
      </c>
      <c r="B54" s="56" t="s">
        <v>1454</v>
      </c>
      <c r="C54" s="56" t="s">
        <v>1424</v>
      </c>
      <c r="D54" s="56">
        <v>32.0</v>
      </c>
      <c r="E54" s="56">
        <v>64.0</v>
      </c>
      <c r="F54" s="56">
        <v>2.3</v>
      </c>
      <c r="G54" s="56">
        <v>3.5</v>
      </c>
      <c r="H54" s="56" t="s">
        <v>1425</v>
      </c>
      <c r="I54" s="56" t="s">
        <v>1426</v>
      </c>
      <c r="J54" s="56">
        <v>48.0</v>
      </c>
      <c r="K54" s="56">
        <v>185.0</v>
      </c>
      <c r="L54" s="57" t="s">
        <v>1427</v>
      </c>
    </row>
    <row r="55" ht="15.75" customHeight="1">
      <c r="A55" s="56" t="s">
        <v>1017</v>
      </c>
      <c r="B55" s="56" t="s">
        <v>1455</v>
      </c>
      <c r="C55" s="56" t="s">
        <v>1424</v>
      </c>
      <c r="D55" s="56">
        <v>32.0</v>
      </c>
      <c r="E55" s="56">
        <v>64.0</v>
      </c>
      <c r="F55" s="56">
        <v>2.2</v>
      </c>
      <c r="G55" s="56">
        <v>3.4</v>
      </c>
      <c r="H55" s="56" t="s">
        <v>1425</v>
      </c>
      <c r="I55" s="56" t="s">
        <v>1426</v>
      </c>
      <c r="J55" s="56">
        <v>48.0</v>
      </c>
      <c r="K55" s="56">
        <v>205.0</v>
      </c>
      <c r="L55" s="57" t="s">
        <v>1427</v>
      </c>
    </row>
    <row r="56" ht="15.75" customHeight="1">
      <c r="A56" s="56" t="s">
        <v>1017</v>
      </c>
      <c r="B56" s="56" t="s">
        <v>1456</v>
      </c>
      <c r="C56" s="56" t="s">
        <v>1424</v>
      </c>
      <c r="D56" s="56">
        <v>36.0</v>
      </c>
      <c r="E56" s="56">
        <v>72.0</v>
      </c>
      <c r="F56" s="56">
        <v>2.5</v>
      </c>
      <c r="G56" s="56">
        <v>3.5</v>
      </c>
      <c r="H56" s="56" t="s">
        <v>1425</v>
      </c>
      <c r="I56" s="56" t="s">
        <v>1426</v>
      </c>
      <c r="J56" s="56">
        <v>54.0</v>
      </c>
      <c r="K56" s="56">
        <v>195.0</v>
      </c>
      <c r="L56" s="57" t="s">
        <v>1427</v>
      </c>
    </row>
    <row r="57" ht="15.75" customHeight="1">
      <c r="A57" s="56" t="s">
        <v>1017</v>
      </c>
      <c r="B57" s="56" t="s">
        <v>1457</v>
      </c>
      <c r="C57" s="56" t="s">
        <v>1430</v>
      </c>
      <c r="D57" s="56">
        <v>18.0</v>
      </c>
      <c r="E57" s="56">
        <v>36.0</v>
      </c>
      <c r="F57" s="56">
        <v>2.5</v>
      </c>
      <c r="G57" s="56">
        <v>3.8</v>
      </c>
      <c r="H57" s="56" t="s">
        <v>1425</v>
      </c>
      <c r="I57" s="56" t="s">
        <v>1380</v>
      </c>
      <c r="J57" s="56">
        <v>24.75</v>
      </c>
      <c r="K57" s="56">
        <v>150.0</v>
      </c>
      <c r="L57" s="57" t="s">
        <v>1427</v>
      </c>
    </row>
    <row r="58" ht="15.75" customHeight="1">
      <c r="A58" s="56" t="s">
        <v>1017</v>
      </c>
      <c r="B58" s="56" t="s">
        <v>1458</v>
      </c>
      <c r="C58" s="56" t="s">
        <v>1430</v>
      </c>
      <c r="D58" s="56">
        <v>18.0</v>
      </c>
      <c r="E58" s="56">
        <v>36.0</v>
      </c>
      <c r="F58" s="56">
        <v>3.1</v>
      </c>
      <c r="G58" s="56">
        <v>4.3</v>
      </c>
      <c r="H58" s="56" t="s">
        <v>1425</v>
      </c>
      <c r="I58" s="56" t="s">
        <v>1380</v>
      </c>
      <c r="J58" s="56">
        <v>24.75</v>
      </c>
      <c r="K58" s="56">
        <v>205.0</v>
      </c>
      <c r="L58" s="57" t="s">
        <v>1427</v>
      </c>
    </row>
    <row r="59" ht="15.75" customHeight="1">
      <c r="A59" s="56" t="s">
        <v>1017</v>
      </c>
      <c r="B59" s="56" t="s">
        <v>1459</v>
      </c>
      <c r="C59" s="56" t="s">
        <v>1430</v>
      </c>
      <c r="D59" s="56">
        <v>8.0</v>
      </c>
      <c r="E59" s="56">
        <v>16.0</v>
      </c>
      <c r="F59" s="56">
        <v>3.9</v>
      </c>
      <c r="G59" s="56">
        <v>4.4</v>
      </c>
      <c r="H59" s="56" t="s">
        <v>1425</v>
      </c>
      <c r="I59" s="56" t="s">
        <v>1380</v>
      </c>
      <c r="J59" s="56">
        <v>35.75</v>
      </c>
      <c r="K59" s="56">
        <v>190.0</v>
      </c>
      <c r="L59" s="57" t="s">
        <v>1427</v>
      </c>
    </row>
    <row r="60" ht="15.75" customHeight="1">
      <c r="A60" s="56" t="s">
        <v>1017</v>
      </c>
      <c r="B60" s="56" t="s">
        <v>1460</v>
      </c>
      <c r="C60" s="56" t="s">
        <v>1424</v>
      </c>
      <c r="D60" s="56">
        <v>32.0</v>
      </c>
      <c r="E60" s="56">
        <v>64.0</v>
      </c>
      <c r="F60" s="56">
        <v>2.6</v>
      </c>
      <c r="G60" s="56">
        <v>3.4</v>
      </c>
      <c r="H60" s="56" t="s">
        <v>1425</v>
      </c>
      <c r="I60" s="56" t="s">
        <v>1426</v>
      </c>
      <c r="J60" s="56">
        <v>48.0</v>
      </c>
      <c r="K60" s="56">
        <v>250.0</v>
      </c>
      <c r="L60" s="57" t="s">
        <v>1427</v>
      </c>
    </row>
    <row r="61" ht="15.75" customHeight="1">
      <c r="A61" s="56" t="s">
        <v>1017</v>
      </c>
      <c r="B61" s="56" t="s">
        <v>1461</v>
      </c>
      <c r="C61" s="56" t="s">
        <v>1424</v>
      </c>
      <c r="D61" s="56">
        <v>32.0</v>
      </c>
      <c r="E61" s="56">
        <v>64.0</v>
      </c>
      <c r="F61" s="56">
        <v>2.6</v>
      </c>
      <c r="G61" s="56">
        <v>3.4</v>
      </c>
      <c r="H61" s="56" t="s">
        <v>1425</v>
      </c>
      <c r="I61" s="56" t="s">
        <v>1426</v>
      </c>
      <c r="J61" s="56">
        <v>48.0</v>
      </c>
      <c r="K61" s="56">
        <v>240.0</v>
      </c>
      <c r="L61" s="57" t="s">
        <v>1427</v>
      </c>
    </row>
    <row r="62" ht="15.75" customHeight="1">
      <c r="A62" s="56" t="s">
        <v>1017</v>
      </c>
      <c r="B62" s="56" t="s">
        <v>1462</v>
      </c>
      <c r="C62" s="56" t="s">
        <v>1430</v>
      </c>
      <c r="D62" s="56">
        <v>24.0</v>
      </c>
      <c r="E62" s="56">
        <v>48.0</v>
      </c>
      <c r="F62" s="56">
        <v>3.0</v>
      </c>
      <c r="G62" s="56">
        <v>4.2</v>
      </c>
      <c r="H62" s="56" t="s">
        <v>1425</v>
      </c>
      <c r="I62" s="56" t="s">
        <v>1380</v>
      </c>
      <c r="J62" s="56">
        <v>33.0</v>
      </c>
      <c r="K62" s="56">
        <v>225.0</v>
      </c>
      <c r="L62" s="57" t="s">
        <v>1427</v>
      </c>
    </row>
    <row r="63" ht="15.75" customHeight="1">
      <c r="A63" s="56" t="s">
        <v>1017</v>
      </c>
      <c r="B63" s="56" t="s">
        <v>1463</v>
      </c>
      <c r="C63" s="56" t="s">
        <v>1430</v>
      </c>
      <c r="D63" s="56">
        <v>24.0</v>
      </c>
      <c r="E63" s="56">
        <v>48.0</v>
      </c>
      <c r="F63" s="56">
        <v>3.0</v>
      </c>
      <c r="G63" s="56">
        <v>4.2</v>
      </c>
      <c r="H63" s="56" t="s">
        <v>1425</v>
      </c>
      <c r="I63" s="56" t="s">
        <v>1380</v>
      </c>
      <c r="J63" s="56">
        <v>33.0</v>
      </c>
      <c r="K63" s="56">
        <v>225.0</v>
      </c>
      <c r="L63" s="57" t="s">
        <v>1427</v>
      </c>
    </row>
    <row r="64" ht="15.75" customHeight="1">
      <c r="A64" s="56" t="s">
        <v>1017</v>
      </c>
      <c r="B64" s="56" t="s">
        <v>1464</v>
      </c>
      <c r="C64" s="56" t="s">
        <v>1424</v>
      </c>
      <c r="D64" s="56">
        <v>36.0</v>
      </c>
      <c r="E64" s="56">
        <v>72.0</v>
      </c>
      <c r="F64" s="56">
        <v>2.4</v>
      </c>
      <c r="G64" s="56">
        <v>3.5</v>
      </c>
      <c r="H64" s="56" t="s">
        <v>1425</v>
      </c>
      <c r="I64" s="56" t="s">
        <v>1426</v>
      </c>
      <c r="J64" s="56">
        <v>54.0</v>
      </c>
      <c r="K64" s="56">
        <v>250.0</v>
      </c>
      <c r="L64" s="57" t="s">
        <v>1427</v>
      </c>
    </row>
    <row r="65" ht="15.75" customHeight="1">
      <c r="A65" s="56" t="s">
        <v>1017</v>
      </c>
      <c r="B65" s="56" t="s">
        <v>1465</v>
      </c>
      <c r="C65" s="56" t="s">
        <v>1424</v>
      </c>
      <c r="D65" s="56">
        <v>32.0</v>
      </c>
      <c r="E65" s="56">
        <v>64.0</v>
      </c>
      <c r="F65" s="56">
        <v>2.8</v>
      </c>
      <c r="G65" s="56">
        <v>3.6</v>
      </c>
      <c r="H65" s="56" t="s">
        <v>1425</v>
      </c>
      <c r="I65" s="56" t="s">
        <v>1426</v>
      </c>
      <c r="J65" s="56">
        <v>48.0</v>
      </c>
      <c r="K65" s="56">
        <v>265.0</v>
      </c>
      <c r="L65" s="57" t="s">
        <v>1427</v>
      </c>
    </row>
    <row r="66" ht="15.75" customHeight="1">
      <c r="A66" s="56" t="s">
        <v>1017</v>
      </c>
      <c r="B66" s="56" t="s">
        <v>1466</v>
      </c>
      <c r="C66" s="56" t="s">
        <v>1424</v>
      </c>
      <c r="D66" s="56">
        <v>38.0</v>
      </c>
      <c r="E66" s="56">
        <v>76.0</v>
      </c>
      <c r="F66" s="56">
        <v>2.4</v>
      </c>
      <c r="G66" s="56">
        <v>3.4</v>
      </c>
      <c r="H66" s="56" t="s">
        <v>1425</v>
      </c>
      <c r="I66" s="56" t="s">
        <v>1426</v>
      </c>
      <c r="J66" s="56">
        <v>57.0</v>
      </c>
      <c r="K66" s="56">
        <v>270.0</v>
      </c>
      <c r="L66" s="57" t="s">
        <v>1427</v>
      </c>
    </row>
    <row r="67" ht="15.75" customHeight="1">
      <c r="A67" s="56" t="s">
        <v>1017</v>
      </c>
      <c r="B67" s="56" t="s">
        <v>1467</v>
      </c>
      <c r="C67" s="56" t="s">
        <v>1424</v>
      </c>
      <c r="D67" s="56">
        <v>38.0</v>
      </c>
      <c r="E67" s="56">
        <v>76.0</v>
      </c>
      <c r="F67" s="56">
        <v>2.6</v>
      </c>
      <c r="G67" s="56">
        <v>3.7</v>
      </c>
      <c r="H67" s="56" t="s">
        <v>1425</v>
      </c>
      <c r="I67" s="56" t="s">
        <v>1426</v>
      </c>
      <c r="J67" s="56">
        <v>57.0</v>
      </c>
      <c r="K67" s="56">
        <v>270.0</v>
      </c>
      <c r="L67" s="57" t="s">
        <v>1427</v>
      </c>
    </row>
    <row r="68" ht="15.75" customHeight="1">
      <c r="A68" s="56" t="s">
        <v>1017</v>
      </c>
      <c r="B68" s="56" t="s">
        <v>1468</v>
      </c>
      <c r="C68" s="56" t="s">
        <v>1430</v>
      </c>
      <c r="D68" s="56">
        <v>28.0</v>
      </c>
      <c r="E68" s="56">
        <v>56.0</v>
      </c>
      <c r="F68" s="56">
        <v>2.6</v>
      </c>
      <c r="G68" s="56">
        <v>4.3</v>
      </c>
      <c r="H68" s="56" t="s">
        <v>1425</v>
      </c>
      <c r="I68" s="56" t="s">
        <v>1380</v>
      </c>
      <c r="J68" s="56">
        <v>38.5</v>
      </c>
      <c r="K68" s="56">
        <v>205.0</v>
      </c>
      <c r="L68" s="57" t="s">
        <v>1427</v>
      </c>
    </row>
    <row r="69" ht="15.75" customHeight="1">
      <c r="A69" s="56" t="s">
        <v>1017</v>
      </c>
      <c r="B69" s="56" t="s">
        <v>1469</v>
      </c>
      <c r="C69" s="56" t="s">
        <v>1430</v>
      </c>
      <c r="D69" s="56">
        <v>28.0</v>
      </c>
      <c r="E69" s="56">
        <v>56.0</v>
      </c>
      <c r="F69" s="56">
        <v>2.6</v>
      </c>
      <c r="G69" s="56">
        <v>4.3</v>
      </c>
      <c r="H69" s="56" t="s">
        <v>1425</v>
      </c>
      <c r="I69" s="56" t="s">
        <v>1380</v>
      </c>
      <c r="J69" s="56">
        <v>38.5</v>
      </c>
      <c r="K69" s="56">
        <v>205.0</v>
      </c>
      <c r="L69" s="57" t="s">
        <v>1427</v>
      </c>
    </row>
    <row r="70" ht="15.75" customHeight="1">
      <c r="A70" s="56" t="s">
        <v>1017</v>
      </c>
      <c r="B70" s="56" t="s">
        <v>1470</v>
      </c>
      <c r="C70" s="56" t="s">
        <v>1424</v>
      </c>
      <c r="D70" s="56">
        <v>40.0</v>
      </c>
      <c r="E70" s="56">
        <v>80.0</v>
      </c>
      <c r="F70" s="56">
        <v>2.3</v>
      </c>
      <c r="G70" s="56">
        <v>3.4</v>
      </c>
      <c r="H70" s="56" t="s">
        <v>1425</v>
      </c>
      <c r="I70" s="56" t="s">
        <v>1426</v>
      </c>
      <c r="J70" s="56">
        <v>60.0</v>
      </c>
      <c r="K70" s="56">
        <v>270.0</v>
      </c>
      <c r="L70" s="57" t="s">
        <v>1427</v>
      </c>
    </row>
    <row r="71" ht="15.75" customHeight="1">
      <c r="A71" s="56" t="s">
        <v>1017</v>
      </c>
      <c r="B71" s="56" t="s">
        <v>1471</v>
      </c>
      <c r="C71" s="56" t="s">
        <v>1430</v>
      </c>
      <c r="D71" s="56">
        <v>28.0</v>
      </c>
      <c r="E71" s="56">
        <v>56.0</v>
      </c>
      <c r="F71" s="56">
        <v>2.9</v>
      </c>
      <c r="G71" s="56">
        <v>4.3</v>
      </c>
      <c r="H71" s="56" t="s">
        <v>1425</v>
      </c>
      <c r="I71" s="56" t="s">
        <v>1380</v>
      </c>
      <c r="J71" s="56">
        <v>38.5</v>
      </c>
      <c r="K71" s="56">
        <v>250.0</v>
      </c>
      <c r="L71" s="57" t="s">
        <v>1427</v>
      </c>
    </row>
    <row r="72" ht="15.75" customHeight="1">
      <c r="A72" s="56" t="s">
        <v>1017</v>
      </c>
      <c r="B72" s="56" t="s">
        <v>1472</v>
      </c>
      <c r="C72" s="56" t="s">
        <v>1430</v>
      </c>
      <c r="D72" s="56">
        <v>28.0</v>
      </c>
      <c r="E72" s="56">
        <v>56.0</v>
      </c>
      <c r="F72" s="56">
        <v>2.9</v>
      </c>
      <c r="G72" s="56">
        <v>4.3</v>
      </c>
      <c r="H72" s="56" t="s">
        <v>1425</v>
      </c>
      <c r="I72" s="56" t="s">
        <v>1380</v>
      </c>
      <c r="J72" s="56">
        <v>38.5</v>
      </c>
      <c r="K72" s="56">
        <v>250.0</v>
      </c>
      <c r="L72" s="57" t="s">
        <v>1427</v>
      </c>
    </row>
    <row r="73" ht="15.75" customHeight="1">
      <c r="A73" s="70" t="s">
        <v>1017</v>
      </c>
      <c r="B73" s="70" t="s">
        <v>501</v>
      </c>
      <c r="C73" s="56" t="s">
        <v>1424</v>
      </c>
      <c r="D73" s="70">
        <v>32.0</v>
      </c>
      <c r="E73" s="70">
        <v>64.0</v>
      </c>
      <c r="F73" s="70">
        <v>2.9</v>
      </c>
      <c r="G73" s="70">
        <v>3.5</v>
      </c>
      <c r="H73" s="56" t="s">
        <v>1425</v>
      </c>
      <c r="I73" s="56" t="s">
        <v>1426</v>
      </c>
      <c r="J73" s="70">
        <v>54.0</v>
      </c>
      <c r="K73" s="70">
        <v>300.0</v>
      </c>
      <c r="L73" s="62" t="s">
        <v>1473</v>
      </c>
    </row>
    <row r="74" ht="15.75" customHeight="1">
      <c r="A74" s="56" t="s">
        <v>1017</v>
      </c>
      <c r="B74" s="56" t="s">
        <v>1474</v>
      </c>
      <c r="C74" s="56" t="s">
        <v>1424</v>
      </c>
      <c r="D74" s="56">
        <v>8.0</v>
      </c>
      <c r="E74" s="56">
        <v>16.0</v>
      </c>
      <c r="F74" s="56">
        <v>2.8</v>
      </c>
      <c r="G74" s="56">
        <v>3.6</v>
      </c>
      <c r="H74" s="56" t="s">
        <v>1425</v>
      </c>
      <c r="I74" s="56" t="s">
        <v>1426</v>
      </c>
      <c r="J74" s="56">
        <v>12.0</v>
      </c>
      <c r="K74" s="56">
        <v>105.0</v>
      </c>
      <c r="L74" s="57" t="s">
        <v>1427</v>
      </c>
    </row>
    <row r="75" ht="15.75" customHeight="1">
      <c r="A75" s="56" t="s">
        <v>1017</v>
      </c>
      <c r="B75" s="56" t="s">
        <v>1475</v>
      </c>
      <c r="C75" s="56" t="s">
        <v>1424</v>
      </c>
      <c r="D75" s="56">
        <v>12.0</v>
      </c>
      <c r="E75" s="56">
        <v>24.0</v>
      </c>
      <c r="F75" s="56">
        <v>2.1</v>
      </c>
      <c r="G75" s="56">
        <v>3.3</v>
      </c>
      <c r="H75" s="56" t="s">
        <v>1425</v>
      </c>
      <c r="I75" s="56" t="s">
        <v>1426</v>
      </c>
      <c r="J75" s="56">
        <v>18.0</v>
      </c>
      <c r="K75" s="56">
        <v>120.0</v>
      </c>
      <c r="L75" s="57" t="s">
        <v>1427</v>
      </c>
    </row>
    <row r="76" ht="15.75" customHeight="1">
      <c r="A76" s="56" t="s">
        <v>1017</v>
      </c>
      <c r="B76" s="56" t="s">
        <v>1476</v>
      </c>
      <c r="C76" s="56" t="s">
        <v>1424</v>
      </c>
      <c r="D76" s="56">
        <v>10.0</v>
      </c>
      <c r="E76" s="56">
        <v>20.0</v>
      </c>
      <c r="F76" s="56">
        <v>2.3</v>
      </c>
      <c r="G76" s="56">
        <v>3.4</v>
      </c>
      <c r="H76" s="56" t="s">
        <v>1425</v>
      </c>
      <c r="I76" s="56" t="s">
        <v>1426</v>
      </c>
      <c r="J76" s="56">
        <v>15.0</v>
      </c>
      <c r="K76" s="56">
        <v>105.0</v>
      </c>
      <c r="L76" s="57" t="s">
        <v>1427</v>
      </c>
    </row>
    <row r="77" ht="15.75" customHeight="1">
      <c r="A77" s="56" t="s">
        <v>1017</v>
      </c>
      <c r="B77" s="56" t="s">
        <v>1477</v>
      </c>
      <c r="C77" s="56" t="s">
        <v>1424</v>
      </c>
      <c r="D77" s="56">
        <v>16.0</v>
      </c>
      <c r="E77" s="56">
        <v>32.0</v>
      </c>
      <c r="F77" s="56">
        <v>2.4</v>
      </c>
      <c r="G77" s="56">
        <v>3.4</v>
      </c>
      <c r="H77" s="56" t="s">
        <v>1425</v>
      </c>
      <c r="I77" s="56" t="s">
        <v>1426</v>
      </c>
      <c r="J77" s="56">
        <v>24.0</v>
      </c>
      <c r="K77" s="56">
        <v>135.0</v>
      </c>
      <c r="L77" s="57" t="s">
        <v>1427</v>
      </c>
    </row>
    <row r="78" ht="15.75" customHeight="1">
      <c r="A78" s="56" t="s">
        <v>1017</v>
      </c>
      <c r="B78" s="56" t="s">
        <v>1478</v>
      </c>
      <c r="C78" s="56" t="s">
        <v>1424</v>
      </c>
      <c r="D78" s="56">
        <v>20.0</v>
      </c>
      <c r="E78" s="56">
        <v>40.0</v>
      </c>
      <c r="F78" s="56">
        <v>2.3</v>
      </c>
      <c r="G78" s="56">
        <v>3.4</v>
      </c>
      <c r="H78" s="56" t="s">
        <v>1425</v>
      </c>
      <c r="I78" s="56" t="s">
        <v>1426</v>
      </c>
      <c r="J78" s="56">
        <v>30.0</v>
      </c>
      <c r="K78" s="56">
        <v>150.0</v>
      </c>
      <c r="L78" s="57" t="s">
        <v>1427</v>
      </c>
    </row>
    <row r="79" ht="15.75" customHeight="1">
      <c r="A79" s="56" t="s">
        <v>1065</v>
      </c>
      <c r="B79" s="56" t="s">
        <v>1479</v>
      </c>
      <c r="C79" s="56" t="s">
        <v>1480</v>
      </c>
      <c r="D79" s="56">
        <v>8.0</v>
      </c>
      <c r="E79" s="56">
        <v>16.0</v>
      </c>
      <c r="F79" s="56">
        <v>3.7</v>
      </c>
      <c r="G79" s="56">
        <v>4.1</v>
      </c>
      <c r="H79" s="56" t="s">
        <v>1481</v>
      </c>
      <c r="I79" s="56" t="s">
        <v>1482</v>
      </c>
      <c r="J79" s="56">
        <v>256.0</v>
      </c>
      <c r="K79" s="56">
        <v>180.0</v>
      </c>
      <c r="L79" s="57" t="s">
        <v>1483</v>
      </c>
    </row>
    <row r="80" ht="15.75" customHeight="1">
      <c r="A80" s="56" t="s">
        <v>1065</v>
      </c>
      <c r="B80" s="56" t="s">
        <v>1484</v>
      </c>
      <c r="C80" s="56" t="s">
        <v>1480</v>
      </c>
      <c r="D80" s="56">
        <v>16.0</v>
      </c>
      <c r="E80" s="56">
        <v>32.0</v>
      </c>
      <c r="F80" s="56">
        <v>3.0</v>
      </c>
      <c r="G80" s="56">
        <v>3.7</v>
      </c>
      <c r="H80" s="56" t="s">
        <v>1481</v>
      </c>
      <c r="I80" s="56" t="s">
        <v>1482</v>
      </c>
      <c r="J80" s="56">
        <v>128.0</v>
      </c>
      <c r="K80" s="56">
        <v>155.0</v>
      </c>
      <c r="L80" s="57" t="s">
        <v>1483</v>
      </c>
    </row>
    <row r="81" ht="15.75" customHeight="1">
      <c r="A81" s="56" t="s">
        <v>1065</v>
      </c>
      <c r="B81" s="56" t="s">
        <v>1485</v>
      </c>
      <c r="C81" s="56" t="s">
        <v>1480</v>
      </c>
      <c r="D81" s="56">
        <v>16.0</v>
      </c>
      <c r="E81" s="56">
        <v>32.0</v>
      </c>
      <c r="F81" s="56">
        <v>3.0</v>
      </c>
      <c r="G81" s="56">
        <v>3.7</v>
      </c>
      <c r="H81" s="56" t="s">
        <v>1481</v>
      </c>
      <c r="I81" s="56" t="s">
        <v>1482</v>
      </c>
      <c r="J81" s="56">
        <v>128.0</v>
      </c>
      <c r="K81" s="56">
        <v>155.0</v>
      </c>
      <c r="L81" s="57" t="s">
        <v>1483</v>
      </c>
    </row>
    <row r="82" ht="15.75" customHeight="1">
      <c r="A82" s="56" t="s">
        <v>1065</v>
      </c>
      <c r="B82" s="56" t="s">
        <v>1486</v>
      </c>
      <c r="C82" s="56" t="s">
        <v>1480</v>
      </c>
      <c r="D82" s="56">
        <v>16.0</v>
      </c>
      <c r="E82" s="56">
        <v>32.0</v>
      </c>
      <c r="F82" s="56">
        <v>3.2</v>
      </c>
      <c r="G82" s="56">
        <v>3.9</v>
      </c>
      <c r="H82" s="56" t="s">
        <v>1481</v>
      </c>
      <c r="I82" s="56" t="s">
        <v>1482</v>
      </c>
      <c r="J82" s="56">
        <v>128.0</v>
      </c>
      <c r="K82" s="56">
        <v>190.0</v>
      </c>
      <c r="L82" s="57" t="s">
        <v>1483</v>
      </c>
    </row>
    <row r="83" ht="15.75" customHeight="1">
      <c r="A83" s="56" t="s">
        <v>1065</v>
      </c>
      <c r="B83" s="56" t="s">
        <v>1487</v>
      </c>
      <c r="C83" s="56" t="s">
        <v>1480</v>
      </c>
      <c r="D83" s="56">
        <v>16.0</v>
      </c>
      <c r="E83" s="56">
        <v>32.0</v>
      </c>
      <c r="F83" s="56">
        <v>3.5</v>
      </c>
      <c r="G83" s="56">
        <v>4.0</v>
      </c>
      <c r="H83" s="56" t="s">
        <v>1481</v>
      </c>
      <c r="I83" s="56" t="s">
        <v>1482</v>
      </c>
      <c r="J83" s="56">
        <v>256.0</v>
      </c>
      <c r="K83" s="56">
        <v>240.0</v>
      </c>
      <c r="L83" s="57" t="s">
        <v>1483</v>
      </c>
    </row>
    <row r="84" ht="15.75" customHeight="1">
      <c r="A84" s="56" t="s">
        <v>1065</v>
      </c>
      <c r="B84" s="56" t="s">
        <v>1488</v>
      </c>
      <c r="C84" s="56" t="s">
        <v>1480</v>
      </c>
      <c r="D84" s="56">
        <v>24.0</v>
      </c>
      <c r="E84" s="56">
        <v>48.0</v>
      </c>
      <c r="F84" s="56">
        <v>2.65</v>
      </c>
      <c r="G84" s="56">
        <v>3.6</v>
      </c>
      <c r="H84" s="56" t="s">
        <v>1481</v>
      </c>
      <c r="I84" s="56" t="s">
        <v>1482</v>
      </c>
      <c r="J84" s="56">
        <v>128.0</v>
      </c>
      <c r="K84" s="56">
        <v>180.0</v>
      </c>
      <c r="L84" s="57" t="s">
        <v>1483</v>
      </c>
    </row>
    <row r="85" ht="15.75" customHeight="1">
      <c r="A85" s="56" t="s">
        <v>1065</v>
      </c>
      <c r="B85" s="56" t="s">
        <v>1489</v>
      </c>
      <c r="C85" s="56" t="s">
        <v>1480</v>
      </c>
      <c r="D85" s="56">
        <v>24.0</v>
      </c>
      <c r="E85" s="56">
        <v>48.0</v>
      </c>
      <c r="F85" s="56">
        <v>2.85</v>
      </c>
      <c r="G85" s="56">
        <v>4.0</v>
      </c>
      <c r="H85" s="56" t="s">
        <v>1481</v>
      </c>
      <c r="I85" s="56" t="s">
        <v>1482</v>
      </c>
      <c r="J85" s="56">
        <v>128.0</v>
      </c>
      <c r="K85" s="56">
        <v>200.0</v>
      </c>
      <c r="L85" s="57" t="s">
        <v>1483</v>
      </c>
    </row>
    <row r="86" ht="15.75" customHeight="1">
      <c r="A86" s="56" t="s">
        <v>1065</v>
      </c>
      <c r="B86" s="56" t="s">
        <v>1490</v>
      </c>
      <c r="C86" s="56" t="s">
        <v>1480</v>
      </c>
      <c r="D86" s="56">
        <v>24.0</v>
      </c>
      <c r="E86" s="56">
        <v>48.0</v>
      </c>
      <c r="F86" s="56">
        <v>2.85</v>
      </c>
      <c r="G86" s="56">
        <v>4.0</v>
      </c>
      <c r="H86" s="56" t="s">
        <v>1481</v>
      </c>
      <c r="I86" s="56" t="s">
        <v>1482</v>
      </c>
      <c r="J86" s="56">
        <v>128.0</v>
      </c>
      <c r="K86" s="56">
        <v>200.0</v>
      </c>
      <c r="L86" s="57" t="s">
        <v>1483</v>
      </c>
    </row>
    <row r="87" ht="15.75" customHeight="1">
      <c r="A87" s="56" t="s">
        <v>1065</v>
      </c>
      <c r="B87" s="56" t="s">
        <v>1491</v>
      </c>
      <c r="C87" s="56" t="s">
        <v>1480</v>
      </c>
      <c r="D87" s="56">
        <v>28.0</v>
      </c>
      <c r="E87" s="56">
        <v>56.0</v>
      </c>
      <c r="F87" s="56">
        <v>2.75</v>
      </c>
      <c r="G87" s="56">
        <v>3.45</v>
      </c>
      <c r="H87" s="56" t="s">
        <v>1481</v>
      </c>
      <c r="I87" s="56" t="s">
        <v>1482</v>
      </c>
      <c r="J87" s="56">
        <v>64.0</v>
      </c>
      <c r="K87" s="56">
        <v>225.0</v>
      </c>
      <c r="L87" s="57" t="s">
        <v>1483</v>
      </c>
    </row>
    <row r="88" ht="15.75" customHeight="1">
      <c r="A88" s="56" t="s">
        <v>1065</v>
      </c>
      <c r="B88" s="56" t="s">
        <v>1492</v>
      </c>
      <c r="C88" s="56" t="s">
        <v>1480</v>
      </c>
      <c r="D88" s="56">
        <v>24.0</v>
      </c>
      <c r="E88" s="56">
        <v>48.0</v>
      </c>
      <c r="F88" s="56">
        <v>2.8</v>
      </c>
      <c r="G88" s="56">
        <v>4.0</v>
      </c>
      <c r="H88" s="56" t="s">
        <v>1481</v>
      </c>
      <c r="I88" s="56" t="s">
        <v>1482</v>
      </c>
      <c r="J88" s="56">
        <v>256.0</v>
      </c>
      <c r="K88" s="56">
        <v>240.0</v>
      </c>
      <c r="L88" s="57" t="s">
        <v>1483</v>
      </c>
    </row>
    <row r="89" ht="15.75" customHeight="1">
      <c r="A89" s="56" t="s">
        <v>1065</v>
      </c>
      <c r="B89" s="56" t="s">
        <v>1493</v>
      </c>
      <c r="C89" s="56" t="s">
        <v>1480</v>
      </c>
      <c r="D89" s="56">
        <v>32.0</v>
      </c>
      <c r="E89" s="56">
        <v>64.0</v>
      </c>
      <c r="F89" s="56">
        <v>2.6</v>
      </c>
      <c r="G89" s="56">
        <v>3.65</v>
      </c>
      <c r="H89" s="56" t="s">
        <v>1481</v>
      </c>
      <c r="I89" s="56" t="s">
        <v>1482</v>
      </c>
      <c r="J89" s="56">
        <v>128.0</v>
      </c>
      <c r="K89" s="56">
        <v>200.0</v>
      </c>
      <c r="L89" s="57" t="s">
        <v>1483</v>
      </c>
    </row>
    <row r="90" ht="15.75" customHeight="1">
      <c r="A90" s="56" t="s">
        <v>1065</v>
      </c>
      <c r="B90" s="56" t="s">
        <v>1494</v>
      </c>
      <c r="C90" s="56" t="s">
        <v>1480</v>
      </c>
      <c r="D90" s="56">
        <v>32.0</v>
      </c>
      <c r="E90" s="56">
        <v>64.0</v>
      </c>
      <c r="F90" s="56">
        <v>2.8</v>
      </c>
      <c r="G90" s="56">
        <v>3.7</v>
      </c>
      <c r="H90" s="56" t="s">
        <v>1481</v>
      </c>
      <c r="I90" s="56" t="s">
        <v>1482</v>
      </c>
      <c r="J90" s="56">
        <v>256.0</v>
      </c>
      <c r="K90" s="56">
        <v>225.0</v>
      </c>
      <c r="L90" s="57" t="s">
        <v>1483</v>
      </c>
    </row>
    <row r="91" ht="15.75" customHeight="1">
      <c r="A91" s="56" t="s">
        <v>1065</v>
      </c>
      <c r="B91" s="56" t="s">
        <v>1495</v>
      </c>
      <c r="C91" s="56" t="s">
        <v>1480</v>
      </c>
      <c r="D91" s="56">
        <v>32.0</v>
      </c>
      <c r="E91" s="56">
        <v>64.0</v>
      </c>
      <c r="F91" s="56">
        <v>2.8</v>
      </c>
      <c r="G91" s="56">
        <v>3.7</v>
      </c>
      <c r="H91" s="56" t="s">
        <v>1481</v>
      </c>
      <c r="I91" s="56" t="s">
        <v>1482</v>
      </c>
      <c r="J91" s="56">
        <v>256.0</v>
      </c>
      <c r="K91" s="56">
        <v>225.0</v>
      </c>
      <c r="L91" s="57" t="s">
        <v>1483</v>
      </c>
    </row>
    <row r="92" ht="15.75" customHeight="1">
      <c r="A92" s="56" t="s">
        <v>1065</v>
      </c>
      <c r="B92" s="56" t="s">
        <v>1496</v>
      </c>
      <c r="C92" s="56" t="s">
        <v>1480</v>
      </c>
      <c r="D92" s="56">
        <v>32.0</v>
      </c>
      <c r="E92" s="56">
        <v>64.0</v>
      </c>
      <c r="F92" s="56">
        <v>2.95</v>
      </c>
      <c r="G92" s="56">
        <v>4.0</v>
      </c>
      <c r="H92" s="56" t="s">
        <v>1481</v>
      </c>
      <c r="I92" s="56" t="s">
        <v>1482</v>
      </c>
      <c r="J92" s="56">
        <v>256.0</v>
      </c>
      <c r="K92" s="56">
        <v>280.0</v>
      </c>
      <c r="L92" s="57" t="s">
        <v>1483</v>
      </c>
    </row>
    <row r="93" ht="15.75" customHeight="1">
      <c r="A93" s="56" t="s">
        <v>1065</v>
      </c>
      <c r="B93" s="56" t="s">
        <v>1497</v>
      </c>
      <c r="C93" s="56" t="s">
        <v>1480</v>
      </c>
      <c r="D93" s="56">
        <v>48.0</v>
      </c>
      <c r="E93" s="56">
        <v>96.0</v>
      </c>
      <c r="F93" s="56">
        <v>2.3</v>
      </c>
      <c r="G93" s="56">
        <v>3.6</v>
      </c>
      <c r="H93" s="56" t="s">
        <v>1481</v>
      </c>
      <c r="I93" s="56" t="s">
        <v>1482</v>
      </c>
      <c r="J93" s="56">
        <v>256.0</v>
      </c>
      <c r="K93" s="56">
        <v>225.0</v>
      </c>
      <c r="L93" s="57" t="s">
        <v>1483</v>
      </c>
    </row>
    <row r="94" ht="15.75" customHeight="1">
      <c r="A94" s="56" t="s">
        <v>1065</v>
      </c>
      <c r="B94" s="56" t="s">
        <v>1498</v>
      </c>
      <c r="C94" s="56" t="s">
        <v>1480</v>
      </c>
      <c r="D94" s="56">
        <v>56.0</v>
      </c>
      <c r="E94" s="56">
        <v>112.0</v>
      </c>
      <c r="F94" s="56">
        <v>2.0</v>
      </c>
      <c r="G94" s="56">
        <v>3.5</v>
      </c>
      <c r="H94" s="56" t="s">
        <v>1481</v>
      </c>
      <c r="I94" s="56" t="s">
        <v>1482</v>
      </c>
      <c r="J94" s="56">
        <v>256.0</v>
      </c>
      <c r="K94" s="56">
        <v>240.0</v>
      </c>
      <c r="L94" s="57" t="s">
        <v>1483</v>
      </c>
    </row>
    <row r="95" ht="15.75" customHeight="1">
      <c r="A95" s="56" t="s">
        <v>1065</v>
      </c>
      <c r="B95" s="56" t="s">
        <v>1499</v>
      </c>
      <c r="C95" s="56" t="s">
        <v>1480</v>
      </c>
      <c r="D95" s="56">
        <v>64.0</v>
      </c>
      <c r="E95" s="56">
        <v>128.0</v>
      </c>
      <c r="F95" s="56">
        <v>2.0</v>
      </c>
      <c r="G95" s="196">
        <v>3675.0</v>
      </c>
      <c r="H95" s="56" t="s">
        <v>1481</v>
      </c>
      <c r="I95" s="56" t="s">
        <v>1482</v>
      </c>
      <c r="J95" s="56">
        <v>256.0</v>
      </c>
      <c r="K95" s="56">
        <v>225.0</v>
      </c>
      <c r="L95" s="57" t="s">
        <v>1483</v>
      </c>
    </row>
    <row r="96" ht="15.75" customHeight="1">
      <c r="A96" s="56" t="s">
        <v>1065</v>
      </c>
      <c r="B96" s="56" t="s">
        <v>1500</v>
      </c>
      <c r="C96" s="56" t="s">
        <v>1480</v>
      </c>
      <c r="D96" s="56">
        <v>64.0</v>
      </c>
      <c r="E96" s="56">
        <v>128.0</v>
      </c>
      <c r="F96" s="56">
        <v>2.0</v>
      </c>
      <c r="G96" s="196">
        <v>3675.0</v>
      </c>
      <c r="H96" s="56" t="s">
        <v>1481</v>
      </c>
      <c r="I96" s="56" t="s">
        <v>1482</v>
      </c>
      <c r="J96" s="56">
        <v>256.0</v>
      </c>
      <c r="K96" s="56">
        <v>225.0</v>
      </c>
      <c r="L96" s="57" t="s">
        <v>1483</v>
      </c>
    </row>
    <row r="97" ht="15.75" customHeight="1">
      <c r="A97" s="56" t="s">
        <v>1065</v>
      </c>
      <c r="B97" s="56" t="s">
        <v>1501</v>
      </c>
      <c r="C97" s="56" t="s">
        <v>1480</v>
      </c>
      <c r="D97" s="56">
        <v>64.0</v>
      </c>
      <c r="E97" s="56">
        <v>128.0</v>
      </c>
      <c r="F97" s="56">
        <v>2.45</v>
      </c>
      <c r="G97" s="56">
        <v>3.5</v>
      </c>
      <c r="H97" s="56" t="s">
        <v>1481</v>
      </c>
      <c r="I97" s="56" t="s">
        <v>1482</v>
      </c>
      <c r="J97" s="56">
        <v>256.0</v>
      </c>
      <c r="K97" s="56">
        <v>280.0</v>
      </c>
      <c r="L97" s="57" t="s">
        <v>1483</v>
      </c>
    </row>
    <row r="98" ht="15.75" customHeight="1">
      <c r="A98" s="56" t="s">
        <v>1065</v>
      </c>
      <c r="B98" s="56" t="s">
        <v>1502</v>
      </c>
      <c r="C98" s="56" t="s">
        <v>1503</v>
      </c>
      <c r="D98" s="56">
        <v>8.0</v>
      </c>
      <c r="E98" s="56">
        <v>16.0</v>
      </c>
      <c r="F98" s="56">
        <v>3.7</v>
      </c>
      <c r="G98" s="56">
        <v>3.9</v>
      </c>
      <c r="H98" s="56" t="s">
        <v>1481</v>
      </c>
      <c r="I98" s="56" t="s">
        <v>1482</v>
      </c>
      <c r="J98" s="56">
        <v>128.0</v>
      </c>
      <c r="K98" s="56">
        <v>180.0</v>
      </c>
      <c r="L98" s="57" t="s">
        <v>1504</v>
      </c>
    </row>
    <row r="99" ht="15.75" customHeight="1">
      <c r="A99" s="56" t="s">
        <v>1065</v>
      </c>
      <c r="B99" s="56" t="s">
        <v>1505</v>
      </c>
      <c r="C99" s="56" t="s">
        <v>1503</v>
      </c>
      <c r="D99" s="56">
        <v>16.0</v>
      </c>
      <c r="E99" s="56">
        <v>32.0</v>
      </c>
      <c r="F99" s="56">
        <v>3.5</v>
      </c>
      <c r="G99" s="56">
        <v>3.9</v>
      </c>
      <c r="H99" s="56" t="s">
        <v>1481</v>
      </c>
      <c r="I99" s="56" t="s">
        <v>1482</v>
      </c>
      <c r="J99" s="56">
        <v>256.0</v>
      </c>
      <c r="K99" s="56">
        <v>155.0</v>
      </c>
      <c r="L99" s="57" t="s">
        <v>1504</v>
      </c>
    </row>
    <row r="100" ht="15.75" customHeight="1">
      <c r="A100" s="56" t="s">
        <v>1065</v>
      </c>
      <c r="B100" s="56" t="s">
        <v>1506</v>
      </c>
      <c r="C100" s="56" t="s">
        <v>1503</v>
      </c>
      <c r="D100" s="56">
        <v>24.0</v>
      </c>
      <c r="E100" s="56">
        <v>48.0</v>
      </c>
      <c r="F100" s="56">
        <v>3.2</v>
      </c>
      <c r="G100" s="56">
        <v>3.7</v>
      </c>
      <c r="H100" s="56" t="s">
        <v>1481</v>
      </c>
      <c r="I100" s="56" t="s">
        <v>1482</v>
      </c>
      <c r="J100" s="56">
        <v>192.0</v>
      </c>
      <c r="K100" s="56">
        <v>240.0</v>
      </c>
      <c r="L100" s="57" t="s">
        <v>1504</v>
      </c>
    </row>
    <row r="101" ht="15.75" customHeight="1">
      <c r="A101" s="56" t="s">
        <v>1065</v>
      </c>
      <c r="B101" s="56" t="s">
        <v>1507</v>
      </c>
      <c r="C101" s="56" t="s">
        <v>1503</v>
      </c>
      <c r="D101" s="56">
        <v>8.0</v>
      </c>
      <c r="E101" s="56">
        <v>16.0</v>
      </c>
      <c r="F101" s="56">
        <v>3.1</v>
      </c>
      <c r="G101" s="56">
        <v>3.2</v>
      </c>
      <c r="H101" s="56" t="s">
        <v>1481</v>
      </c>
      <c r="I101" s="56" t="s">
        <v>1482</v>
      </c>
      <c r="J101" s="56">
        <v>32.0</v>
      </c>
      <c r="K101" s="56">
        <v>120.0</v>
      </c>
      <c r="L101" s="57" t="s">
        <v>1508</v>
      </c>
    </row>
    <row r="102" ht="15.75" customHeight="1">
      <c r="A102" s="56" t="s">
        <v>1065</v>
      </c>
      <c r="B102" s="56" t="s">
        <v>1509</v>
      </c>
      <c r="C102" s="56" t="s">
        <v>1503</v>
      </c>
      <c r="D102" s="56">
        <v>8.0</v>
      </c>
      <c r="E102" s="56">
        <v>16.0</v>
      </c>
      <c r="F102" s="56">
        <v>2.8</v>
      </c>
      <c r="G102" s="56">
        <v>3.2</v>
      </c>
      <c r="H102" s="56" t="s">
        <v>1481</v>
      </c>
      <c r="I102" s="56" t="s">
        <v>1482</v>
      </c>
      <c r="J102" s="56">
        <v>64.0</v>
      </c>
      <c r="K102" s="56">
        <v>120.0</v>
      </c>
      <c r="L102" s="57" t="s">
        <v>1508</v>
      </c>
    </row>
    <row r="103" ht="15.75" customHeight="1">
      <c r="A103" s="56" t="s">
        <v>1065</v>
      </c>
      <c r="B103" s="56" t="s">
        <v>1510</v>
      </c>
      <c r="C103" s="56" t="s">
        <v>1503</v>
      </c>
      <c r="D103" s="56">
        <v>8.0</v>
      </c>
      <c r="E103" s="56">
        <v>16.0</v>
      </c>
      <c r="F103" s="56">
        <v>3.1</v>
      </c>
      <c r="G103" s="56">
        <v>3.3</v>
      </c>
      <c r="H103" s="56" t="s">
        <v>1481</v>
      </c>
      <c r="I103" s="56" t="s">
        <v>1482</v>
      </c>
      <c r="J103" s="56">
        <v>128.0</v>
      </c>
      <c r="K103" s="56">
        <v>155.0</v>
      </c>
      <c r="L103" s="57" t="s">
        <v>1508</v>
      </c>
    </row>
    <row r="104" ht="15.75" customHeight="1">
      <c r="A104" s="56" t="s">
        <v>1065</v>
      </c>
      <c r="B104" s="56" t="s">
        <v>1511</v>
      </c>
      <c r="C104" s="56" t="s">
        <v>1503</v>
      </c>
      <c r="D104" s="56">
        <v>12.0</v>
      </c>
      <c r="E104" s="56">
        <v>24.0</v>
      </c>
      <c r="F104" s="56">
        <v>2.6</v>
      </c>
      <c r="G104" s="56">
        <v>3.2</v>
      </c>
      <c r="H104" s="56" t="s">
        <v>1481</v>
      </c>
      <c r="I104" s="56" t="s">
        <v>1482</v>
      </c>
      <c r="J104" s="56">
        <v>64.0</v>
      </c>
      <c r="K104" s="56">
        <v>120.0</v>
      </c>
      <c r="L104" s="57" t="s">
        <v>1508</v>
      </c>
    </row>
    <row r="105" ht="15.75" customHeight="1">
      <c r="A105" s="56" t="s">
        <v>1065</v>
      </c>
      <c r="B105" s="56" t="s">
        <v>1512</v>
      </c>
      <c r="C105" s="56" t="s">
        <v>1503</v>
      </c>
      <c r="D105" s="56">
        <v>16.0</v>
      </c>
      <c r="E105" s="56">
        <v>32.0</v>
      </c>
      <c r="F105" s="56">
        <v>2.8</v>
      </c>
      <c r="G105" s="56">
        <v>3.2</v>
      </c>
      <c r="H105" s="56" t="s">
        <v>1481</v>
      </c>
      <c r="I105" s="56" t="s">
        <v>1482</v>
      </c>
      <c r="J105" s="56">
        <v>64.0</v>
      </c>
      <c r="K105" s="56">
        <v>120.0</v>
      </c>
      <c r="L105" s="57" t="s">
        <v>1508</v>
      </c>
    </row>
    <row r="106" ht="15.75" customHeight="1">
      <c r="A106" s="56" t="s">
        <v>1065</v>
      </c>
      <c r="B106" s="56" t="s">
        <v>1513</v>
      </c>
      <c r="C106" s="56" t="s">
        <v>1503</v>
      </c>
      <c r="D106" s="56">
        <v>16.0</v>
      </c>
      <c r="E106" s="56">
        <v>32.0</v>
      </c>
      <c r="F106" s="56">
        <v>3.0</v>
      </c>
      <c r="G106" s="56">
        <v>3.3</v>
      </c>
      <c r="H106" s="56" t="s">
        <v>1481</v>
      </c>
      <c r="I106" s="56" t="s">
        <v>1482</v>
      </c>
      <c r="J106" s="56">
        <v>128.0</v>
      </c>
      <c r="K106" s="56">
        <v>155.0</v>
      </c>
      <c r="L106" s="57" t="s">
        <v>1508</v>
      </c>
    </row>
    <row r="107" ht="15.75" customHeight="1">
      <c r="A107" s="56" t="s">
        <v>1065</v>
      </c>
      <c r="B107" s="56" t="s">
        <v>1514</v>
      </c>
      <c r="C107" s="56" t="s">
        <v>1503</v>
      </c>
      <c r="D107" s="56">
        <v>16.0</v>
      </c>
      <c r="E107" s="56">
        <v>32.0</v>
      </c>
      <c r="F107" s="56">
        <v>3.0</v>
      </c>
      <c r="G107" s="56">
        <v>3.3</v>
      </c>
      <c r="H107" s="56" t="s">
        <v>1481</v>
      </c>
      <c r="I107" s="56" t="s">
        <v>1482</v>
      </c>
      <c r="J107" s="56">
        <v>128.0</v>
      </c>
      <c r="K107" s="56">
        <v>155.0</v>
      </c>
      <c r="L107" s="57" t="s">
        <v>1508</v>
      </c>
    </row>
    <row r="108" ht="15.75" customHeight="1">
      <c r="A108" s="56" t="s">
        <v>1065</v>
      </c>
      <c r="B108" s="56" t="s">
        <v>1515</v>
      </c>
      <c r="C108" s="56" t="s">
        <v>1503</v>
      </c>
      <c r="D108" s="56">
        <v>24.0</v>
      </c>
      <c r="E108" s="56">
        <v>48.0</v>
      </c>
      <c r="F108" s="56">
        <v>2.4</v>
      </c>
      <c r="G108" s="56">
        <v>3.3</v>
      </c>
      <c r="H108" s="56" t="s">
        <v>1481</v>
      </c>
      <c r="I108" s="56" t="s">
        <v>1482</v>
      </c>
      <c r="J108" s="56">
        <v>128.0</v>
      </c>
      <c r="K108" s="56">
        <v>155.0</v>
      </c>
      <c r="L108" s="57" t="s">
        <v>1508</v>
      </c>
    </row>
    <row r="109" ht="15.75" customHeight="1">
      <c r="A109" s="56" t="s">
        <v>1065</v>
      </c>
      <c r="B109" s="56" t="s">
        <v>1516</v>
      </c>
      <c r="C109" s="56" t="s">
        <v>1503</v>
      </c>
      <c r="D109" s="56">
        <v>24.0</v>
      </c>
      <c r="E109" s="56">
        <v>48.0</v>
      </c>
      <c r="F109" s="56">
        <v>2.8</v>
      </c>
      <c r="G109" s="56">
        <v>3.35</v>
      </c>
      <c r="H109" s="56" t="s">
        <v>1481</v>
      </c>
      <c r="I109" s="56" t="s">
        <v>1482</v>
      </c>
      <c r="J109" s="56">
        <v>128.0</v>
      </c>
      <c r="K109" s="56">
        <v>180.0</v>
      </c>
      <c r="L109" s="57" t="s">
        <v>1508</v>
      </c>
    </row>
    <row r="110" ht="15.75" customHeight="1">
      <c r="A110" s="56" t="s">
        <v>1065</v>
      </c>
      <c r="B110" s="56" t="s">
        <v>1517</v>
      </c>
      <c r="C110" s="56" t="s">
        <v>1503</v>
      </c>
      <c r="D110" s="56">
        <v>24.0</v>
      </c>
      <c r="E110" s="56">
        <v>48.0</v>
      </c>
      <c r="F110" s="56">
        <v>2.8</v>
      </c>
      <c r="G110" s="56">
        <v>3.35</v>
      </c>
      <c r="H110" s="56" t="s">
        <v>1481</v>
      </c>
      <c r="I110" s="56" t="s">
        <v>1482</v>
      </c>
      <c r="J110" s="56">
        <v>128.0</v>
      </c>
      <c r="K110" s="56">
        <v>180.0</v>
      </c>
      <c r="L110" s="57" t="s">
        <v>1508</v>
      </c>
    </row>
    <row r="111" ht="15.75" customHeight="1">
      <c r="A111" s="56" t="s">
        <v>1065</v>
      </c>
      <c r="B111" s="56" t="s">
        <v>1518</v>
      </c>
      <c r="C111" s="56" t="s">
        <v>1503</v>
      </c>
      <c r="D111" s="56">
        <v>32.0</v>
      </c>
      <c r="E111" s="56">
        <v>64.0</v>
      </c>
      <c r="F111" s="56">
        <v>2.2</v>
      </c>
      <c r="G111" s="56">
        <v>3.35</v>
      </c>
      <c r="H111" s="56" t="s">
        <v>1481</v>
      </c>
      <c r="I111" s="56" t="s">
        <v>1482</v>
      </c>
      <c r="J111" s="56">
        <v>128.0</v>
      </c>
      <c r="K111" s="56">
        <v>155.0</v>
      </c>
      <c r="L111" s="57" t="s">
        <v>1508</v>
      </c>
    </row>
    <row r="112" ht="15.75" customHeight="1">
      <c r="A112" s="56" t="s">
        <v>1065</v>
      </c>
      <c r="B112" s="56" t="s">
        <v>1519</v>
      </c>
      <c r="C112" s="56" t="s">
        <v>1503</v>
      </c>
      <c r="D112" s="56">
        <v>32.0</v>
      </c>
      <c r="E112" s="56">
        <v>64.0</v>
      </c>
      <c r="F112" s="56">
        <v>2.5</v>
      </c>
      <c r="G112" s="56">
        <v>3.35</v>
      </c>
      <c r="H112" s="56" t="s">
        <v>1481</v>
      </c>
      <c r="I112" s="56" t="s">
        <v>1482</v>
      </c>
      <c r="J112" s="56">
        <v>128.0</v>
      </c>
      <c r="K112" s="56">
        <v>180.0</v>
      </c>
      <c r="L112" s="57" t="s">
        <v>1508</v>
      </c>
    </row>
    <row r="113" ht="15.75" customHeight="1">
      <c r="A113" s="56" t="s">
        <v>1065</v>
      </c>
      <c r="B113" s="56" t="s">
        <v>1520</v>
      </c>
      <c r="C113" s="56" t="s">
        <v>1503</v>
      </c>
      <c r="D113" s="56">
        <v>32.0</v>
      </c>
      <c r="E113" s="56">
        <v>64.0</v>
      </c>
      <c r="F113" s="56">
        <v>2.5</v>
      </c>
      <c r="G113" s="56">
        <v>3.35</v>
      </c>
      <c r="H113" s="56" t="s">
        <v>1481</v>
      </c>
      <c r="I113" s="56" t="s">
        <v>1482</v>
      </c>
      <c r="J113" s="56">
        <v>128.0</v>
      </c>
      <c r="K113" s="56">
        <v>180.0</v>
      </c>
      <c r="L113" s="57" t="s">
        <v>1508</v>
      </c>
    </row>
    <row r="114" ht="15.75" customHeight="1">
      <c r="A114" s="56" t="s">
        <v>1065</v>
      </c>
      <c r="B114" s="56" t="s">
        <v>1521</v>
      </c>
      <c r="C114" s="56" t="s">
        <v>1503</v>
      </c>
      <c r="D114" s="56">
        <v>32.0</v>
      </c>
      <c r="E114" s="56">
        <v>64.0</v>
      </c>
      <c r="F114" s="56">
        <v>2.9</v>
      </c>
      <c r="G114" s="56">
        <v>3.4</v>
      </c>
      <c r="H114" s="56" t="s">
        <v>1481</v>
      </c>
      <c r="I114" s="56" t="s">
        <v>1482</v>
      </c>
      <c r="J114" s="56">
        <v>128.0</v>
      </c>
      <c r="K114" s="56">
        <v>225.0</v>
      </c>
      <c r="L114" s="57" t="s">
        <v>1508</v>
      </c>
    </row>
    <row r="115" ht="15.75" customHeight="1">
      <c r="A115" s="56" t="s">
        <v>1065</v>
      </c>
      <c r="B115" s="56" t="s">
        <v>1522</v>
      </c>
      <c r="C115" s="56" t="s">
        <v>1503</v>
      </c>
      <c r="D115" s="56">
        <v>48.0</v>
      </c>
      <c r="E115" s="56">
        <v>96.0</v>
      </c>
      <c r="F115" s="56">
        <v>2.2</v>
      </c>
      <c r="G115" s="56">
        <v>3.35</v>
      </c>
      <c r="H115" s="56" t="s">
        <v>1481</v>
      </c>
      <c r="I115" s="56" t="s">
        <v>1482</v>
      </c>
      <c r="J115" s="56">
        <v>192.0</v>
      </c>
      <c r="K115" s="56">
        <v>200.0</v>
      </c>
      <c r="L115" s="57" t="s">
        <v>1508</v>
      </c>
    </row>
    <row r="116" ht="15.75" customHeight="1">
      <c r="A116" s="56" t="s">
        <v>1065</v>
      </c>
      <c r="B116" s="56" t="s">
        <v>1523</v>
      </c>
      <c r="C116" s="56" t="s">
        <v>1503</v>
      </c>
      <c r="D116" s="56">
        <v>48.0</v>
      </c>
      <c r="E116" s="56">
        <v>96.0</v>
      </c>
      <c r="F116" s="56">
        <v>2.4</v>
      </c>
      <c r="G116" s="56">
        <v>3.4</v>
      </c>
      <c r="H116" s="56" t="s">
        <v>1481</v>
      </c>
      <c r="I116" s="56" t="s">
        <v>1482</v>
      </c>
      <c r="J116" s="56">
        <v>256.0</v>
      </c>
      <c r="K116" s="56">
        <v>225.0</v>
      </c>
      <c r="L116" s="57" t="s">
        <v>1508</v>
      </c>
    </row>
    <row r="117" ht="15.75" customHeight="1">
      <c r="A117" s="56" t="s">
        <v>1065</v>
      </c>
      <c r="B117" s="56" t="s">
        <v>1524</v>
      </c>
      <c r="C117" s="56" t="s">
        <v>1503</v>
      </c>
      <c r="D117" s="56">
        <v>64.0</v>
      </c>
      <c r="E117" s="56">
        <v>128.0</v>
      </c>
      <c r="F117" s="56">
        <v>2.0</v>
      </c>
      <c r="G117" s="56">
        <v>3.35</v>
      </c>
      <c r="H117" s="56" t="s">
        <v>1481</v>
      </c>
      <c r="I117" s="56" t="s">
        <v>1482</v>
      </c>
      <c r="J117" s="56">
        <v>256.0</v>
      </c>
      <c r="K117" s="56">
        <v>200.0</v>
      </c>
      <c r="L117" s="57" t="s">
        <v>1508</v>
      </c>
    </row>
    <row r="118" ht="15.75" customHeight="1">
      <c r="A118" s="56" t="s">
        <v>1065</v>
      </c>
      <c r="B118" s="56" t="s">
        <v>1525</v>
      </c>
      <c r="C118" s="56" t="s">
        <v>1503</v>
      </c>
      <c r="D118" s="56">
        <v>64.0</v>
      </c>
      <c r="E118" s="56">
        <v>128.0</v>
      </c>
      <c r="F118" s="56">
        <v>2.0</v>
      </c>
      <c r="G118" s="56">
        <v>3.35</v>
      </c>
      <c r="H118" s="56" t="s">
        <v>1481</v>
      </c>
      <c r="I118" s="56" t="s">
        <v>1482</v>
      </c>
      <c r="J118" s="56">
        <v>256.0</v>
      </c>
      <c r="K118" s="56">
        <v>200.0</v>
      </c>
      <c r="L118" s="57" t="s">
        <v>1508</v>
      </c>
    </row>
    <row r="119" ht="15.75" customHeight="1">
      <c r="A119" s="56" t="s">
        <v>1065</v>
      </c>
      <c r="B119" s="56" t="s">
        <v>1526</v>
      </c>
      <c r="C119" s="56" t="s">
        <v>1503</v>
      </c>
      <c r="D119" s="56">
        <v>64.0</v>
      </c>
      <c r="E119" s="56">
        <v>128.0</v>
      </c>
      <c r="F119" s="56">
        <v>2.25</v>
      </c>
      <c r="G119" s="56">
        <v>3.4</v>
      </c>
      <c r="H119" s="56" t="s">
        <v>1481</v>
      </c>
      <c r="I119" s="56" t="s">
        <v>1482</v>
      </c>
      <c r="J119" s="56">
        <v>256.0</v>
      </c>
      <c r="K119" s="56">
        <v>225.0</v>
      </c>
      <c r="L119" s="57" t="s">
        <v>1508</v>
      </c>
    </row>
    <row r="120" ht="15.75" customHeight="1">
      <c r="A120" s="56" t="s">
        <v>1065</v>
      </c>
      <c r="B120" s="56" t="s">
        <v>1527</v>
      </c>
      <c r="C120" s="56" t="s">
        <v>1503</v>
      </c>
      <c r="D120" s="56">
        <v>64.0</v>
      </c>
      <c r="E120" s="56">
        <v>128.0</v>
      </c>
      <c r="F120" s="56">
        <v>2.6</v>
      </c>
      <c r="G120" s="56">
        <v>3.3</v>
      </c>
      <c r="H120" s="56" t="s">
        <v>1481</v>
      </c>
      <c r="I120" s="56" t="s">
        <v>1482</v>
      </c>
      <c r="J120" s="56">
        <v>256.0</v>
      </c>
      <c r="K120" s="56">
        <v>280.0</v>
      </c>
      <c r="L120" s="57" t="s">
        <v>1528</v>
      </c>
    </row>
    <row r="121" ht="15.75" customHeight="1">
      <c r="A121" s="56" t="s">
        <v>1065</v>
      </c>
      <c r="B121" s="56" t="s">
        <v>1529</v>
      </c>
      <c r="C121" s="56" t="s">
        <v>1530</v>
      </c>
      <c r="D121" s="56">
        <v>8.0</v>
      </c>
      <c r="E121" s="56">
        <v>16.0</v>
      </c>
      <c r="F121" s="56">
        <v>2.5</v>
      </c>
      <c r="G121" s="56">
        <v>2.9</v>
      </c>
      <c r="H121" s="56" t="s">
        <v>1481</v>
      </c>
      <c r="I121" s="56" t="s">
        <v>1380</v>
      </c>
      <c r="J121" s="56">
        <v>32.0</v>
      </c>
      <c r="K121" s="56">
        <v>170.0</v>
      </c>
      <c r="L121" s="57" t="s">
        <v>1531</v>
      </c>
    </row>
    <row r="122" ht="15.75" customHeight="1">
      <c r="A122" s="56" t="s">
        <v>1065</v>
      </c>
      <c r="B122" s="56" t="s">
        <v>1532</v>
      </c>
      <c r="C122" s="56" t="s">
        <v>1530</v>
      </c>
      <c r="D122" s="56">
        <v>16.0</v>
      </c>
      <c r="E122" s="56">
        <v>32.0</v>
      </c>
      <c r="F122" s="56">
        <v>3.1</v>
      </c>
      <c r="G122" s="56">
        <v>3.8</v>
      </c>
      <c r="H122" s="56" t="s">
        <v>1481</v>
      </c>
      <c r="I122" s="56" t="s">
        <v>1380</v>
      </c>
      <c r="J122" s="56">
        <v>64.0</v>
      </c>
      <c r="K122" s="56">
        <v>170.0</v>
      </c>
      <c r="L122" s="57" t="s">
        <v>1533</v>
      </c>
    </row>
    <row r="123" ht="15.75" customHeight="1">
      <c r="A123" s="56" t="s">
        <v>1065</v>
      </c>
      <c r="B123" s="56" t="s">
        <v>1534</v>
      </c>
      <c r="C123" s="56" t="s">
        <v>1535</v>
      </c>
      <c r="D123" s="56">
        <v>8.0</v>
      </c>
      <c r="E123" s="56">
        <v>16.0</v>
      </c>
      <c r="F123" s="56">
        <v>2.5</v>
      </c>
      <c r="G123" s="56">
        <v>3.1</v>
      </c>
      <c r="H123" s="56" t="s">
        <v>1536</v>
      </c>
      <c r="I123" s="56" t="s">
        <v>1380</v>
      </c>
      <c r="J123" s="56">
        <v>16.0</v>
      </c>
      <c r="K123" s="56">
        <v>50.0</v>
      </c>
      <c r="L123" s="57" t="s">
        <v>1537</v>
      </c>
    </row>
    <row r="124" ht="15.75" customHeight="1">
      <c r="A124" s="56" t="s">
        <v>1065</v>
      </c>
      <c r="B124" s="56" t="s">
        <v>1538</v>
      </c>
      <c r="C124" s="56" t="s">
        <v>1530</v>
      </c>
      <c r="D124" s="56">
        <v>8.0</v>
      </c>
      <c r="E124" s="56">
        <v>16.0</v>
      </c>
      <c r="F124" s="56">
        <v>2.1</v>
      </c>
      <c r="G124" s="56">
        <v>2.9</v>
      </c>
      <c r="H124" s="56" t="s">
        <v>1481</v>
      </c>
      <c r="I124" s="56" t="s">
        <v>1380</v>
      </c>
      <c r="J124" s="56">
        <v>32.0</v>
      </c>
      <c r="K124" s="56">
        <v>120.0</v>
      </c>
      <c r="L124" s="57" t="s">
        <v>1539</v>
      </c>
    </row>
    <row r="125" ht="15.75" customHeight="1">
      <c r="A125" s="56" t="s">
        <v>1065</v>
      </c>
      <c r="B125" s="56" t="s">
        <v>1066</v>
      </c>
      <c r="C125" s="56" t="s">
        <v>1530</v>
      </c>
      <c r="D125" s="56">
        <v>16.0</v>
      </c>
      <c r="E125" s="56">
        <v>32.0</v>
      </c>
      <c r="F125" s="56">
        <v>2.1</v>
      </c>
      <c r="G125" s="56">
        <v>2.7</v>
      </c>
      <c r="H125" s="56" t="s">
        <v>1481</v>
      </c>
      <c r="I125" s="56" t="s">
        <v>1380</v>
      </c>
      <c r="J125" s="56">
        <v>32.0</v>
      </c>
      <c r="K125" s="56">
        <v>170.0</v>
      </c>
      <c r="L125" s="57" t="s">
        <v>1539</v>
      </c>
    </row>
    <row r="126" ht="15.75" customHeight="1">
      <c r="A126" s="56" t="s">
        <v>1065</v>
      </c>
      <c r="B126" s="56" t="s">
        <v>1540</v>
      </c>
      <c r="C126" s="56" t="s">
        <v>1530</v>
      </c>
      <c r="D126" s="56">
        <v>16.0</v>
      </c>
      <c r="E126" s="56">
        <v>32.0</v>
      </c>
      <c r="F126" s="56">
        <v>2.2</v>
      </c>
      <c r="G126" s="56">
        <v>2.7</v>
      </c>
      <c r="H126" s="56" t="s">
        <v>1481</v>
      </c>
      <c r="I126" s="56" t="s">
        <v>1380</v>
      </c>
      <c r="J126" s="56">
        <v>64.0</v>
      </c>
      <c r="K126" s="56">
        <v>170.0</v>
      </c>
      <c r="L126" s="57" t="s">
        <v>1539</v>
      </c>
    </row>
    <row r="127" ht="15.75" customHeight="1">
      <c r="A127" s="56" t="s">
        <v>1065</v>
      </c>
      <c r="B127" s="56" t="s">
        <v>1541</v>
      </c>
      <c r="C127" s="56" t="s">
        <v>1530</v>
      </c>
      <c r="D127" s="56">
        <v>16.0</v>
      </c>
      <c r="E127" s="56">
        <v>32.0</v>
      </c>
      <c r="F127" s="56">
        <v>2.4</v>
      </c>
      <c r="G127" s="56">
        <v>2.9</v>
      </c>
      <c r="H127" s="56" t="s">
        <v>1481</v>
      </c>
      <c r="I127" s="56" t="s">
        <v>1380</v>
      </c>
      <c r="J127" s="56">
        <v>64.0</v>
      </c>
      <c r="K127" s="56">
        <v>170.0</v>
      </c>
      <c r="L127" s="57" t="s">
        <v>1539</v>
      </c>
    </row>
    <row r="128" ht="15.75" customHeight="1">
      <c r="A128" s="56" t="s">
        <v>1065</v>
      </c>
      <c r="B128" s="56" t="s">
        <v>1542</v>
      </c>
      <c r="C128" s="56" t="s">
        <v>1530</v>
      </c>
      <c r="D128" s="56">
        <v>16.0</v>
      </c>
      <c r="E128" s="56">
        <v>32.0</v>
      </c>
      <c r="F128" s="56">
        <v>2.4</v>
      </c>
      <c r="G128" s="56">
        <v>2.9</v>
      </c>
      <c r="H128" s="56" t="s">
        <v>1481</v>
      </c>
      <c r="I128" s="56" t="s">
        <v>1380</v>
      </c>
      <c r="J128" s="56">
        <v>64.0</v>
      </c>
      <c r="K128" s="56">
        <v>170.0</v>
      </c>
      <c r="L128" s="57" t="s">
        <v>1539</v>
      </c>
    </row>
    <row r="129" ht="15.75" customHeight="1">
      <c r="A129" s="56" t="s">
        <v>1065</v>
      </c>
      <c r="B129" s="56" t="s">
        <v>1543</v>
      </c>
      <c r="C129" s="56" t="s">
        <v>1530</v>
      </c>
      <c r="D129" s="56">
        <v>24.0</v>
      </c>
      <c r="E129" s="56">
        <v>48.0</v>
      </c>
      <c r="F129" s="56">
        <v>2.0</v>
      </c>
      <c r="G129" s="56">
        <v>3.0</v>
      </c>
      <c r="H129" s="56" t="s">
        <v>1481</v>
      </c>
      <c r="I129" s="56" t="s">
        <v>1380</v>
      </c>
      <c r="J129" s="56">
        <v>64.0</v>
      </c>
      <c r="K129" s="56">
        <v>170.0</v>
      </c>
      <c r="L129" s="57" t="s">
        <v>1539</v>
      </c>
    </row>
    <row r="130" ht="15.75" customHeight="1">
      <c r="A130" s="56" t="s">
        <v>1065</v>
      </c>
      <c r="B130" s="56" t="s">
        <v>1544</v>
      </c>
      <c r="C130" s="56" t="s">
        <v>1530</v>
      </c>
      <c r="D130" s="56">
        <v>24.0</v>
      </c>
      <c r="E130" s="56">
        <v>48.0</v>
      </c>
      <c r="F130" s="56">
        <v>2.0</v>
      </c>
      <c r="G130" s="56">
        <v>3.0</v>
      </c>
      <c r="H130" s="56" t="s">
        <v>1481</v>
      </c>
      <c r="I130" s="56" t="s">
        <v>1380</v>
      </c>
      <c r="J130" s="56">
        <v>64.0</v>
      </c>
      <c r="K130" s="56">
        <v>170.0</v>
      </c>
      <c r="L130" s="57" t="s">
        <v>1539</v>
      </c>
    </row>
    <row r="131" ht="15.75" customHeight="1">
      <c r="A131" s="56" t="s">
        <v>1065</v>
      </c>
      <c r="B131" s="56" t="s">
        <v>1545</v>
      </c>
      <c r="C131" s="56" t="s">
        <v>1530</v>
      </c>
      <c r="D131" s="56">
        <v>24.0</v>
      </c>
      <c r="E131" s="56">
        <v>48.0</v>
      </c>
      <c r="F131" s="56">
        <v>2.3</v>
      </c>
      <c r="G131" s="56">
        <v>3.2</v>
      </c>
      <c r="H131" s="56" t="s">
        <v>1481</v>
      </c>
      <c r="I131" s="56" t="s">
        <v>1380</v>
      </c>
      <c r="J131" s="56">
        <v>64.0</v>
      </c>
      <c r="K131" s="56">
        <v>180.0</v>
      </c>
      <c r="L131" s="57" t="s">
        <v>1539</v>
      </c>
    </row>
    <row r="132" ht="15.75" customHeight="1">
      <c r="A132" s="56" t="s">
        <v>1065</v>
      </c>
      <c r="B132" s="56" t="s">
        <v>1546</v>
      </c>
      <c r="C132" s="56" t="s">
        <v>1530</v>
      </c>
      <c r="D132" s="56">
        <v>32.0</v>
      </c>
      <c r="E132" s="56">
        <v>64.0</v>
      </c>
      <c r="F132" s="56">
        <v>2.0</v>
      </c>
      <c r="G132" s="56">
        <v>3.0</v>
      </c>
      <c r="H132" s="56" t="s">
        <v>1481</v>
      </c>
      <c r="I132" s="56" t="s">
        <v>1380</v>
      </c>
      <c r="J132" s="56">
        <v>64.0</v>
      </c>
      <c r="K132" s="56">
        <v>170.0</v>
      </c>
      <c r="L132" s="57" t="s">
        <v>1539</v>
      </c>
    </row>
    <row r="133" ht="15.75" customHeight="1">
      <c r="A133" s="56" t="s">
        <v>1065</v>
      </c>
      <c r="B133" s="56" t="s">
        <v>1547</v>
      </c>
      <c r="C133" s="56" t="s">
        <v>1530</v>
      </c>
      <c r="D133" s="56">
        <v>32.0</v>
      </c>
      <c r="E133" s="56">
        <v>64.0</v>
      </c>
      <c r="F133" s="56">
        <v>2.0</v>
      </c>
      <c r="G133" s="56">
        <v>3.0</v>
      </c>
      <c r="H133" s="56" t="s">
        <v>1481</v>
      </c>
      <c r="I133" s="56" t="s">
        <v>1380</v>
      </c>
      <c r="J133" s="56">
        <v>64.0</v>
      </c>
      <c r="K133" s="56">
        <v>180.0</v>
      </c>
      <c r="L133" s="57" t="s">
        <v>1539</v>
      </c>
    </row>
    <row r="134" ht="15.75" customHeight="1">
      <c r="A134" s="56" t="s">
        <v>1065</v>
      </c>
      <c r="B134" s="56" t="s">
        <v>1548</v>
      </c>
      <c r="C134" s="56" t="s">
        <v>1530</v>
      </c>
      <c r="D134" s="56">
        <v>32.0</v>
      </c>
      <c r="E134" s="56">
        <v>64.0</v>
      </c>
      <c r="F134" s="56">
        <v>2.0</v>
      </c>
      <c r="G134" s="56">
        <v>3.0</v>
      </c>
      <c r="H134" s="56" t="s">
        <v>1481</v>
      </c>
      <c r="I134" s="56" t="s">
        <v>1380</v>
      </c>
      <c r="J134" s="56">
        <v>64.0</v>
      </c>
      <c r="K134" s="56">
        <v>180.0</v>
      </c>
      <c r="L134" s="57" t="s">
        <v>1539</v>
      </c>
    </row>
    <row r="135" ht="15.75" customHeight="1">
      <c r="A135" s="56" t="s">
        <v>1065</v>
      </c>
      <c r="B135" s="56" t="s">
        <v>1549</v>
      </c>
      <c r="C135" s="56" t="s">
        <v>1530</v>
      </c>
      <c r="D135" s="56">
        <v>32.0</v>
      </c>
      <c r="E135" s="56">
        <v>64.0</v>
      </c>
      <c r="F135" s="56">
        <v>2.2</v>
      </c>
      <c r="G135" s="56">
        <v>3.2</v>
      </c>
      <c r="H135" s="56" t="s">
        <v>1481</v>
      </c>
      <c r="I135" s="56" t="s">
        <v>1380</v>
      </c>
      <c r="J135" s="56">
        <v>64.0</v>
      </c>
      <c r="K135" s="56">
        <v>180.0</v>
      </c>
      <c r="L135" s="57" t="s">
        <v>1539</v>
      </c>
    </row>
    <row r="136" ht="15.75" customHeight="1">
      <c r="A136" s="56" t="s">
        <v>1017</v>
      </c>
      <c r="B136" s="56" t="s">
        <v>1550</v>
      </c>
      <c r="C136" s="56" t="s">
        <v>1551</v>
      </c>
      <c r="D136" s="56">
        <v>64.0</v>
      </c>
      <c r="E136" s="56">
        <v>256.0</v>
      </c>
      <c r="F136" s="56">
        <v>1.3</v>
      </c>
      <c r="G136" s="56">
        <v>1.5</v>
      </c>
      <c r="H136" s="56" t="s">
        <v>1379</v>
      </c>
      <c r="I136" s="56" t="s">
        <v>1380</v>
      </c>
      <c r="J136" s="56" t="s">
        <v>73</v>
      </c>
      <c r="K136" s="56">
        <v>215.0</v>
      </c>
      <c r="L136" s="57" t="s">
        <v>1552</v>
      </c>
    </row>
    <row r="137" ht="15.75" customHeight="1">
      <c r="A137" s="56" t="s">
        <v>1017</v>
      </c>
      <c r="B137" s="56" t="s">
        <v>1553</v>
      </c>
      <c r="C137" s="56" t="s">
        <v>1551</v>
      </c>
      <c r="D137" s="56">
        <v>64.0</v>
      </c>
      <c r="E137" s="56">
        <v>256.0</v>
      </c>
      <c r="F137" s="56">
        <v>1.3</v>
      </c>
      <c r="G137" s="56">
        <v>1.5</v>
      </c>
      <c r="H137" s="56" t="s">
        <v>1379</v>
      </c>
      <c r="I137" s="56" t="s">
        <v>1380</v>
      </c>
      <c r="J137" s="56" t="s">
        <v>73</v>
      </c>
      <c r="K137" s="56">
        <v>230.0</v>
      </c>
      <c r="L137" s="57" t="s">
        <v>1552</v>
      </c>
    </row>
    <row r="138" ht="15.75" customHeight="1">
      <c r="A138" s="56" t="s">
        <v>1017</v>
      </c>
      <c r="B138" s="56" t="s">
        <v>1554</v>
      </c>
      <c r="C138" s="56" t="s">
        <v>1551</v>
      </c>
      <c r="D138" s="56">
        <v>64.0</v>
      </c>
      <c r="E138" s="56">
        <v>256.0</v>
      </c>
      <c r="F138" s="56">
        <v>1.3</v>
      </c>
      <c r="G138" s="56">
        <v>1.5</v>
      </c>
      <c r="H138" s="56" t="s">
        <v>1379</v>
      </c>
      <c r="I138" s="56" t="s">
        <v>1380</v>
      </c>
      <c r="J138" s="56" t="s">
        <v>73</v>
      </c>
      <c r="K138" s="56">
        <v>215.0</v>
      </c>
      <c r="L138" s="57" t="s">
        <v>1552</v>
      </c>
    </row>
    <row r="139" ht="15.75" customHeight="1">
      <c r="A139" s="56" t="s">
        <v>1017</v>
      </c>
      <c r="B139" s="56" t="s">
        <v>1555</v>
      </c>
      <c r="C139" s="56" t="s">
        <v>1551</v>
      </c>
      <c r="D139" s="56">
        <v>64.0</v>
      </c>
      <c r="E139" s="56">
        <v>256.0</v>
      </c>
      <c r="F139" s="56">
        <v>1.3</v>
      </c>
      <c r="G139" s="56">
        <v>1.5</v>
      </c>
      <c r="H139" s="56" t="s">
        <v>1379</v>
      </c>
      <c r="I139" s="56" t="s">
        <v>1380</v>
      </c>
      <c r="J139" s="56" t="s">
        <v>73</v>
      </c>
      <c r="K139" s="56">
        <v>230.0</v>
      </c>
      <c r="L139" s="57" t="s">
        <v>1552</v>
      </c>
    </row>
    <row r="140" ht="15.75" customHeight="1">
      <c r="A140" s="56" t="s">
        <v>1017</v>
      </c>
      <c r="B140" s="56" t="s">
        <v>1556</v>
      </c>
      <c r="C140" s="56" t="s">
        <v>1551</v>
      </c>
      <c r="D140" s="56">
        <v>68.0</v>
      </c>
      <c r="E140" s="56">
        <v>272.0</v>
      </c>
      <c r="F140" s="56">
        <v>1.4</v>
      </c>
      <c r="G140" s="56">
        <v>1.6</v>
      </c>
      <c r="H140" s="56" t="s">
        <v>1379</v>
      </c>
      <c r="I140" s="56" t="s">
        <v>1380</v>
      </c>
      <c r="J140" s="56" t="s">
        <v>73</v>
      </c>
      <c r="K140" s="56">
        <v>215.0</v>
      </c>
      <c r="L140" s="57" t="s">
        <v>1552</v>
      </c>
    </row>
    <row r="141" ht="15.75" customHeight="1">
      <c r="A141" s="56" t="s">
        <v>1017</v>
      </c>
      <c r="B141" s="56" t="s">
        <v>1557</v>
      </c>
      <c r="C141" s="56" t="s">
        <v>1551</v>
      </c>
      <c r="D141" s="56">
        <v>68.0</v>
      </c>
      <c r="E141" s="56">
        <v>272.0</v>
      </c>
      <c r="F141" s="56">
        <v>1.4</v>
      </c>
      <c r="G141" s="56">
        <v>1.6</v>
      </c>
      <c r="H141" s="56" t="s">
        <v>1379</v>
      </c>
      <c r="I141" s="56" t="s">
        <v>1380</v>
      </c>
      <c r="J141" s="56" t="s">
        <v>73</v>
      </c>
      <c r="K141" s="56">
        <v>230.0</v>
      </c>
      <c r="L141" s="57" t="s">
        <v>1552</v>
      </c>
    </row>
    <row r="142" ht="15.75" customHeight="1">
      <c r="A142" s="56" t="s">
        <v>1017</v>
      </c>
      <c r="B142" s="56" t="s">
        <v>1558</v>
      </c>
      <c r="C142" s="56" t="s">
        <v>1551</v>
      </c>
      <c r="D142" s="56">
        <v>72.0</v>
      </c>
      <c r="E142" s="56">
        <v>288.0</v>
      </c>
      <c r="F142" s="56">
        <v>1.5</v>
      </c>
      <c r="G142" s="56">
        <v>1.7</v>
      </c>
      <c r="H142" s="56" t="s">
        <v>1379</v>
      </c>
      <c r="I142" s="56" t="s">
        <v>1380</v>
      </c>
      <c r="J142" s="56" t="s">
        <v>73</v>
      </c>
      <c r="K142" s="56">
        <v>245.0</v>
      </c>
      <c r="L142" s="57" t="s">
        <v>1552</v>
      </c>
    </row>
    <row r="143" ht="15.75" customHeight="1">
      <c r="A143" s="56" t="s">
        <v>1017</v>
      </c>
      <c r="B143" s="56" t="s">
        <v>1559</v>
      </c>
      <c r="C143" s="56" t="s">
        <v>1551</v>
      </c>
      <c r="D143" s="56">
        <v>72.0</v>
      </c>
      <c r="E143" s="56">
        <v>288.0</v>
      </c>
      <c r="F143" s="56">
        <v>1.5</v>
      </c>
      <c r="G143" s="56">
        <v>1.7</v>
      </c>
      <c r="H143" s="56" t="s">
        <v>1379</v>
      </c>
      <c r="I143" s="56" t="s">
        <v>1380</v>
      </c>
      <c r="J143" s="56" t="s">
        <v>73</v>
      </c>
      <c r="K143" s="56">
        <v>260.0</v>
      </c>
      <c r="L143" s="57" t="s">
        <v>1552</v>
      </c>
    </row>
    <row r="144" ht="15.75" customHeight="1">
      <c r="A144" s="56" t="s">
        <v>1017</v>
      </c>
      <c r="B144" s="56" t="s">
        <v>1560</v>
      </c>
      <c r="C144" s="56" t="s">
        <v>1561</v>
      </c>
      <c r="D144" s="56">
        <v>4.0</v>
      </c>
      <c r="E144" s="56">
        <v>8.0</v>
      </c>
      <c r="F144" s="56">
        <v>3.7</v>
      </c>
      <c r="G144" s="56">
        <v>4.0</v>
      </c>
      <c r="H144" s="56" t="s">
        <v>1384</v>
      </c>
      <c r="I144" s="56" t="s">
        <v>1380</v>
      </c>
      <c r="J144" s="56">
        <v>8.0</v>
      </c>
      <c r="K144" s="56">
        <v>80.0</v>
      </c>
      <c r="L144" s="57" t="s">
        <v>1562</v>
      </c>
    </row>
    <row r="145" ht="15.75" customHeight="1">
      <c r="A145" s="56" t="s">
        <v>1017</v>
      </c>
      <c r="B145" s="56" t="s">
        <v>1563</v>
      </c>
      <c r="C145" s="56" t="s">
        <v>1564</v>
      </c>
      <c r="D145" s="56">
        <v>4.0</v>
      </c>
      <c r="E145" s="56">
        <v>8.0</v>
      </c>
      <c r="F145" s="56">
        <v>3.5</v>
      </c>
      <c r="G145" s="56">
        <v>3.8</v>
      </c>
      <c r="H145" s="56" t="s">
        <v>1565</v>
      </c>
      <c r="I145" s="56" t="s">
        <v>1380</v>
      </c>
      <c r="J145" s="56">
        <v>6.0</v>
      </c>
      <c r="K145" s="56">
        <v>95.0</v>
      </c>
      <c r="L145" s="57" t="s">
        <v>1566</v>
      </c>
    </row>
    <row r="146" ht="15.75" customHeight="1">
      <c r="A146" s="56" t="s">
        <v>1017</v>
      </c>
      <c r="B146" s="56" t="s">
        <v>1567</v>
      </c>
      <c r="C146" s="56" t="s">
        <v>1568</v>
      </c>
      <c r="D146" s="56">
        <v>8.0</v>
      </c>
      <c r="E146" s="56">
        <v>16.0</v>
      </c>
      <c r="F146" s="56">
        <v>2.0</v>
      </c>
      <c r="G146" s="56"/>
      <c r="H146" s="56" t="s">
        <v>1565</v>
      </c>
      <c r="I146" s="56" t="s">
        <v>1569</v>
      </c>
      <c r="J146" s="56">
        <v>20.0</v>
      </c>
      <c r="K146" s="56">
        <v>115.0</v>
      </c>
      <c r="L146" s="57" t="s">
        <v>1570</v>
      </c>
    </row>
    <row r="147" ht="15.75" customHeight="1">
      <c r="A147" s="56" t="s">
        <v>1017</v>
      </c>
      <c r="B147" s="56" t="s">
        <v>1571</v>
      </c>
      <c r="C147" s="56" t="s">
        <v>1568</v>
      </c>
      <c r="D147" s="56">
        <v>10.0</v>
      </c>
      <c r="E147" s="56">
        <v>20.0</v>
      </c>
      <c r="F147" s="56">
        <v>1.9</v>
      </c>
      <c r="G147" s="56"/>
      <c r="H147" s="56" t="s">
        <v>1565</v>
      </c>
      <c r="I147" s="56" t="s">
        <v>1569</v>
      </c>
      <c r="J147" s="56">
        <v>25.0</v>
      </c>
      <c r="K147" s="56">
        <v>115.0</v>
      </c>
      <c r="L147" s="57" t="s">
        <v>1570</v>
      </c>
    </row>
    <row r="148" ht="15.75" customHeight="1">
      <c r="A148" s="56" t="s">
        <v>1017</v>
      </c>
      <c r="B148" s="56" t="s">
        <v>1572</v>
      </c>
      <c r="C148" s="56" t="s">
        <v>1568</v>
      </c>
      <c r="D148" s="56">
        <v>12.0</v>
      </c>
      <c r="E148" s="56">
        <v>24.0</v>
      </c>
      <c r="F148" s="56">
        <v>2.1</v>
      </c>
      <c r="G148" s="56">
        <v>2.7</v>
      </c>
      <c r="H148" s="56" t="s">
        <v>1565</v>
      </c>
      <c r="I148" s="56" t="s">
        <v>1569</v>
      </c>
      <c r="J148" s="56">
        <v>30.0</v>
      </c>
      <c r="K148" s="56">
        <v>115.0</v>
      </c>
      <c r="L148" s="57" t="s">
        <v>1570</v>
      </c>
    </row>
    <row r="149" ht="15.75" customHeight="1">
      <c r="A149" s="56" t="s">
        <v>1017</v>
      </c>
      <c r="B149" s="56" t="s">
        <v>1573</v>
      </c>
      <c r="C149" s="56" t="s">
        <v>1568</v>
      </c>
      <c r="D149" s="56">
        <v>14.0</v>
      </c>
      <c r="E149" s="56">
        <v>28.0</v>
      </c>
      <c r="F149" s="56">
        <v>2.2</v>
      </c>
      <c r="G149" s="56">
        <v>2.8</v>
      </c>
      <c r="H149" s="56" t="s">
        <v>1565</v>
      </c>
      <c r="I149" s="56" t="s">
        <v>1569</v>
      </c>
      <c r="J149" s="56">
        <v>35.0</v>
      </c>
      <c r="K149" s="56">
        <v>115.0</v>
      </c>
      <c r="L149" s="57" t="s">
        <v>1570</v>
      </c>
    </row>
    <row r="150" ht="15.75" customHeight="1">
      <c r="A150" s="56" t="s">
        <v>1017</v>
      </c>
      <c r="B150" s="56" t="s">
        <v>1574</v>
      </c>
      <c r="C150" s="56" t="s">
        <v>1568</v>
      </c>
      <c r="D150" s="56">
        <v>16.0</v>
      </c>
      <c r="E150" s="56">
        <v>32.0</v>
      </c>
      <c r="F150" s="56">
        <v>2.2</v>
      </c>
      <c r="G150" s="56">
        <v>3.2</v>
      </c>
      <c r="H150" s="56" t="s">
        <v>1565</v>
      </c>
      <c r="I150" s="56" t="s">
        <v>1569</v>
      </c>
      <c r="J150" s="56">
        <v>40.0</v>
      </c>
      <c r="K150" s="56">
        <v>140.0</v>
      </c>
      <c r="L150" s="57" t="s">
        <v>1570</v>
      </c>
    </row>
    <row r="151" ht="15.75" customHeight="1">
      <c r="A151" s="56" t="s">
        <v>1017</v>
      </c>
      <c r="B151" s="56" t="s">
        <v>1575</v>
      </c>
      <c r="C151" s="56" t="s">
        <v>1568</v>
      </c>
      <c r="D151" s="56">
        <v>16.0</v>
      </c>
      <c r="E151" s="56">
        <v>32.0</v>
      </c>
      <c r="F151" s="56">
        <v>2.5</v>
      </c>
      <c r="G151" s="56">
        <v>3.3</v>
      </c>
      <c r="H151" s="56" t="s">
        <v>1565</v>
      </c>
      <c r="I151" s="56" t="s">
        <v>1569</v>
      </c>
      <c r="J151" s="56">
        <v>45.0</v>
      </c>
      <c r="K151" s="56">
        <v>165.0</v>
      </c>
      <c r="L151" s="57" t="s">
        <v>1570</v>
      </c>
    </row>
    <row r="152" ht="15.75" customHeight="1">
      <c r="A152" s="56" t="s">
        <v>1017</v>
      </c>
      <c r="B152" s="56" t="s">
        <v>1576</v>
      </c>
      <c r="C152" s="56" t="s">
        <v>1568</v>
      </c>
      <c r="D152" s="56">
        <v>18.0</v>
      </c>
      <c r="E152" s="56">
        <v>36.0</v>
      </c>
      <c r="F152" s="56">
        <v>2.1</v>
      </c>
      <c r="G152" s="56">
        <v>2.9</v>
      </c>
      <c r="H152" s="56" t="s">
        <v>1565</v>
      </c>
      <c r="I152" s="56" t="s">
        <v>1569</v>
      </c>
      <c r="J152" s="56">
        <v>45.0</v>
      </c>
      <c r="K152" s="56">
        <v>140.0</v>
      </c>
      <c r="L152" s="57" t="s">
        <v>1570</v>
      </c>
    </row>
    <row r="153" ht="15.75" customHeight="1">
      <c r="A153" s="56" t="s">
        <v>1017</v>
      </c>
      <c r="B153" s="56" t="s">
        <v>690</v>
      </c>
      <c r="C153" s="56" t="s">
        <v>1568</v>
      </c>
      <c r="D153" s="56">
        <v>18.0</v>
      </c>
      <c r="E153" s="56">
        <v>36.0</v>
      </c>
      <c r="F153" s="56">
        <v>2.3</v>
      </c>
      <c r="G153" s="56">
        <v>3.1</v>
      </c>
      <c r="H153" s="56" t="s">
        <v>1565</v>
      </c>
      <c r="I153" s="56" t="s">
        <v>1569</v>
      </c>
      <c r="J153" s="56">
        <v>45.0</v>
      </c>
      <c r="K153" s="56">
        <v>150.0</v>
      </c>
      <c r="L153" s="57" t="s">
        <v>1570</v>
      </c>
    </row>
    <row r="154" ht="15.75" customHeight="1">
      <c r="A154" s="56" t="s">
        <v>1017</v>
      </c>
      <c r="B154" s="56" t="s">
        <v>1577</v>
      </c>
      <c r="C154" s="56" t="s">
        <v>1568</v>
      </c>
      <c r="D154" s="56">
        <v>18.0</v>
      </c>
      <c r="E154" s="56">
        <v>36.0</v>
      </c>
      <c r="F154" s="56">
        <v>2.0</v>
      </c>
      <c r="G154" s="56">
        <v>2.8</v>
      </c>
      <c r="H154" s="56" t="s">
        <v>1565</v>
      </c>
      <c r="I154" s="56" t="s">
        <v>1569</v>
      </c>
      <c r="J154" s="56">
        <v>45.0</v>
      </c>
      <c r="K154" s="56">
        <v>115.0</v>
      </c>
      <c r="L154" s="57" t="s">
        <v>1570</v>
      </c>
    </row>
    <row r="155" ht="15.75" customHeight="1">
      <c r="A155" s="56" t="s">
        <v>1017</v>
      </c>
      <c r="B155" s="56" t="s">
        <v>1578</v>
      </c>
      <c r="C155" s="56" t="s">
        <v>1568</v>
      </c>
      <c r="D155" s="56">
        <v>18.0</v>
      </c>
      <c r="E155" s="56">
        <v>36.0</v>
      </c>
      <c r="F155" s="56">
        <v>2.5</v>
      </c>
      <c r="G155" s="56">
        <v>3.3</v>
      </c>
      <c r="H155" s="56" t="s">
        <v>1579</v>
      </c>
      <c r="I155" s="56" t="s">
        <v>1569</v>
      </c>
      <c r="J155" s="56">
        <v>45.0</v>
      </c>
      <c r="K155" s="56">
        <v>165.0</v>
      </c>
      <c r="L155" s="57" t="s">
        <v>1570</v>
      </c>
    </row>
    <row r="156" ht="15.75" customHeight="1">
      <c r="A156" s="56" t="s">
        <v>1017</v>
      </c>
      <c r="B156" s="56" t="s">
        <v>1580</v>
      </c>
      <c r="C156" s="56" t="s">
        <v>1568</v>
      </c>
      <c r="D156" s="56">
        <v>10.0</v>
      </c>
      <c r="E156" s="56">
        <v>20.0</v>
      </c>
      <c r="F156" s="56">
        <v>2.8</v>
      </c>
      <c r="G156" s="56">
        <v>3.5</v>
      </c>
      <c r="H156" s="56" t="s">
        <v>1565</v>
      </c>
      <c r="I156" s="56" t="s">
        <v>1569</v>
      </c>
      <c r="J156" s="56">
        <v>45.0</v>
      </c>
      <c r="K156" s="56">
        <v>165.0</v>
      </c>
      <c r="L156" s="57" t="s">
        <v>1570</v>
      </c>
    </row>
    <row r="157" ht="15.75" customHeight="1">
      <c r="A157" s="56" t="s">
        <v>1017</v>
      </c>
      <c r="B157" s="56" t="s">
        <v>1581</v>
      </c>
      <c r="C157" s="56" t="s">
        <v>1568</v>
      </c>
      <c r="D157" s="56">
        <v>4.0</v>
      </c>
      <c r="E157" s="56">
        <v>8.0</v>
      </c>
      <c r="F157" s="56">
        <v>3.2</v>
      </c>
      <c r="G157" s="56">
        <v>3.5</v>
      </c>
      <c r="H157" s="56" t="s">
        <v>1565</v>
      </c>
      <c r="I157" s="56" t="s">
        <v>1569</v>
      </c>
      <c r="J157" s="56">
        <v>45.0</v>
      </c>
      <c r="K157" s="56">
        <v>140.0</v>
      </c>
      <c r="L157" s="57" t="s">
        <v>1570</v>
      </c>
    </row>
    <row r="158" ht="15.75" customHeight="1">
      <c r="A158" s="56" t="s">
        <v>1017</v>
      </c>
      <c r="B158" s="56" t="s">
        <v>1582</v>
      </c>
      <c r="C158" s="56" t="s">
        <v>1583</v>
      </c>
      <c r="D158" s="56">
        <v>61.0</v>
      </c>
      <c r="E158" s="56">
        <v>244.0</v>
      </c>
      <c r="F158" s="197">
        <v>1.238</v>
      </c>
      <c r="G158" s="197">
        <v>1.333</v>
      </c>
      <c r="H158" s="56" t="s">
        <v>1584</v>
      </c>
      <c r="I158" s="56" t="s">
        <v>1569</v>
      </c>
      <c r="J158" s="56" t="s">
        <v>73</v>
      </c>
      <c r="K158" s="56">
        <v>300.0</v>
      </c>
      <c r="L158" s="57" t="s">
        <v>1585</v>
      </c>
    </row>
    <row r="159" ht="15.75" customHeight="1">
      <c r="A159" s="56" t="s">
        <v>1017</v>
      </c>
      <c r="B159" s="56" t="s">
        <v>1586</v>
      </c>
      <c r="C159" s="56" t="s">
        <v>1583</v>
      </c>
      <c r="D159" s="56">
        <v>61.0</v>
      </c>
      <c r="E159" s="56">
        <v>244.0</v>
      </c>
      <c r="F159" s="197">
        <v>1.238</v>
      </c>
      <c r="G159" s="197">
        <v>1.333</v>
      </c>
      <c r="H159" s="56" t="s">
        <v>1587</v>
      </c>
      <c r="I159" s="56" t="s">
        <v>1569</v>
      </c>
      <c r="J159" s="56" t="s">
        <v>73</v>
      </c>
      <c r="K159" s="56">
        <v>270.0</v>
      </c>
      <c r="L159" s="57" t="s">
        <v>1588</v>
      </c>
    </row>
    <row r="160" ht="15.75" customHeight="1">
      <c r="A160" s="56" t="s">
        <v>1065</v>
      </c>
      <c r="B160" s="56" t="s">
        <v>1589</v>
      </c>
      <c r="C160" s="56" t="s">
        <v>1590</v>
      </c>
      <c r="D160" s="56">
        <v>4.0</v>
      </c>
      <c r="E160" s="56">
        <v>4.0</v>
      </c>
      <c r="F160" s="56">
        <v>1.7</v>
      </c>
      <c r="G160" s="56"/>
      <c r="H160" s="56" t="s">
        <v>1591</v>
      </c>
      <c r="I160" s="56" t="s">
        <v>1592</v>
      </c>
      <c r="J160" s="56">
        <v>8.0</v>
      </c>
      <c r="K160" s="56">
        <v>25.0</v>
      </c>
      <c r="L160" s="57" t="s">
        <v>1593</v>
      </c>
    </row>
    <row r="161" ht="15.75" customHeight="1">
      <c r="A161" s="56" t="s">
        <v>1065</v>
      </c>
      <c r="B161" s="56" t="s">
        <v>1594</v>
      </c>
      <c r="C161" s="56" t="s">
        <v>1590</v>
      </c>
      <c r="D161" s="56">
        <v>8.0</v>
      </c>
      <c r="E161" s="56">
        <v>8.0</v>
      </c>
      <c r="F161" s="56">
        <v>1.7</v>
      </c>
      <c r="G161" s="56"/>
      <c r="H161" s="56" t="s">
        <v>1591</v>
      </c>
      <c r="I161" s="56" t="s">
        <v>1592</v>
      </c>
      <c r="J161" s="56">
        <v>8.0</v>
      </c>
      <c r="K161" s="56">
        <v>32.0</v>
      </c>
      <c r="L161" s="57" t="s">
        <v>1593</v>
      </c>
    </row>
    <row r="162" ht="15.75" customHeight="1">
      <c r="A162" s="56" t="s">
        <v>1065</v>
      </c>
      <c r="B162" s="56" t="s">
        <v>1595</v>
      </c>
      <c r="C162" s="56" t="s">
        <v>1590</v>
      </c>
      <c r="D162" s="56">
        <v>8.0</v>
      </c>
      <c r="E162" s="56">
        <v>8.0</v>
      </c>
      <c r="F162" s="56">
        <v>2.0</v>
      </c>
      <c r="G162" s="56"/>
      <c r="H162" s="56" t="s">
        <v>1591</v>
      </c>
      <c r="I162" s="56" t="s">
        <v>1592</v>
      </c>
      <c r="J162" s="56">
        <v>8.0</v>
      </c>
      <c r="K162" s="56">
        <v>32.0</v>
      </c>
      <c r="L162" s="57" t="s">
        <v>1593</v>
      </c>
    </row>
    <row r="163" ht="15.75" customHeight="1">
      <c r="A163" s="56" t="s">
        <v>1065</v>
      </c>
      <c r="B163" s="56" t="s">
        <v>1596</v>
      </c>
      <c r="C163" s="56" t="s">
        <v>1597</v>
      </c>
      <c r="D163" s="56">
        <v>4.0</v>
      </c>
      <c r="E163" s="56">
        <v>4.0</v>
      </c>
      <c r="F163" s="56">
        <v>2.4</v>
      </c>
      <c r="G163" s="56"/>
      <c r="H163" s="56" t="s">
        <v>1598</v>
      </c>
      <c r="I163" s="56" t="s">
        <v>1592</v>
      </c>
      <c r="J163" s="56" t="s">
        <v>73</v>
      </c>
      <c r="K163" s="56">
        <v>25.0</v>
      </c>
      <c r="L163" s="57" t="s">
        <v>1599</v>
      </c>
    </row>
    <row r="164" ht="15.75" customHeight="1">
      <c r="A164" s="56" t="s">
        <v>1600</v>
      </c>
      <c r="B164" s="57" t="s">
        <v>70</v>
      </c>
      <c r="C164" s="56"/>
      <c r="D164" s="56">
        <v>16.0</v>
      </c>
      <c r="E164" s="56">
        <v>16.0</v>
      </c>
      <c r="F164" s="56">
        <v>2.3</v>
      </c>
      <c r="G164" s="56"/>
      <c r="H164" s="56"/>
      <c r="I164" s="56" t="s">
        <v>1601</v>
      </c>
      <c r="J164" s="56"/>
      <c r="K164" s="198">
        <v>40.0</v>
      </c>
      <c r="L164" s="56"/>
    </row>
    <row r="165" ht="15.75" customHeight="1">
      <c r="A165" s="56" t="s">
        <v>1602</v>
      </c>
      <c r="B165" s="57" t="s">
        <v>269</v>
      </c>
      <c r="C165" s="56" t="s">
        <v>1603</v>
      </c>
      <c r="D165" s="56">
        <v>18.0</v>
      </c>
      <c r="E165" s="56">
        <v>36.0</v>
      </c>
      <c r="F165" s="56">
        <v>2.3</v>
      </c>
      <c r="G165" s="56">
        <v>3.0</v>
      </c>
      <c r="H165" s="56" t="s">
        <v>1604</v>
      </c>
      <c r="I165" s="56" t="s">
        <v>1380</v>
      </c>
      <c r="J165" s="56">
        <v>45.0</v>
      </c>
      <c r="K165" s="56">
        <v>145.0</v>
      </c>
      <c r="L165" s="57" t="s">
        <v>1605</v>
      </c>
    </row>
    <row r="166" ht="15.75" customHeight="1">
      <c r="A166" s="56" t="s">
        <v>1602</v>
      </c>
      <c r="B166" s="57" t="s">
        <v>225</v>
      </c>
      <c r="C166" s="56" t="s">
        <v>1606</v>
      </c>
      <c r="D166" s="56">
        <v>12.0</v>
      </c>
      <c r="E166" s="56">
        <v>24.0</v>
      </c>
      <c r="F166" s="56">
        <v>2.4</v>
      </c>
      <c r="G166" s="56"/>
      <c r="H166" s="56" t="s">
        <v>1604</v>
      </c>
      <c r="I166" s="56" t="s">
        <v>1569</v>
      </c>
      <c r="J166" s="56">
        <v>30.0</v>
      </c>
      <c r="K166" s="56">
        <v>120.0</v>
      </c>
      <c r="L166" s="57">
        <v>2015.0</v>
      </c>
    </row>
    <row r="167" ht="15.75" customHeight="1">
      <c r="A167" s="56" t="s">
        <v>1602</v>
      </c>
      <c r="B167" s="57" t="s">
        <v>237</v>
      </c>
      <c r="C167" s="56" t="s">
        <v>1404</v>
      </c>
      <c r="D167" s="56">
        <v>24.0</v>
      </c>
      <c r="E167" s="93">
        <v>48.0</v>
      </c>
      <c r="F167" s="93">
        <v>2.5</v>
      </c>
      <c r="G167" s="93">
        <v>3.5</v>
      </c>
      <c r="H167" s="56" t="s">
        <v>1379</v>
      </c>
      <c r="I167" s="56" t="s">
        <v>1380</v>
      </c>
      <c r="J167" s="93">
        <v>35.75</v>
      </c>
      <c r="K167" s="56">
        <v>210.0</v>
      </c>
      <c r="L167" s="57">
        <v>2019.0</v>
      </c>
    </row>
    <row r="168" ht="15.75" customHeight="1">
      <c r="A168" s="56" t="s">
        <v>1607</v>
      </c>
      <c r="B168" s="57" t="s">
        <v>423</v>
      </c>
      <c r="C168" s="56" t="s">
        <v>1530</v>
      </c>
      <c r="D168" s="93">
        <v>32.0</v>
      </c>
      <c r="E168" s="93">
        <v>64.0</v>
      </c>
      <c r="F168" s="93">
        <v>2.2</v>
      </c>
      <c r="G168" s="93">
        <v>3.0</v>
      </c>
      <c r="H168" s="56" t="s">
        <v>1481</v>
      </c>
      <c r="I168" s="56" t="s">
        <v>1380</v>
      </c>
      <c r="J168" s="93">
        <v>64.0</v>
      </c>
      <c r="K168" s="93">
        <v>200.0</v>
      </c>
      <c r="L168" s="57">
        <v>2018.0</v>
      </c>
    </row>
    <row r="169" ht="15.75" customHeight="1">
      <c r="A169" s="56" t="s">
        <v>1602</v>
      </c>
      <c r="B169" s="57" t="s">
        <v>350</v>
      </c>
      <c r="C169" s="56" t="s">
        <v>1378</v>
      </c>
      <c r="D169" s="56">
        <v>24.0</v>
      </c>
      <c r="E169" s="93">
        <v>48.0</v>
      </c>
      <c r="F169" s="93">
        <v>2.5</v>
      </c>
      <c r="G169" s="93">
        <v>3.5</v>
      </c>
      <c r="H169" s="56" t="s">
        <v>1379</v>
      </c>
      <c r="I169" s="56" t="s">
        <v>1380</v>
      </c>
      <c r="J169" s="93">
        <v>33.0</v>
      </c>
      <c r="K169" s="56">
        <v>240.0</v>
      </c>
      <c r="L169" s="57">
        <v>2017.0</v>
      </c>
    </row>
    <row r="170" ht="15.75" customHeight="1">
      <c r="A170" s="56" t="s">
        <v>1600</v>
      </c>
      <c r="B170" s="57" t="s">
        <v>189</v>
      </c>
      <c r="C170" s="56"/>
      <c r="D170" s="56">
        <v>64.0</v>
      </c>
      <c r="E170" s="56">
        <v>64.0</v>
      </c>
      <c r="F170" s="93">
        <v>2.5</v>
      </c>
      <c r="G170" s="56"/>
      <c r="H170" s="56"/>
      <c r="I170" s="56"/>
      <c r="J170" s="56"/>
      <c r="K170" s="198">
        <v>110.0</v>
      </c>
      <c r="L170" s="57"/>
    </row>
    <row r="171" ht="15.75" customHeight="1">
      <c r="A171" s="56" t="s">
        <v>1602</v>
      </c>
      <c r="B171" s="57" t="s">
        <v>112</v>
      </c>
      <c r="C171" s="56" t="s">
        <v>1606</v>
      </c>
      <c r="D171" s="56">
        <v>10.0</v>
      </c>
      <c r="E171" s="56">
        <v>20.0</v>
      </c>
      <c r="F171" s="93">
        <v>2.9</v>
      </c>
      <c r="G171" s="93">
        <v>3.2</v>
      </c>
      <c r="H171" s="56" t="s">
        <v>1604</v>
      </c>
      <c r="I171" s="56" t="s">
        <v>1569</v>
      </c>
      <c r="J171" s="56">
        <v>25.0</v>
      </c>
      <c r="K171" s="56">
        <v>135.0</v>
      </c>
      <c r="L171" s="57">
        <v>2015.0</v>
      </c>
    </row>
    <row r="172" ht="15.75" customHeight="1">
      <c r="A172" s="56" t="s">
        <v>1602</v>
      </c>
      <c r="B172" s="57" t="s">
        <v>120</v>
      </c>
      <c r="C172" s="56" t="s">
        <v>1378</v>
      </c>
      <c r="D172" s="56">
        <v>18.0</v>
      </c>
      <c r="E172" s="93">
        <v>36.0</v>
      </c>
      <c r="F172" s="93">
        <v>3.0</v>
      </c>
      <c r="G172" s="93">
        <v>3.4</v>
      </c>
      <c r="H172" s="56" t="s">
        <v>1379</v>
      </c>
      <c r="I172" s="56" t="s">
        <v>1380</v>
      </c>
      <c r="J172" s="93">
        <v>24.75</v>
      </c>
      <c r="K172" s="56">
        <v>240.0</v>
      </c>
      <c r="L172" s="57">
        <v>2017.0</v>
      </c>
    </row>
    <row r="173" ht="15.75" customHeight="1">
      <c r="A173" s="56" t="s">
        <v>1602</v>
      </c>
      <c r="B173" s="57" t="s">
        <v>129</v>
      </c>
      <c r="C173" s="56" t="s">
        <v>1404</v>
      </c>
      <c r="D173" s="56">
        <v>24.0</v>
      </c>
      <c r="E173" s="93">
        <v>48.0</v>
      </c>
      <c r="F173" s="93">
        <v>3.0</v>
      </c>
      <c r="G173" s="93">
        <v>3.9</v>
      </c>
      <c r="H173" s="56" t="s">
        <v>1379</v>
      </c>
      <c r="I173" s="56" t="s">
        <v>1380</v>
      </c>
      <c r="J173" s="93">
        <v>35.75</v>
      </c>
      <c r="K173" s="56">
        <v>240.0</v>
      </c>
      <c r="L173" s="57">
        <v>2019.0</v>
      </c>
    </row>
    <row r="174" ht="15.75" customHeight="1">
      <c r="A174" s="56" t="s">
        <v>1607</v>
      </c>
      <c r="B174" s="57" t="s">
        <v>135</v>
      </c>
      <c r="C174" s="56" t="s">
        <v>1503</v>
      </c>
      <c r="D174" s="56">
        <v>48.0</v>
      </c>
      <c r="E174" s="56">
        <v>96.0</v>
      </c>
      <c r="F174" s="93">
        <v>2.8</v>
      </c>
      <c r="G174" s="93">
        <v>3.3</v>
      </c>
      <c r="H174" s="56" t="s">
        <v>1481</v>
      </c>
      <c r="I174" s="56" t="s">
        <v>1482</v>
      </c>
      <c r="J174" s="56">
        <v>192.0</v>
      </c>
      <c r="K174" s="56">
        <v>280.0</v>
      </c>
      <c r="L174" s="57">
        <v>2020.0</v>
      </c>
    </row>
    <row r="175" ht="15.75" customHeight="1">
      <c r="A175" s="56" t="s">
        <v>1602</v>
      </c>
      <c r="B175" s="57" t="s">
        <v>682</v>
      </c>
      <c r="C175" s="56" t="s">
        <v>1378</v>
      </c>
      <c r="D175" s="56">
        <v>28.0</v>
      </c>
      <c r="E175" s="56">
        <v>56.0</v>
      </c>
      <c r="F175" s="93">
        <v>2.1</v>
      </c>
      <c r="G175" s="93">
        <v>3.8</v>
      </c>
      <c r="H175" s="56" t="s">
        <v>1379</v>
      </c>
      <c r="I175" s="56" t="s">
        <v>1380</v>
      </c>
      <c r="J175" s="93">
        <v>38.5</v>
      </c>
      <c r="K175" s="93">
        <v>165.0</v>
      </c>
      <c r="L175" s="57" t="s">
        <v>1381</v>
      </c>
    </row>
    <row r="176" ht="15.75" customHeight="1">
      <c r="A176" s="56" t="s">
        <v>1602</v>
      </c>
      <c r="B176" s="57" t="s">
        <v>726</v>
      </c>
      <c r="C176" s="56" t="s">
        <v>1378</v>
      </c>
      <c r="D176" s="56">
        <v>12.0</v>
      </c>
      <c r="E176" s="93">
        <v>24.0</v>
      </c>
      <c r="F176" s="93">
        <v>3.4</v>
      </c>
      <c r="G176" s="93">
        <v>4.0</v>
      </c>
      <c r="H176" s="56" t="s">
        <v>1379</v>
      </c>
      <c r="I176" s="56" t="s">
        <v>1380</v>
      </c>
      <c r="J176" s="93">
        <v>24.8</v>
      </c>
      <c r="K176" s="56">
        <v>240.0</v>
      </c>
      <c r="L176" s="57">
        <v>2017.0</v>
      </c>
    </row>
    <row r="177" ht="15.75" customHeight="1">
      <c r="A177" s="56" t="s">
        <v>1602</v>
      </c>
      <c r="B177" s="57" t="s">
        <v>83</v>
      </c>
      <c r="C177" s="56" t="s">
        <v>1608</v>
      </c>
      <c r="D177" s="56">
        <v>12.0</v>
      </c>
      <c r="E177" s="56">
        <v>24.0</v>
      </c>
      <c r="F177" s="93">
        <v>1.8</v>
      </c>
      <c r="G177" s="56"/>
      <c r="H177" s="56" t="s">
        <v>1579</v>
      </c>
      <c r="I177" s="56" t="s">
        <v>1569</v>
      </c>
      <c r="J177" s="56">
        <v>30.0</v>
      </c>
      <c r="K177" s="56">
        <v>95.0</v>
      </c>
      <c r="L177" s="57">
        <v>2013.0</v>
      </c>
    </row>
    <row r="178" ht="15.75" customHeight="1">
      <c r="A178" s="56" t="s">
        <v>1602</v>
      </c>
      <c r="B178" s="57" t="s">
        <v>472</v>
      </c>
      <c r="C178" s="56" t="s">
        <v>1404</v>
      </c>
      <c r="D178" s="56">
        <v>12.0</v>
      </c>
      <c r="E178" s="93">
        <v>24.0</v>
      </c>
      <c r="F178" s="93">
        <v>3.8</v>
      </c>
      <c r="G178" s="93">
        <v>4.5</v>
      </c>
      <c r="H178" s="56" t="s">
        <v>1379</v>
      </c>
      <c r="I178" s="56" t="s">
        <v>1380</v>
      </c>
      <c r="J178" s="93">
        <v>26.0</v>
      </c>
      <c r="K178" s="56">
        <v>240.0</v>
      </c>
      <c r="L178" s="57">
        <v>2020.0</v>
      </c>
    </row>
    <row r="179" ht="15.75" customHeight="1">
      <c r="A179" s="56" t="s">
        <v>1017</v>
      </c>
      <c r="B179" s="56" t="s">
        <v>1609</v>
      </c>
      <c r="C179" s="56" t="s">
        <v>1610</v>
      </c>
      <c r="D179" s="56">
        <v>4.0</v>
      </c>
      <c r="E179" s="56">
        <v>8.0</v>
      </c>
      <c r="F179" s="56">
        <v>2.8</v>
      </c>
      <c r="G179" s="56">
        <v>3.2</v>
      </c>
      <c r="H179" s="56" t="s">
        <v>1611</v>
      </c>
      <c r="I179" s="56">
        <v>32.0</v>
      </c>
      <c r="J179" s="56">
        <v>10.0</v>
      </c>
      <c r="K179" s="56">
        <v>80.0</v>
      </c>
      <c r="L179" s="57" t="s">
        <v>1612</v>
      </c>
    </row>
    <row r="180" ht="15.75" customHeight="1">
      <c r="A180" s="56" t="s">
        <v>1017</v>
      </c>
      <c r="B180" s="56" t="s">
        <v>1613</v>
      </c>
      <c r="C180" s="56" t="s">
        <v>1610</v>
      </c>
      <c r="D180" s="56">
        <v>6.0</v>
      </c>
      <c r="E180" s="56">
        <v>12.0</v>
      </c>
      <c r="F180" s="56">
        <v>1.8</v>
      </c>
      <c r="G180" s="56"/>
      <c r="H180" s="56" t="s">
        <v>1611</v>
      </c>
      <c r="I180" s="56">
        <v>32.0</v>
      </c>
      <c r="J180" s="56">
        <v>15.0</v>
      </c>
      <c r="K180" s="56">
        <v>60.0</v>
      </c>
      <c r="L180" s="57" t="s">
        <v>1612</v>
      </c>
    </row>
    <row r="181" ht="15.75" customHeight="1">
      <c r="A181" s="56" t="s">
        <v>1017</v>
      </c>
      <c r="B181" s="56" t="s">
        <v>1614</v>
      </c>
      <c r="C181" s="56" t="s">
        <v>1615</v>
      </c>
      <c r="D181" s="56">
        <v>4.0</v>
      </c>
      <c r="E181" s="56">
        <v>8.0</v>
      </c>
      <c r="F181" s="56">
        <v>3.6</v>
      </c>
      <c r="G181" s="56">
        <v>3.8</v>
      </c>
      <c r="H181" s="56" t="s">
        <v>1579</v>
      </c>
      <c r="I181" s="56">
        <v>32.0</v>
      </c>
      <c r="J181" s="56">
        <v>10.0</v>
      </c>
      <c r="K181" s="56">
        <v>130.0</v>
      </c>
      <c r="L181" s="57" t="s">
        <v>1616</v>
      </c>
    </row>
    <row r="182" ht="15.75" customHeight="1">
      <c r="A182" s="56" t="s">
        <v>1017</v>
      </c>
      <c r="B182" s="56" t="s">
        <v>1617</v>
      </c>
      <c r="C182" s="56" t="s">
        <v>1618</v>
      </c>
      <c r="D182" s="56">
        <v>4.0</v>
      </c>
      <c r="E182" s="56">
        <v>8.0</v>
      </c>
      <c r="F182" s="56">
        <v>3.7</v>
      </c>
      <c r="G182" s="56"/>
      <c r="H182" s="56" t="s">
        <v>1579</v>
      </c>
      <c r="I182" s="56">
        <v>22.0</v>
      </c>
      <c r="J182" s="56">
        <v>10.0</v>
      </c>
      <c r="K182" s="56">
        <v>130.0</v>
      </c>
      <c r="L182" s="57" t="s">
        <v>1619</v>
      </c>
    </row>
    <row r="183" ht="15.75" customHeight="1">
      <c r="A183" s="56" t="s">
        <v>1017</v>
      </c>
      <c r="B183" s="56" t="s">
        <v>1620</v>
      </c>
      <c r="C183" s="56" t="s">
        <v>1615</v>
      </c>
      <c r="D183" s="56">
        <v>6.0</v>
      </c>
      <c r="E183" s="56">
        <v>12.0</v>
      </c>
      <c r="F183" s="56">
        <v>3.2</v>
      </c>
      <c r="G183" s="56">
        <v>3.8</v>
      </c>
      <c r="H183" s="56" t="s">
        <v>1579</v>
      </c>
      <c r="I183" s="56">
        <v>32.0</v>
      </c>
      <c r="J183" s="56">
        <v>12.0</v>
      </c>
      <c r="K183" s="56">
        <v>130.0</v>
      </c>
      <c r="L183" s="57" t="s">
        <v>1616</v>
      </c>
    </row>
    <row r="184" ht="15.75" customHeight="1">
      <c r="A184" s="56" t="s">
        <v>1017</v>
      </c>
      <c r="B184" s="56" t="s">
        <v>1621</v>
      </c>
      <c r="C184" s="56" t="s">
        <v>1618</v>
      </c>
      <c r="D184" s="56">
        <v>6.0</v>
      </c>
      <c r="E184" s="56">
        <v>12.0</v>
      </c>
      <c r="F184" s="56">
        <v>3.5</v>
      </c>
      <c r="G184" s="56"/>
      <c r="H184" s="56" t="s">
        <v>1579</v>
      </c>
      <c r="I184" s="56">
        <v>22.0</v>
      </c>
      <c r="J184" s="56">
        <v>12.0</v>
      </c>
      <c r="K184" s="56">
        <v>130.0</v>
      </c>
      <c r="L184" s="57" t="s">
        <v>1619</v>
      </c>
    </row>
    <row r="185" ht="15.75" customHeight="1">
      <c r="A185" s="56" t="s">
        <v>1017</v>
      </c>
      <c r="B185" s="56" t="s">
        <v>1622</v>
      </c>
      <c r="C185" s="56" t="s">
        <v>1615</v>
      </c>
      <c r="D185" s="56">
        <v>6.0</v>
      </c>
      <c r="E185" s="56">
        <v>12.0</v>
      </c>
      <c r="F185" s="56">
        <v>3.3</v>
      </c>
      <c r="G185" s="56">
        <v>3.9</v>
      </c>
      <c r="H185" s="56" t="s">
        <v>1579</v>
      </c>
      <c r="I185" s="56">
        <v>32.0</v>
      </c>
      <c r="J185" s="56">
        <v>15.0</v>
      </c>
      <c r="K185" s="56">
        <v>130.0</v>
      </c>
      <c r="L185" s="57" t="s">
        <v>1616</v>
      </c>
    </row>
    <row r="186" ht="15.75" customHeight="1">
      <c r="A186" s="56" t="s">
        <v>1017</v>
      </c>
      <c r="B186" s="56" t="s">
        <v>1623</v>
      </c>
      <c r="C186" s="56" t="s">
        <v>1618</v>
      </c>
      <c r="D186" s="56">
        <v>6.0</v>
      </c>
      <c r="E186" s="56">
        <v>12.0</v>
      </c>
      <c r="F186" s="56">
        <v>3.7</v>
      </c>
      <c r="G186" s="56"/>
      <c r="H186" s="56" t="s">
        <v>1579</v>
      </c>
      <c r="I186" s="56">
        <v>22.0</v>
      </c>
      <c r="J186" s="56">
        <v>15.0</v>
      </c>
      <c r="K186" s="56">
        <v>130.0</v>
      </c>
      <c r="L186" s="57" t="s">
        <v>1619</v>
      </c>
    </row>
    <row r="187" ht="15.75" customHeight="1">
      <c r="A187" s="56" t="s">
        <v>1017</v>
      </c>
      <c r="B187" s="56" t="s">
        <v>1624</v>
      </c>
      <c r="C187" s="56" t="s">
        <v>1610</v>
      </c>
      <c r="D187" s="56">
        <v>4.0</v>
      </c>
      <c r="E187" s="56">
        <v>8.0</v>
      </c>
      <c r="F187" s="56">
        <v>1.8</v>
      </c>
      <c r="G187" s="56"/>
      <c r="H187" s="56" t="s">
        <v>1611</v>
      </c>
      <c r="I187" s="56">
        <v>32.0</v>
      </c>
      <c r="J187" s="56">
        <v>10.0</v>
      </c>
      <c r="K187" s="56">
        <v>80.0</v>
      </c>
      <c r="L187" s="57" t="s">
        <v>1612</v>
      </c>
    </row>
    <row r="188" ht="15.75" customHeight="1">
      <c r="A188" s="56" t="s">
        <v>1017</v>
      </c>
      <c r="B188" s="56" t="s">
        <v>1625</v>
      </c>
      <c r="C188" s="56" t="s">
        <v>1626</v>
      </c>
      <c r="D188" s="56">
        <v>4.0</v>
      </c>
      <c r="E188" s="56">
        <v>4.0</v>
      </c>
      <c r="F188" s="56">
        <v>1.8</v>
      </c>
      <c r="G188" s="56"/>
      <c r="H188" s="56" t="s">
        <v>1611</v>
      </c>
      <c r="I188" s="56">
        <v>22.0</v>
      </c>
      <c r="J188" s="56">
        <v>10.0</v>
      </c>
      <c r="K188" s="56">
        <v>80.0</v>
      </c>
      <c r="L188" s="57" t="s">
        <v>1619</v>
      </c>
    </row>
    <row r="189" ht="15.75" customHeight="1">
      <c r="A189" s="56" t="s">
        <v>1017</v>
      </c>
      <c r="B189" s="56" t="s">
        <v>1627</v>
      </c>
      <c r="C189" s="56" t="s">
        <v>1610</v>
      </c>
      <c r="D189" s="56">
        <v>4.0</v>
      </c>
      <c r="E189" s="56">
        <v>8.0</v>
      </c>
      <c r="F189" s="56">
        <v>2.2</v>
      </c>
      <c r="G189" s="56"/>
      <c r="H189" s="56" t="s">
        <v>1611</v>
      </c>
      <c r="I189" s="56">
        <v>32.0</v>
      </c>
      <c r="J189" s="56">
        <v>10.0</v>
      </c>
      <c r="K189" s="56">
        <v>80.0</v>
      </c>
      <c r="L189" s="57" t="s">
        <v>1612</v>
      </c>
    </row>
    <row r="190" ht="15.75" customHeight="1">
      <c r="A190" s="56" t="s">
        <v>1017</v>
      </c>
      <c r="B190" s="56" t="s">
        <v>1628</v>
      </c>
      <c r="C190" s="56" t="s">
        <v>1626</v>
      </c>
      <c r="D190" s="56">
        <v>4.0</v>
      </c>
      <c r="E190" s="56">
        <v>4.0</v>
      </c>
      <c r="F190" s="56">
        <v>2.4</v>
      </c>
      <c r="G190" s="56"/>
      <c r="H190" s="56" t="s">
        <v>1611</v>
      </c>
      <c r="I190" s="56">
        <v>22.0</v>
      </c>
      <c r="J190" s="56">
        <v>10.0</v>
      </c>
      <c r="K190" s="56">
        <v>80.0</v>
      </c>
      <c r="L190" s="57" t="s">
        <v>1619</v>
      </c>
    </row>
    <row r="191" ht="15.75" customHeight="1">
      <c r="A191" s="56" t="s">
        <v>1017</v>
      </c>
      <c r="B191" s="56" t="s">
        <v>1629</v>
      </c>
      <c r="C191" s="56" t="s">
        <v>1610</v>
      </c>
      <c r="D191" s="56">
        <v>4.0</v>
      </c>
      <c r="E191" s="56">
        <v>8.0</v>
      </c>
      <c r="F191" s="56">
        <v>2.0</v>
      </c>
      <c r="G191" s="56">
        <v>2.1</v>
      </c>
      <c r="H191" s="56" t="s">
        <v>1611</v>
      </c>
      <c r="I191" s="56">
        <v>32.0</v>
      </c>
      <c r="J191" s="56">
        <v>10.0</v>
      </c>
      <c r="K191" s="56">
        <v>50.0</v>
      </c>
      <c r="L191" s="57" t="s">
        <v>1612</v>
      </c>
    </row>
    <row r="192" ht="15.75" customHeight="1">
      <c r="A192" s="56" t="s">
        <v>1017</v>
      </c>
      <c r="B192" s="56" t="s">
        <v>1630</v>
      </c>
      <c r="C192" s="56" t="s">
        <v>1610</v>
      </c>
      <c r="D192" s="56">
        <v>6.0</v>
      </c>
      <c r="E192" s="56">
        <v>12.0</v>
      </c>
      <c r="F192" s="56">
        <v>1.9</v>
      </c>
      <c r="G192" s="56">
        <v>2.4</v>
      </c>
      <c r="H192" s="56" t="s">
        <v>1611</v>
      </c>
      <c r="I192" s="56">
        <v>32.0</v>
      </c>
      <c r="J192" s="56">
        <v>15.0</v>
      </c>
      <c r="K192" s="56">
        <v>95.0</v>
      </c>
      <c r="L192" s="57" t="s">
        <v>1612</v>
      </c>
    </row>
    <row r="193" ht="15.75" customHeight="1">
      <c r="A193" s="56" t="s">
        <v>1017</v>
      </c>
      <c r="B193" s="56" t="s">
        <v>1631</v>
      </c>
      <c r="C193" s="56" t="s">
        <v>1626</v>
      </c>
      <c r="D193" s="56">
        <v>6.0</v>
      </c>
      <c r="E193" s="56">
        <v>12.0</v>
      </c>
      <c r="F193" s="56">
        <v>2.2</v>
      </c>
      <c r="G193" s="56"/>
      <c r="H193" s="56" t="s">
        <v>1611</v>
      </c>
      <c r="I193" s="56">
        <v>22.0</v>
      </c>
      <c r="J193" s="56">
        <v>15.0</v>
      </c>
      <c r="K193" s="56">
        <v>80.0</v>
      </c>
      <c r="L193" s="57" t="s">
        <v>1619</v>
      </c>
    </row>
    <row r="194" ht="15.75" customHeight="1">
      <c r="A194" s="56" t="s">
        <v>1017</v>
      </c>
      <c r="B194" s="56" t="s">
        <v>1632</v>
      </c>
      <c r="C194" s="56" t="s">
        <v>1610</v>
      </c>
      <c r="D194" s="56">
        <v>6.0</v>
      </c>
      <c r="E194" s="56">
        <v>12.0</v>
      </c>
      <c r="F194" s="56">
        <v>1.8</v>
      </c>
      <c r="G194" s="56">
        <v>2.0</v>
      </c>
      <c r="H194" s="56" t="s">
        <v>1611</v>
      </c>
      <c r="I194" s="56">
        <v>32.0</v>
      </c>
      <c r="J194" s="56">
        <v>15.0</v>
      </c>
      <c r="K194" s="56">
        <v>60.0</v>
      </c>
      <c r="L194" s="57" t="s">
        <v>1612</v>
      </c>
    </row>
    <row r="195" ht="15.75" customHeight="1">
      <c r="A195" s="56" t="s">
        <v>1017</v>
      </c>
      <c r="B195" s="56" t="s">
        <v>1633</v>
      </c>
      <c r="C195" s="56" t="s">
        <v>1610</v>
      </c>
      <c r="D195" s="56">
        <v>6.0</v>
      </c>
      <c r="E195" s="56">
        <v>12.0</v>
      </c>
      <c r="F195" s="56">
        <v>2.2</v>
      </c>
      <c r="G195" s="56">
        <v>2.7</v>
      </c>
      <c r="H195" s="56" t="s">
        <v>1611</v>
      </c>
      <c r="I195" s="56">
        <v>32.0</v>
      </c>
      <c r="J195" s="56">
        <v>15.0</v>
      </c>
      <c r="K195" s="56">
        <v>95.0</v>
      </c>
      <c r="L195" s="57" t="s">
        <v>1612</v>
      </c>
    </row>
    <row r="196" ht="15.75" customHeight="1">
      <c r="A196" s="56" t="s">
        <v>1017</v>
      </c>
      <c r="B196" s="56" t="s">
        <v>1634</v>
      </c>
      <c r="C196" s="56" t="s">
        <v>1626</v>
      </c>
      <c r="D196" s="56">
        <v>6.0</v>
      </c>
      <c r="E196" s="56">
        <v>12.0</v>
      </c>
      <c r="F196" s="56">
        <v>2.5</v>
      </c>
      <c r="G196" s="56"/>
      <c r="H196" s="56" t="s">
        <v>1611</v>
      </c>
      <c r="I196" s="56">
        <v>22.0</v>
      </c>
      <c r="J196" s="56">
        <v>15.0</v>
      </c>
      <c r="K196" s="56">
        <v>80.0</v>
      </c>
      <c r="L196" s="57" t="s">
        <v>1619</v>
      </c>
    </row>
    <row r="197" ht="15.75" customHeight="1">
      <c r="A197" s="56" t="s">
        <v>1017</v>
      </c>
      <c r="B197" s="56" t="s">
        <v>1635</v>
      </c>
      <c r="C197" s="56" t="s">
        <v>1610</v>
      </c>
      <c r="D197" s="56">
        <v>6.0</v>
      </c>
      <c r="E197" s="56">
        <v>12.0</v>
      </c>
      <c r="F197" s="56">
        <v>2.0</v>
      </c>
      <c r="G197" s="56">
        <v>2.5</v>
      </c>
      <c r="H197" s="56" t="s">
        <v>1611</v>
      </c>
      <c r="I197" s="56">
        <v>32.0</v>
      </c>
      <c r="J197" s="56">
        <v>15.0</v>
      </c>
      <c r="K197" s="56">
        <v>60.0</v>
      </c>
      <c r="L197" s="57" t="s">
        <v>1612</v>
      </c>
    </row>
    <row r="198" ht="15.75" customHeight="1">
      <c r="A198" s="56" t="s">
        <v>1017</v>
      </c>
      <c r="B198" s="56" t="s">
        <v>1636</v>
      </c>
      <c r="C198" s="56" t="s">
        <v>1610</v>
      </c>
      <c r="D198" s="56">
        <v>6.0</v>
      </c>
      <c r="E198" s="56">
        <v>12.0</v>
      </c>
      <c r="F198" s="56">
        <v>2.4</v>
      </c>
      <c r="G198" s="56">
        <v>2.9</v>
      </c>
      <c r="H198" s="56" t="s">
        <v>1611</v>
      </c>
      <c r="I198" s="56">
        <v>32.0</v>
      </c>
      <c r="J198" s="56">
        <v>15.0</v>
      </c>
      <c r="K198" s="56">
        <v>95.0</v>
      </c>
      <c r="L198" s="57" t="s">
        <v>1612</v>
      </c>
    </row>
    <row r="199" ht="15.75" customHeight="1">
      <c r="A199" s="56" t="s">
        <v>1017</v>
      </c>
      <c r="B199" s="56" t="s">
        <v>1637</v>
      </c>
      <c r="C199" s="56" t="s">
        <v>1626</v>
      </c>
      <c r="D199" s="56">
        <v>8.0</v>
      </c>
      <c r="E199" s="56">
        <v>16.0</v>
      </c>
      <c r="F199" s="56">
        <v>1.9</v>
      </c>
      <c r="G199" s="56"/>
      <c r="H199" s="56" t="s">
        <v>1611</v>
      </c>
      <c r="I199" s="56">
        <v>22.0</v>
      </c>
      <c r="J199" s="56">
        <v>20.0</v>
      </c>
      <c r="K199" s="56">
        <v>95.0</v>
      </c>
      <c r="L199" s="57" t="s">
        <v>1619</v>
      </c>
    </row>
    <row r="200" ht="15.75" customHeight="1">
      <c r="A200" s="56" t="s">
        <v>1017</v>
      </c>
      <c r="B200" s="56" t="s">
        <v>1638</v>
      </c>
      <c r="C200" s="56" t="s">
        <v>1610</v>
      </c>
      <c r="D200" s="56">
        <v>8.0</v>
      </c>
      <c r="E200" s="56">
        <v>16.0</v>
      </c>
      <c r="F200" s="56">
        <v>1.8</v>
      </c>
      <c r="G200" s="56">
        <v>2.1</v>
      </c>
      <c r="H200" s="56" t="s">
        <v>1611</v>
      </c>
      <c r="I200" s="56">
        <v>32.0</v>
      </c>
      <c r="J200" s="56">
        <v>20.0</v>
      </c>
      <c r="K200" s="56">
        <v>70.0</v>
      </c>
      <c r="L200" s="57" t="s">
        <v>1612</v>
      </c>
    </row>
    <row r="201" ht="15.75" customHeight="1">
      <c r="A201" s="56" t="s">
        <v>1017</v>
      </c>
      <c r="B201" s="56" t="s">
        <v>1639</v>
      </c>
      <c r="C201" s="56" t="s">
        <v>1610</v>
      </c>
      <c r="D201" s="56">
        <v>8.0</v>
      </c>
      <c r="E201" s="56">
        <v>16.0</v>
      </c>
      <c r="F201" s="56">
        <v>2.1</v>
      </c>
      <c r="G201" s="56">
        <v>2.9</v>
      </c>
      <c r="H201" s="56" t="s">
        <v>1611</v>
      </c>
      <c r="I201" s="56">
        <v>32.0</v>
      </c>
      <c r="J201" s="56">
        <v>20.0</v>
      </c>
      <c r="K201" s="56">
        <v>95.0</v>
      </c>
      <c r="L201" s="57" t="s">
        <v>1612</v>
      </c>
    </row>
    <row r="202" ht="15.75" customHeight="1">
      <c r="A202" s="56" t="s">
        <v>1017</v>
      </c>
      <c r="B202" s="56" t="s">
        <v>1640</v>
      </c>
      <c r="C202" s="56" t="s">
        <v>1626</v>
      </c>
      <c r="D202" s="56">
        <v>8.0</v>
      </c>
      <c r="E202" s="56">
        <v>16.0</v>
      </c>
      <c r="F202" s="56">
        <v>2.5</v>
      </c>
      <c r="G202" s="56"/>
      <c r="H202" s="56" t="s">
        <v>1611</v>
      </c>
      <c r="I202" s="56">
        <v>22.0</v>
      </c>
      <c r="J202" s="56">
        <v>20.0</v>
      </c>
      <c r="K202" s="56">
        <v>95.0</v>
      </c>
      <c r="L202" s="57" t="s">
        <v>1619</v>
      </c>
    </row>
    <row r="203" ht="15.75" customHeight="1">
      <c r="A203" s="56" t="s">
        <v>1017</v>
      </c>
      <c r="B203" s="56" t="s">
        <v>1641</v>
      </c>
      <c r="C203" s="56" t="s">
        <v>1610</v>
      </c>
      <c r="D203" s="56">
        <v>8.0</v>
      </c>
      <c r="E203" s="56">
        <v>16.0</v>
      </c>
      <c r="F203" s="56">
        <v>1.8</v>
      </c>
      <c r="G203" s="56">
        <v>2.3</v>
      </c>
      <c r="H203" s="56" t="s">
        <v>1611</v>
      </c>
      <c r="I203" s="56">
        <v>32.0</v>
      </c>
      <c r="J203" s="56">
        <v>20.0</v>
      </c>
      <c r="K203" s="56">
        <v>70.0</v>
      </c>
      <c r="L203" s="57" t="s">
        <v>1612</v>
      </c>
    </row>
    <row r="204" ht="15.75" customHeight="1">
      <c r="A204" s="56" t="s">
        <v>1017</v>
      </c>
      <c r="B204" s="56" t="s">
        <v>1642</v>
      </c>
      <c r="C204" s="56" t="s">
        <v>1610</v>
      </c>
      <c r="D204" s="56">
        <v>8.0</v>
      </c>
      <c r="E204" s="56">
        <v>16.0</v>
      </c>
      <c r="F204" s="56">
        <v>2.3</v>
      </c>
      <c r="G204" s="56">
        <v>3.1</v>
      </c>
      <c r="H204" s="56" t="s">
        <v>1611</v>
      </c>
      <c r="I204" s="56">
        <v>32.0</v>
      </c>
      <c r="J204" s="56">
        <v>20.0</v>
      </c>
      <c r="K204" s="56">
        <v>95.0</v>
      </c>
      <c r="L204" s="57" t="s">
        <v>1612</v>
      </c>
    </row>
    <row r="205" ht="15.75" customHeight="1">
      <c r="A205" s="56" t="s">
        <v>1017</v>
      </c>
      <c r="B205" s="56" t="s">
        <v>1643</v>
      </c>
      <c r="C205" s="56" t="s">
        <v>1626</v>
      </c>
      <c r="D205" s="56">
        <v>10.0</v>
      </c>
      <c r="E205" s="56">
        <v>20.0</v>
      </c>
      <c r="F205" s="56">
        <v>2.4</v>
      </c>
      <c r="G205" s="56"/>
      <c r="H205" s="56" t="s">
        <v>1611</v>
      </c>
      <c r="I205" s="56">
        <v>22.0</v>
      </c>
      <c r="J205" s="56">
        <v>25.0</v>
      </c>
      <c r="K205" s="56">
        <v>95.0</v>
      </c>
      <c r="L205" s="57" t="s">
        <v>1619</v>
      </c>
    </row>
    <row r="206" ht="15.75" customHeight="1">
      <c r="A206" s="56" t="s">
        <v>1017</v>
      </c>
      <c r="B206" s="56" t="s">
        <v>1644</v>
      </c>
      <c r="C206" s="56" t="s">
        <v>1645</v>
      </c>
      <c r="D206" s="56">
        <v>4.0</v>
      </c>
      <c r="E206" s="56">
        <v>4.0</v>
      </c>
      <c r="F206" s="56">
        <v>1.8</v>
      </c>
      <c r="G206" s="56"/>
      <c r="H206" s="56" t="s">
        <v>1579</v>
      </c>
      <c r="I206" s="56">
        <v>32.0</v>
      </c>
      <c r="J206" s="56">
        <v>10.0</v>
      </c>
      <c r="K206" s="56">
        <v>80.0</v>
      </c>
      <c r="L206" s="57" t="s">
        <v>1616</v>
      </c>
    </row>
    <row r="207" ht="15.75" customHeight="1">
      <c r="A207" s="56" t="s">
        <v>1017</v>
      </c>
      <c r="B207" s="56" t="s">
        <v>1646</v>
      </c>
      <c r="C207" s="56" t="s">
        <v>1608</v>
      </c>
      <c r="D207" s="56">
        <v>4.0</v>
      </c>
      <c r="E207" s="56">
        <v>4.0</v>
      </c>
      <c r="F207" s="56">
        <v>1.8</v>
      </c>
      <c r="G207" s="56"/>
      <c r="H207" s="56" t="s">
        <v>1579</v>
      </c>
      <c r="I207" s="56">
        <v>22.0</v>
      </c>
      <c r="J207" s="56">
        <v>10.0</v>
      </c>
      <c r="K207" s="56">
        <v>80.0</v>
      </c>
      <c r="L207" s="57" t="s">
        <v>1619</v>
      </c>
    </row>
    <row r="208" ht="15.75" customHeight="1">
      <c r="A208" s="56" t="s">
        <v>1017</v>
      </c>
      <c r="B208" s="56" t="s">
        <v>1647</v>
      </c>
      <c r="C208" s="56" t="s">
        <v>1645</v>
      </c>
      <c r="D208" s="56">
        <v>4.0</v>
      </c>
      <c r="E208" s="56">
        <v>4.0</v>
      </c>
      <c r="F208" s="56">
        <v>2.4</v>
      </c>
      <c r="G208" s="56"/>
      <c r="H208" s="56" t="s">
        <v>1579</v>
      </c>
      <c r="I208" s="56">
        <v>32.0</v>
      </c>
      <c r="J208" s="56">
        <v>10.0</v>
      </c>
      <c r="K208" s="56">
        <v>80.0</v>
      </c>
      <c r="L208" s="57" t="s">
        <v>1616</v>
      </c>
    </row>
    <row r="209" ht="15.75" customHeight="1">
      <c r="A209" s="56" t="s">
        <v>1017</v>
      </c>
      <c r="B209" s="56" t="s">
        <v>1648</v>
      </c>
      <c r="C209" s="56" t="s">
        <v>1608</v>
      </c>
      <c r="D209" s="56">
        <v>4.0</v>
      </c>
      <c r="E209" s="56">
        <v>4.0</v>
      </c>
      <c r="F209" s="56">
        <v>2.5</v>
      </c>
      <c r="G209" s="56"/>
      <c r="H209" s="56" t="s">
        <v>1579</v>
      </c>
      <c r="I209" s="56">
        <v>22.0</v>
      </c>
      <c r="J209" s="56">
        <v>10.0</v>
      </c>
      <c r="K209" s="56">
        <v>80.0</v>
      </c>
      <c r="L209" s="57" t="s">
        <v>1619</v>
      </c>
    </row>
    <row r="210" ht="15.75" customHeight="1">
      <c r="A210" s="56" t="s">
        <v>1017</v>
      </c>
      <c r="B210" s="56" t="s">
        <v>1649</v>
      </c>
      <c r="C210" s="56" t="s">
        <v>1645</v>
      </c>
      <c r="D210" s="56">
        <v>6.0</v>
      </c>
      <c r="E210" s="56">
        <v>12.0</v>
      </c>
      <c r="F210" s="56">
        <v>2.0</v>
      </c>
      <c r="G210" s="56">
        <v>2.5</v>
      </c>
      <c r="H210" s="56" t="s">
        <v>1579</v>
      </c>
      <c r="I210" s="56">
        <v>32.0</v>
      </c>
      <c r="J210" s="56">
        <v>15.0</v>
      </c>
      <c r="K210" s="56">
        <v>95.0</v>
      </c>
      <c r="L210" s="57" t="s">
        <v>1616</v>
      </c>
    </row>
    <row r="211" ht="15.75" customHeight="1">
      <c r="A211" s="56" t="s">
        <v>1017</v>
      </c>
      <c r="B211" s="56" t="s">
        <v>1650</v>
      </c>
      <c r="C211" s="56" t="s">
        <v>1608</v>
      </c>
      <c r="D211" s="56">
        <v>6.0</v>
      </c>
      <c r="E211" s="56">
        <v>12.0</v>
      </c>
      <c r="F211" s="56">
        <v>2.1</v>
      </c>
      <c r="G211" s="56"/>
      <c r="H211" s="56" t="s">
        <v>1579</v>
      </c>
      <c r="I211" s="56">
        <v>22.0</v>
      </c>
      <c r="J211" s="56">
        <v>15.0</v>
      </c>
      <c r="K211" s="56">
        <v>80.0</v>
      </c>
      <c r="L211" s="57" t="s">
        <v>1619</v>
      </c>
    </row>
    <row r="212" ht="15.75" customHeight="1">
      <c r="A212" s="56" t="s">
        <v>1017</v>
      </c>
      <c r="B212" s="56" t="s">
        <v>1651</v>
      </c>
      <c r="C212" s="56" t="s">
        <v>1645</v>
      </c>
      <c r="D212" s="56">
        <v>6.0</v>
      </c>
      <c r="E212" s="56">
        <v>12.0</v>
      </c>
      <c r="F212" s="56">
        <v>2.3</v>
      </c>
      <c r="G212" s="56">
        <v>2.8</v>
      </c>
      <c r="H212" s="56" t="s">
        <v>1579</v>
      </c>
      <c r="I212" s="56">
        <v>32.0</v>
      </c>
      <c r="J212" s="56">
        <v>15.0</v>
      </c>
      <c r="K212" s="56">
        <v>95.0</v>
      </c>
      <c r="L212" s="57" t="s">
        <v>1616</v>
      </c>
    </row>
    <row r="213" ht="15.75" customHeight="1">
      <c r="A213" s="56" t="s">
        <v>1017</v>
      </c>
      <c r="B213" s="56" t="s">
        <v>1652</v>
      </c>
      <c r="C213" s="56" t="s">
        <v>1608</v>
      </c>
      <c r="D213" s="56">
        <v>6.0</v>
      </c>
      <c r="E213" s="56">
        <v>12.0</v>
      </c>
      <c r="F213" s="56">
        <v>2.6</v>
      </c>
      <c r="G213" s="56"/>
      <c r="H213" s="56" t="s">
        <v>1579</v>
      </c>
      <c r="I213" s="56">
        <v>22.0</v>
      </c>
      <c r="J213" s="56">
        <v>15.0</v>
      </c>
      <c r="K213" s="56">
        <v>80.0</v>
      </c>
      <c r="L213" s="57" t="s">
        <v>1619</v>
      </c>
    </row>
    <row r="214" ht="15.75" customHeight="1">
      <c r="A214" s="56" t="s">
        <v>1017</v>
      </c>
      <c r="B214" s="56" t="s">
        <v>1653</v>
      </c>
      <c r="C214" s="56" t="s">
        <v>1645</v>
      </c>
      <c r="D214" s="56">
        <v>6.0</v>
      </c>
      <c r="E214" s="56">
        <v>12.0</v>
      </c>
      <c r="F214" s="56">
        <v>2.0</v>
      </c>
      <c r="G214" s="56">
        <v>2.5</v>
      </c>
      <c r="H214" s="56" t="s">
        <v>1579</v>
      </c>
      <c r="I214" s="56">
        <v>32.0</v>
      </c>
      <c r="J214" s="56">
        <v>15.0</v>
      </c>
      <c r="K214" s="56">
        <v>60.0</v>
      </c>
      <c r="L214" s="57" t="s">
        <v>1616</v>
      </c>
    </row>
    <row r="215" ht="15.75" customHeight="1">
      <c r="A215" s="56" t="s">
        <v>1017</v>
      </c>
      <c r="B215" s="56" t="s">
        <v>1654</v>
      </c>
      <c r="C215" s="56" t="s">
        <v>1608</v>
      </c>
      <c r="D215" s="56">
        <v>6.0</v>
      </c>
      <c r="E215" s="56">
        <v>12.0</v>
      </c>
      <c r="F215" s="56">
        <v>2.4</v>
      </c>
      <c r="G215" s="56"/>
      <c r="H215" s="56" t="s">
        <v>1579</v>
      </c>
      <c r="I215" s="56">
        <v>22.0</v>
      </c>
      <c r="J215" s="56">
        <v>15.0</v>
      </c>
      <c r="K215" s="56">
        <v>60.0</v>
      </c>
      <c r="L215" s="57" t="s">
        <v>1619</v>
      </c>
    </row>
    <row r="216" ht="15.75" customHeight="1">
      <c r="A216" s="56" t="s">
        <v>1017</v>
      </c>
      <c r="B216" s="56" t="s">
        <v>1655</v>
      </c>
      <c r="C216" s="56" t="s">
        <v>1645</v>
      </c>
      <c r="D216" s="56">
        <v>2.0</v>
      </c>
      <c r="E216" s="56">
        <v>4.0</v>
      </c>
      <c r="F216" s="56">
        <v>3.0</v>
      </c>
      <c r="G216" s="56">
        <v>3.5</v>
      </c>
      <c r="H216" s="56" t="s">
        <v>1579</v>
      </c>
      <c r="I216" s="56">
        <v>32.0</v>
      </c>
      <c r="J216" s="56">
        <v>5.0</v>
      </c>
      <c r="K216" s="56">
        <v>80.0</v>
      </c>
      <c r="L216" s="57" t="s">
        <v>1616</v>
      </c>
    </row>
    <row r="217" ht="15.75" customHeight="1">
      <c r="A217" s="56" t="s">
        <v>1017</v>
      </c>
      <c r="B217" s="56" t="s">
        <v>1656</v>
      </c>
      <c r="C217" s="56" t="s">
        <v>1608</v>
      </c>
      <c r="D217" s="56">
        <v>4.0</v>
      </c>
      <c r="E217" s="56">
        <v>8.0</v>
      </c>
      <c r="F217" s="56">
        <v>3.5</v>
      </c>
      <c r="G217" s="56"/>
      <c r="H217" s="56" t="s">
        <v>1579</v>
      </c>
      <c r="I217" s="56">
        <v>22.0</v>
      </c>
      <c r="J217" s="56">
        <v>10.0</v>
      </c>
      <c r="K217" s="56">
        <v>130.0</v>
      </c>
      <c r="L217" s="57" t="s">
        <v>1619</v>
      </c>
    </row>
    <row r="218" ht="15.75" customHeight="1">
      <c r="A218" s="56" t="s">
        <v>1017</v>
      </c>
      <c r="B218" s="56" t="s">
        <v>1657</v>
      </c>
      <c r="C218" s="56" t="s">
        <v>1645</v>
      </c>
      <c r="D218" s="56">
        <v>6.0</v>
      </c>
      <c r="E218" s="56">
        <v>12.0</v>
      </c>
      <c r="F218" s="56">
        <v>2.5</v>
      </c>
      <c r="G218" s="56">
        <v>3.0</v>
      </c>
      <c r="H218" s="56" t="s">
        <v>1579</v>
      </c>
      <c r="I218" s="56">
        <v>32.0</v>
      </c>
      <c r="J218" s="56">
        <v>15.0</v>
      </c>
      <c r="K218" s="56">
        <v>95.0</v>
      </c>
      <c r="L218" s="57" t="s">
        <v>1616</v>
      </c>
    </row>
    <row r="219" ht="15.75" customHeight="1">
      <c r="A219" s="56" t="s">
        <v>1017</v>
      </c>
      <c r="B219" s="56" t="s">
        <v>1658</v>
      </c>
      <c r="C219" s="56" t="s">
        <v>1608</v>
      </c>
      <c r="D219" s="56">
        <v>8.0</v>
      </c>
      <c r="E219" s="56">
        <v>16.0</v>
      </c>
      <c r="F219" s="56">
        <v>2.0</v>
      </c>
      <c r="G219" s="56"/>
      <c r="H219" s="56" t="s">
        <v>1579</v>
      </c>
      <c r="I219" s="56">
        <v>22.0</v>
      </c>
      <c r="J219" s="56">
        <v>20.0</v>
      </c>
      <c r="K219" s="56">
        <v>95.0</v>
      </c>
      <c r="L219" s="57" t="s">
        <v>1619</v>
      </c>
    </row>
    <row r="220" ht="15.75" customHeight="1">
      <c r="A220" s="56" t="s">
        <v>1017</v>
      </c>
      <c r="B220" s="56" t="s">
        <v>1659</v>
      </c>
      <c r="C220" s="56" t="s">
        <v>1645</v>
      </c>
      <c r="D220" s="56">
        <v>4.0</v>
      </c>
      <c r="E220" s="56">
        <v>8.0</v>
      </c>
      <c r="F220" s="56">
        <v>3.3</v>
      </c>
      <c r="G220" s="56">
        <v>3.5</v>
      </c>
      <c r="H220" s="56" t="s">
        <v>1579</v>
      </c>
      <c r="I220" s="56">
        <v>32.0</v>
      </c>
      <c r="J220" s="56">
        <v>10.0</v>
      </c>
      <c r="K220" s="56">
        <v>130.0</v>
      </c>
      <c r="L220" s="57" t="s">
        <v>1616</v>
      </c>
    </row>
    <row r="221" ht="15.75" customHeight="1">
      <c r="A221" s="56" t="s">
        <v>1017</v>
      </c>
      <c r="B221" s="56" t="s">
        <v>1660</v>
      </c>
      <c r="C221" s="56" t="s">
        <v>1608</v>
      </c>
      <c r="D221" s="56">
        <v>6.0</v>
      </c>
      <c r="E221" s="56">
        <v>12.0</v>
      </c>
      <c r="F221" s="56">
        <v>3.5</v>
      </c>
      <c r="G221" s="56"/>
      <c r="H221" s="56" t="s">
        <v>1579</v>
      </c>
      <c r="I221" s="56">
        <v>22.0</v>
      </c>
      <c r="J221" s="56">
        <v>15.0</v>
      </c>
      <c r="K221" s="56">
        <v>130.0</v>
      </c>
      <c r="L221" s="57" t="s">
        <v>1619</v>
      </c>
    </row>
    <row r="222" ht="15.75" customHeight="1">
      <c r="A222" s="56" t="s">
        <v>1017</v>
      </c>
      <c r="B222" s="56" t="s">
        <v>1661</v>
      </c>
      <c r="C222" s="56" t="s">
        <v>1645</v>
      </c>
      <c r="D222" s="56">
        <v>8.0</v>
      </c>
      <c r="E222" s="56">
        <v>16.0</v>
      </c>
      <c r="F222" s="56">
        <v>1.8</v>
      </c>
      <c r="G222" s="56">
        <v>2.3</v>
      </c>
      <c r="H222" s="56" t="s">
        <v>1579</v>
      </c>
      <c r="I222" s="56">
        <v>32.0</v>
      </c>
      <c r="J222" s="56">
        <v>20.0</v>
      </c>
      <c r="K222" s="56">
        <v>70.0</v>
      </c>
      <c r="L222" s="57" t="s">
        <v>1616</v>
      </c>
    </row>
    <row r="223" ht="15.75" customHeight="1">
      <c r="A223" s="56" t="s">
        <v>1017</v>
      </c>
      <c r="B223" s="56" t="s">
        <v>376</v>
      </c>
      <c r="C223" s="56" t="s">
        <v>1645</v>
      </c>
      <c r="D223" s="56">
        <v>8.0</v>
      </c>
      <c r="E223" s="56">
        <v>16.0</v>
      </c>
      <c r="F223" s="56">
        <v>2.0</v>
      </c>
      <c r="G223" s="56">
        <v>2.8</v>
      </c>
      <c r="H223" s="56" t="s">
        <v>1579</v>
      </c>
      <c r="I223" s="56">
        <v>32.0</v>
      </c>
      <c r="J223" s="56">
        <v>20.0</v>
      </c>
      <c r="K223" s="56">
        <v>95.0</v>
      </c>
      <c r="L223" s="57" t="s">
        <v>1616</v>
      </c>
    </row>
    <row r="224" ht="15.75" customHeight="1">
      <c r="A224" s="56" t="s">
        <v>1017</v>
      </c>
      <c r="B224" s="56" t="s">
        <v>1662</v>
      </c>
      <c r="C224" s="56" t="s">
        <v>1608</v>
      </c>
      <c r="D224" s="56">
        <v>8.0</v>
      </c>
      <c r="E224" s="56">
        <v>16.0</v>
      </c>
      <c r="F224" s="56">
        <v>2.6</v>
      </c>
      <c r="G224" s="56">
        <v>3.4</v>
      </c>
      <c r="H224" s="56" t="s">
        <v>1579</v>
      </c>
      <c r="I224" s="56">
        <v>22.0</v>
      </c>
      <c r="J224" s="56">
        <v>20.0</v>
      </c>
      <c r="K224" s="56">
        <v>95.0</v>
      </c>
      <c r="L224" s="57" t="s">
        <v>1619</v>
      </c>
    </row>
    <row r="225" ht="15.75" customHeight="1">
      <c r="A225" s="56" t="s">
        <v>1017</v>
      </c>
      <c r="B225" s="56" t="s">
        <v>1663</v>
      </c>
      <c r="C225" s="56" t="s">
        <v>1645</v>
      </c>
      <c r="D225" s="56">
        <v>8.0</v>
      </c>
      <c r="E225" s="56">
        <v>16.0</v>
      </c>
      <c r="F225" s="56">
        <v>1.8</v>
      </c>
      <c r="G225" s="56">
        <v>2.3</v>
      </c>
      <c r="H225" s="56" t="s">
        <v>1579</v>
      </c>
      <c r="I225" s="56">
        <v>32.0</v>
      </c>
      <c r="J225" s="56">
        <v>20.0</v>
      </c>
      <c r="K225" s="56">
        <v>70.0</v>
      </c>
      <c r="L225" s="57" t="s">
        <v>1616</v>
      </c>
    </row>
    <row r="226" ht="15.75" customHeight="1">
      <c r="A226" s="56" t="s">
        <v>1017</v>
      </c>
      <c r="B226" s="56" t="s">
        <v>1664</v>
      </c>
      <c r="C226" s="56" t="s">
        <v>1608</v>
      </c>
      <c r="D226" s="56">
        <v>10.0</v>
      </c>
      <c r="E226" s="56">
        <v>20.0</v>
      </c>
      <c r="F226" s="56">
        <v>1.7</v>
      </c>
      <c r="G226" s="56"/>
      <c r="H226" s="56" t="s">
        <v>1579</v>
      </c>
      <c r="I226" s="56">
        <v>22.0</v>
      </c>
      <c r="J226" s="56">
        <v>25.0</v>
      </c>
      <c r="K226" s="56">
        <v>70.0</v>
      </c>
      <c r="L226" s="57" t="s">
        <v>1619</v>
      </c>
    </row>
    <row r="227" ht="15.75" customHeight="1">
      <c r="A227" s="56" t="s">
        <v>1017</v>
      </c>
      <c r="B227" s="56" t="s">
        <v>1665</v>
      </c>
      <c r="C227" s="56" t="s">
        <v>1645</v>
      </c>
      <c r="D227" s="56">
        <v>8.0</v>
      </c>
      <c r="E227" s="56">
        <v>16.0</v>
      </c>
      <c r="F227" s="56">
        <v>2.1</v>
      </c>
      <c r="G227" s="56">
        <v>2.4</v>
      </c>
      <c r="H227" s="56" t="s">
        <v>1579</v>
      </c>
      <c r="I227" s="56">
        <v>32.0</v>
      </c>
      <c r="J227" s="56">
        <v>20.0</v>
      </c>
      <c r="K227" s="56">
        <v>95.0</v>
      </c>
      <c r="L227" s="57" t="s">
        <v>1616</v>
      </c>
    </row>
    <row r="228" ht="15.75" customHeight="1">
      <c r="A228" s="56" t="s">
        <v>1017</v>
      </c>
      <c r="B228" s="56" t="s">
        <v>1049</v>
      </c>
      <c r="C228" s="56" t="s">
        <v>1645</v>
      </c>
      <c r="D228" s="56">
        <v>8.0</v>
      </c>
      <c r="E228" s="56">
        <v>16.0</v>
      </c>
      <c r="F228" s="56">
        <v>2.2</v>
      </c>
      <c r="G228" s="56">
        <v>3.0</v>
      </c>
      <c r="H228" s="56" t="s">
        <v>1579</v>
      </c>
      <c r="I228" s="56">
        <v>32.0</v>
      </c>
      <c r="J228" s="56">
        <v>20.0</v>
      </c>
      <c r="K228" s="56">
        <v>95.0</v>
      </c>
      <c r="L228" s="57" t="s">
        <v>1616</v>
      </c>
    </row>
    <row r="229" ht="15.75" customHeight="1">
      <c r="A229" s="56" t="s">
        <v>1017</v>
      </c>
      <c r="B229" s="56" t="s">
        <v>1666</v>
      </c>
      <c r="C229" s="56" t="s">
        <v>1608</v>
      </c>
      <c r="D229" s="56">
        <v>10.0</v>
      </c>
      <c r="E229" s="56">
        <v>20.0</v>
      </c>
      <c r="F229" s="56">
        <v>2.2</v>
      </c>
      <c r="G229" s="56">
        <v>3.0</v>
      </c>
      <c r="H229" s="56" t="s">
        <v>1579</v>
      </c>
      <c r="I229" s="56">
        <v>22.0</v>
      </c>
      <c r="J229" s="56">
        <v>25.0</v>
      </c>
      <c r="K229" s="56">
        <v>95.0</v>
      </c>
      <c r="L229" s="57" t="s">
        <v>1619</v>
      </c>
    </row>
    <row r="230" ht="15.75" customHeight="1">
      <c r="A230" s="56" t="s">
        <v>1017</v>
      </c>
      <c r="B230" s="56" t="s">
        <v>387</v>
      </c>
      <c r="C230" s="56" t="s">
        <v>1645</v>
      </c>
      <c r="D230" s="56">
        <v>8.0</v>
      </c>
      <c r="E230" s="56">
        <v>16.0</v>
      </c>
      <c r="F230" s="56">
        <v>2.4</v>
      </c>
      <c r="G230" s="56">
        <v>3.1</v>
      </c>
      <c r="H230" s="56" t="s">
        <v>1579</v>
      </c>
      <c r="I230" s="56">
        <v>32.0</v>
      </c>
      <c r="J230" s="56">
        <v>20.0</v>
      </c>
      <c r="K230" s="56">
        <v>115.0</v>
      </c>
      <c r="L230" s="57" t="s">
        <v>1616</v>
      </c>
    </row>
    <row r="231" ht="15.75" customHeight="1">
      <c r="A231" s="56" t="s">
        <v>1017</v>
      </c>
      <c r="B231" s="56" t="s">
        <v>1667</v>
      </c>
      <c r="C231" s="56" t="s">
        <v>1645</v>
      </c>
      <c r="D231" s="56">
        <v>6.0</v>
      </c>
      <c r="E231" s="56">
        <v>12.0</v>
      </c>
      <c r="F231" s="56">
        <v>2.9</v>
      </c>
      <c r="G231" s="56">
        <v>3.5</v>
      </c>
      <c r="H231" s="56" t="s">
        <v>1579</v>
      </c>
      <c r="I231" s="56">
        <v>32.0</v>
      </c>
      <c r="J231" s="56">
        <v>15.0</v>
      </c>
      <c r="K231" s="56">
        <v>130.0</v>
      </c>
      <c r="L231" s="57" t="s">
        <v>1616</v>
      </c>
    </row>
    <row r="232" ht="15.75" customHeight="1">
      <c r="A232" s="56" t="s">
        <v>1017</v>
      </c>
      <c r="B232" s="56" t="s">
        <v>1668</v>
      </c>
      <c r="C232" s="56" t="s">
        <v>1608</v>
      </c>
      <c r="D232" s="56">
        <v>8.0</v>
      </c>
      <c r="E232" s="56">
        <v>16.0</v>
      </c>
      <c r="F232" s="56">
        <v>3.3</v>
      </c>
      <c r="G232" s="56"/>
      <c r="H232" s="56" t="s">
        <v>1579</v>
      </c>
      <c r="I232" s="56">
        <v>22.0</v>
      </c>
      <c r="J232" s="56">
        <v>20.0</v>
      </c>
      <c r="K232" s="56">
        <v>130.0</v>
      </c>
      <c r="L232" s="57" t="s">
        <v>1619</v>
      </c>
    </row>
    <row r="233" ht="15.75" customHeight="1">
      <c r="A233" s="56" t="s">
        <v>1017</v>
      </c>
      <c r="B233" s="56" t="s">
        <v>90</v>
      </c>
      <c r="C233" s="56" t="s">
        <v>1645</v>
      </c>
      <c r="D233" s="56">
        <v>8.0</v>
      </c>
      <c r="E233" s="56">
        <v>16.0</v>
      </c>
      <c r="F233" s="56">
        <v>2.6</v>
      </c>
      <c r="G233" s="56">
        <v>3.3</v>
      </c>
      <c r="H233" s="56" t="s">
        <v>1579</v>
      </c>
      <c r="I233" s="56">
        <v>32.0</v>
      </c>
      <c r="J233" s="56">
        <v>20.0</v>
      </c>
      <c r="K233" s="56">
        <v>115.0</v>
      </c>
      <c r="L233" s="57" t="s">
        <v>1616</v>
      </c>
    </row>
    <row r="234" ht="15.75" customHeight="1">
      <c r="A234" s="56" t="s">
        <v>1017</v>
      </c>
      <c r="B234" s="56" t="s">
        <v>259</v>
      </c>
      <c r="C234" s="56" t="s">
        <v>1608</v>
      </c>
      <c r="D234" s="56">
        <v>10.0</v>
      </c>
      <c r="E234" s="56">
        <v>20.0</v>
      </c>
      <c r="F234" s="56">
        <v>2.5</v>
      </c>
      <c r="G234" s="56">
        <v>3.3</v>
      </c>
      <c r="H234" s="56" t="s">
        <v>1579</v>
      </c>
      <c r="I234" s="56">
        <v>22.0</v>
      </c>
      <c r="J234" s="56">
        <v>25.0</v>
      </c>
      <c r="K234" s="56">
        <v>115.0</v>
      </c>
      <c r="L234" s="57" t="s">
        <v>1619</v>
      </c>
    </row>
    <row r="235" ht="15.75" customHeight="1">
      <c r="A235" s="56" t="s">
        <v>1017</v>
      </c>
      <c r="B235" s="56" t="s">
        <v>1669</v>
      </c>
      <c r="C235" s="56" t="s">
        <v>1645</v>
      </c>
      <c r="D235" s="56">
        <v>8.0</v>
      </c>
      <c r="E235" s="56">
        <v>16.0</v>
      </c>
      <c r="F235" s="56">
        <v>2.7</v>
      </c>
      <c r="G235" s="56">
        <v>3.5</v>
      </c>
      <c r="H235" s="56" t="s">
        <v>1579</v>
      </c>
      <c r="I235" s="56">
        <v>32.0</v>
      </c>
      <c r="J235" s="56">
        <v>20.0</v>
      </c>
      <c r="K235" s="56">
        <v>130.0</v>
      </c>
      <c r="L235" s="57" t="s">
        <v>1616</v>
      </c>
    </row>
    <row r="236" ht="15.75" customHeight="1">
      <c r="A236" s="56" t="s">
        <v>1017</v>
      </c>
      <c r="B236" s="56" t="s">
        <v>99</v>
      </c>
      <c r="C236" s="56" t="s">
        <v>1608</v>
      </c>
      <c r="D236" s="56">
        <v>10.0</v>
      </c>
      <c r="E236" s="56">
        <v>20.0</v>
      </c>
      <c r="F236" s="56">
        <v>2.8</v>
      </c>
      <c r="G236" s="56">
        <v>3.6</v>
      </c>
      <c r="H236" s="56" t="s">
        <v>1579</v>
      </c>
      <c r="I236" s="56">
        <v>22.0</v>
      </c>
      <c r="J236" s="56">
        <v>25.0</v>
      </c>
      <c r="K236" s="56">
        <v>115.0</v>
      </c>
      <c r="L236" s="57" t="s">
        <v>1619</v>
      </c>
    </row>
    <row r="237" ht="15.75" customHeight="1">
      <c r="A237" s="56" t="s">
        <v>1017</v>
      </c>
      <c r="B237" s="56" t="s">
        <v>1670</v>
      </c>
      <c r="C237" s="56" t="s">
        <v>1645</v>
      </c>
      <c r="D237" s="56">
        <v>8.0</v>
      </c>
      <c r="E237" s="56">
        <v>16.0</v>
      </c>
      <c r="F237" s="56">
        <v>3.1</v>
      </c>
      <c r="G237" s="56">
        <v>3.8</v>
      </c>
      <c r="H237" s="56" t="s">
        <v>1579</v>
      </c>
      <c r="I237" s="56">
        <v>32.0</v>
      </c>
      <c r="J237" s="56">
        <v>20.0</v>
      </c>
      <c r="K237" s="56">
        <v>150.0</v>
      </c>
      <c r="L237" s="57" t="s">
        <v>1616</v>
      </c>
    </row>
    <row r="238" ht="15.75" customHeight="1">
      <c r="A238" s="56" t="s">
        <v>1017</v>
      </c>
      <c r="B238" s="56" t="s">
        <v>1671</v>
      </c>
      <c r="C238" s="56" t="s">
        <v>1608</v>
      </c>
      <c r="D238" s="56">
        <v>8.0</v>
      </c>
      <c r="E238" s="56">
        <v>16.0</v>
      </c>
      <c r="F238" s="56">
        <v>3.4</v>
      </c>
      <c r="G238" s="56">
        <v>4.0</v>
      </c>
      <c r="H238" s="56" t="s">
        <v>1579</v>
      </c>
      <c r="I238" s="56">
        <v>22.0</v>
      </c>
      <c r="J238" s="56">
        <v>20.0</v>
      </c>
      <c r="K238" s="56">
        <v>130.0</v>
      </c>
      <c r="L238" s="57" t="s">
        <v>1619</v>
      </c>
    </row>
    <row r="239" ht="15.75" customHeight="1">
      <c r="A239" s="56" t="s">
        <v>1017</v>
      </c>
      <c r="B239" s="56" t="s">
        <v>1672</v>
      </c>
      <c r="C239" s="56" t="s">
        <v>1645</v>
      </c>
      <c r="D239" s="56">
        <v>8.0</v>
      </c>
      <c r="E239" s="56">
        <v>16.0</v>
      </c>
      <c r="F239" s="56">
        <v>2.9</v>
      </c>
      <c r="G239" s="56">
        <v>3.8</v>
      </c>
      <c r="H239" s="56" t="s">
        <v>1579</v>
      </c>
      <c r="I239" s="56">
        <v>32.0</v>
      </c>
      <c r="J239" s="56">
        <v>20.0</v>
      </c>
      <c r="K239" s="56">
        <v>135.0</v>
      </c>
      <c r="L239" s="57" t="s">
        <v>1616</v>
      </c>
    </row>
    <row r="240" ht="15.75" customHeight="1">
      <c r="A240" s="56" t="s">
        <v>1017</v>
      </c>
      <c r="B240" s="56" t="s">
        <v>1673</v>
      </c>
      <c r="C240" s="56" t="s">
        <v>1608</v>
      </c>
      <c r="D240" s="56">
        <v>10.0</v>
      </c>
      <c r="E240" s="56">
        <v>20.0</v>
      </c>
      <c r="F240" s="56">
        <v>3.0</v>
      </c>
      <c r="G240" s="56">
        <v>3.8</v>
      </c>
      <c r="H240" s="56" t="s">
        <v>1579</v>
      </c>
      <c r="I240" s="56">
        <v>22.0</v>
      </c>
      <c r="J240" s="56">
        <v>25.0</v>
      </c>
      <c r="K240" s="56">
        <v>130.0</v>
      </c>
      <c r="L240" s="57" t="s">
        <v>1619</v>
      </c>
    </row>
    <row r="241" ht="15.75" customHeight="1">
      <c r="A241" s="56" t="s">
        <v>1017</v>
      </c>
      <c r="B241" s="56" t="s">
        <v>1674</v>
      </c>
      <c r="C241" s="56" t="s">
        <v>1608</v>
      </c>
      <c r="D241" s="56">
        <v>12.0</v>
      </c>
      <c r="E241" s="56">
        <v>24.0</v>
      </c>
      <c r="F241" s="56">
        <v>2.2</v>
      </c>
      <c r="G241" s="56">
        <v>3.0</v>
      </c>
      <c r="H241" s="56" t="s">
        <v>1579</v>
      </c>
      <c r="I241" s="56">
        <v>22.0</v>
      </c>
      <c r="J241" s="56">
        <v>30.0</v>
      </c>
      <c r="K241" s="56">
        <v>100.0</v>
      </c>
      <c r="L241" s="57" t="s">
        <v>1619</v>
      </c>
    </row>
    <row r="242" ht="15.75" customHeight="1">
      <c r="A242" s="56" t="s">
        <v>1017</v>
      </c>
      <c r="B242" s="56" t="s">
        <v>1675</v>
      </c>
      <c r="C242" s="56" t="s">
        <v>1608</v>
      </c>
      <c r="D242" s="56">
        <v>12.0</v>
      </c>
      <c r="E242" s="56">
        <v>24.0</v>
      </c>
      <c r="F242" s="56">
        <v>2.4</v>
      </c>
      <c r="G242" s="56">
        <v>3.2</v>
      </c>
      <c r="H242" s="56" t="s">
        <v>1579</v>
      </c>
      <c r="I242" s="56">
        <v>22.0</v>
      </c>
      <c r="J242" s="56">
        <v>30.0</v>
      </c>
      <c r="K242" s="56">
        <v>115.0</v>
      </c>
      <c r="L242" s="57" t="s">
        <v>1619</v>
      </c>
    </row>
    <row r="243" ht="15.75" customHeight="1">
      <c r="A243" s="56" t="s">
        <v>1017</v>
      </c>
      <c r="B243" s="56" t="s">
        <v>1676</v>
      </c>
      <c r="C243" s="56" t="s">
        <v>1608</v>
      </c>
      <c r="D243" s="56">
        <v>12.0</v>
      </c>
      <c r="E243" s="56">
        <v>24.0</v>
      </c>
      <c r="F243" s="56">
        <v>2.7</v>
      </c>
      <c r="G243" s="56">
        <v>3.5</v>
      </c>
      <c r="H243" s="56" t="s">
        <v>1579</v>
      </c>
      <c r="I243" s="56">
        <v>22.0</v>
      </c>
      <c r="J243" s="56">
        <v>30.0</v>
      </c>
      <c r="K243" s="56">
        <v>130.0</v>
      </c>
      <c r="L243" s="57" t="s">
        <v>1619</v>
      </c>
    </row>
    <row r="244" ht="15.75" customHeight="1">
      <c r="A244" s="56" t="s">
        <v>1017</v>
      </c>
      <c r="B244" s="56" t="s">
        <v>1677</v>
      </c>
      <c r="C244" s="56" t="s">
        <v>1645</v>
      </c>
      <c r="D244" s="56">
        <v>4.0</v>
      </c>
      <c r="E244" s="56">
        <v>8.0</v>
      </c>
      <c r="F244" s="56">
        <v>2.0</v>
      </c>
      <c r="G244" s="56"/>
      <c r="H244" s="56" t="s">
        <v>1579</v>
      </c>
      <c r="I244" s="56">
        <v>32.0</v>
      </c>
      <c r="J244" s="56">
        <v>10.0</v>
      </c>
      <c r="K244" s="56">
        <v>95.0</v>
      </c>
      <c r="L244" s="57" t="s">
        <v>1612</v>
      </c>
    </row>
    <row r="245" ht="15.75" customHeight="1">
      <c r="A245" s="56" t="s">
        <v>1017</v>
      </c>
      <c r="B245" s="56" t="s">
        <v>1678</v>
      </c>
      <c r="C245" s="56" t="s">
        <v>1645</v>
      </c>
      <c r="D245" s="56">
        <v>6.0</v>
      </c>
      <c r="E245" s="56">
        <v>12.0</v>
      </c>
      <c r="F245" s="56">
        <v>2.2</v>
      </c>
      <c r="G245" s="56"/>
      <c r="H245" s="56" t="s">
        <v>1579</v>
      </c>
      <c r="I245" s="56">
        <v>32.0</v>
      </c>
      <c r="J245" s="56">
        <v>15.0</v>
      </c>
      <c r="K245" s="56">
        <v>95.0</v>
      </c>
      <c r="L245" s="57" t="s">
        <v>1612</v>
      </c>
    </row>
    <row r="246" ht="15.75" customHeight="1">
      <c r="A246" s="56" t="s">
        <v>1017</v>
      </c>
      <c r="B246" s="56" t="s">
        <v>1679</v>
      </c>
      <c r="C246" s="56" t="s">
        <v>1645</v>
      </c>
      <c r="D246" s="56">
        <v>6.0</v>
      </c>
      <c r="E246" s="56">
        <v>12.0</v>
      </c>
      <c r="F246" s="56">
        <v>2.4</v>
      </c>
      <c r="G246" s="56">
        <v>2.9</v>
      </c>
      <c r="H246" s="56" t="s">
        <v>1579</v>
      </c>
      <c r="I246" s="56">
        <v>32.0</v>
      </c>
      <c r="J246" s="56">
        <v>15.0</v>
      </c>
      <c r="K246" s="56">
        <v>130.0</v>
      </c>
      <c r="L246" s="57" t="s">
        <v>1612</v>
      </c>
    </row>
    <row r="247" ht="15.75" customHeight="1">
      <c r="A247" s="56" t="s">
        <v>1017</v>
      </c>
      <c r="B247" s="56" t="s">
        <v>1680</v>
      </c>
      <c r="C247" s="56" t="s">
        <v>1645</v>
      </c>
      <c r="D247" s="56">
        <v>6.0</v>
      </c>
      <c r="E247" s="56">
        <v>12.0</v>
      </c>
      <c r="F247" s="56">
        <v>2.9</v>
      </c>
      <c r="G247" s="56">
        <v>3.4</v>
      </c>
      <c r="H247" s="56" t="s">
        <v>1579</v>
      </c>
      <c r="I247" s="56">
        <v>32.0</v>
      </c>
      <c r="J247" s="56">
        <v>15.0</v>
      </c>
      <c r="K247" s="56">
        <v>130.0</v>
      </c>
      <c r="L247" s="57" t="s">
        <v>1612</v>
      </c>
    </row>
    <row r="248" ht="15.75" customHeight="1">
      <c r="A248" s="56" t="s">
        <v>1017</v>
      </c>
      <c r="B248" s="56" t="s">
        <v>1681</v>
      </c>
      <c r="C248" s="56" t="s">
        <v>1645</v>
      </c>
      <c r="D248" s="56">
        <v>8.0</v>
      </c>
      <c r="E248" s="56">
        <v>16.0</v>
      </c>
      <c r="F248" s="56">
        <v>2.7</v>
      </c>
      <c r="G248" s="56">
        <v>2.6</v>
      </c>
      <c r="H248" s="56" t="s">
        <v>1579</v>
      </c>
      <c r="I248" s="56">
        <v>32.0</v>
      </c>
      <c r="J248" s="56">
        <v>16.0</v>
      </c>
      <c r="K248" s="56">
        <v>130.0</v>
      </c>
      <c r="L248" s="57" t="s">
        <v>1612</v>
      </c>
    </row>
    <row r="249" ht="15.75" customHeight="1">
      <c r="A249" s="56" t="s">
        <v>1017</v>
      </c>
      <c r="B249" s="56" t="s">
        <v>1682</v>
      </c>
      <c r="C249" s="56" t="s">
        <v>1645</v>
      </c>
      <c r="D249" s="56">
        <v>8.0</v>
      </c>
      <c r="E249" s="56">
        <v>16.0</v>
      </c>
      <c r="F249" s="56">
        <v>2.4</v>
      </c>
      <c r="G249" s="56">
        <v>2.8</v>
      </c>
      <c r="H249" s="56" t="s">
        <v>1579</v>
      </c>
      <c r="I249" s="56">
        <v>32.0</v>
      </c>
      <c r="J249" s="56">
        <v>20.0</v>
      </c>
      <c r="K249" s="56">
        <v>95.0</v>
      </c>
      <c r="L249" s="57" t="s">
        <v>1612</v>
      </c>
    </row>
    <row r="250" ht="15.75" customHeight="1">
      <c r="A250" s="56" t="s">
        <v>1017</v>
      </c>
      <c r="B250" s="56" t="s">
        <v>1683</v>
      </c>
      <c r="C250" s="56" t="s">
        <v>1645</v>
      </c>
      <c r="D250" s="56">
        <v>8.0</v>
      </c>
      <c r="E250" s="56">
        <v>16.0</v>
      </c>
      <c r="F250" s="56">
        <v>2.7</v>
      </c>
      <c r="G250" s="56">
        <v>3.3</v>
      </c>
      <c r="H250" s="56" t="s">
        <v>1579</v>
      </c>
      <c r="I250" s="56">
        <v>32.0</v>
      </c>
      <c r="J250" s="56">
        <v>20.0</v>
      </c>
      <c r="K250" s="56">
        <v>130.0</v>
      </c>
      <c r="L250" s="57" t="s">
        <v>1612</v>
      </c>
    </row>
    <row r="251" ht="15.75" customHeight="1">
      <c r="A251" s="56" t="s">
        <v>1017</v>
      </c>
      <c r="B251" s="56" t="s">
        <v>1684</v>
      </c>
      <c r="C251" s="56" t="s">
        <v>1645</v>
      </c>
      <c r="D251" s="56">
        <v>8.0</v>
      </c>
      <c r="E251" s="56">
        <v>16.0</v>
      </c>
      <c r="F251" s="56">
        <v>2.6</v>
      </c>
      <c r="G251" s="56">
        <v>3.1</v>
      </c>
      <c r="H251" s="56" t="s">
        <v>1579</v>
      </c>
      <c r="I251" s="56">
        <v>32.0</v>
      </c>
      <c r="J251" s="56">
        <v>20.0</v>
      </c>
      <c r="K251" s="56">
        <v>115.0</v>
      </c>
      <c r="L251" s="57" t="s">
        <v>1612</v>
      </c>
    </row>
    <row r="252" ht="15.75" customHeight="1">
      <c r="A252" s="56" t="s">
        <v>1017</v>
      </c>
      <c r="B252" s="56" t="s">
        <v>513</v>
      </c>
      <c r="C252" s="56" t="s">
        <v>1685</v>
      </c>
      <c r="D252" s="56">
        <v>6.0</v>
      </c>
      <c r="E252" s="56">
        <v>12.0</v>
      </c>
      <c r="F252" s="56">
        <v>3.2</v>
      </c>
      <c r="G252" s="56">
        <v>4.6</v>
      </c>
      <c r="H252" s="56" t="s">
        <v>1686</v>
      </c>
      <c r="I252" s="56">
        <v>14.0</v>
      </c>
      <c r="J252" s="56">
        <v>12.0</v>
      </c>
      <c r="K252" s="56">
        <v>65.0</v>
      </c>
      <c r="L252" s="57">
        <v>2018.0</v>
      </c>
    </row>
    <row r="253" ht="15.75" customHeight="1">
      <c r="A253" s="118"/>
      <c r="B253" s="199"/>
      <c r="C253" s="200"/>
      <c r="D253" s="200"/>
      <c r="E253" s="200"/>
      <c r="F253" s="200"/>
      <c r="G253" s="200"/>
      <c r="H253" s="200"/>
      <c r="I253" s="200"/>
      <c r="J253" s="200"/>
      <c r="K253" s="118"/>
      <c r="L253" s="201"/>
    </row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0.88"/>
    <col customWidth="1" min="2" max="2" width="120.0"/>
  </cols>
  <sheetData>
    <row r="1">
      <c r="A1" s="98" t="s">
        <v>1687</v>
      </c>
      <c r="B1" s="113" t="s">
        <v>1688</v>
      </c>
    </row>
    <row r="2">
      <c r="A2" s="98" t="s">
        <v>1687</v>
      </c>
      <c r="B2" s="113" t="s">
        <v>1689</v>
      </c>
    </row>
    <row r="3">
      <c r="A3" s="98" t="s">
        <v>1687</v>
      </c>
      <c r="B3" s="113" t="s">
        <v>1690</v>
      </c>
    </row>
    <row r="4">
      <c r="A4" s="98" t="s">
        <v>1687</v>
      </c>
      <c r="B4" s="113" t="s">
        <v>1691</v>
      </c>
    </row>
    <row r="5">
      <c r="A5" s="98" t="s">
        <v>1687</v>
      </c>
      <c r="B5" s="113" t="s">
        <v>1692</v>
      </c>
    </row>
    <row r="6">
      <c r="A6" s="98" t="s">
        <v>1687</v>
      </c>
      <c r="B6" s="113" t="s">
        <v>1693</v>
      </c>
    </row>
    <row r="7">
      <c r="A7" s="98" t="s">
        <v>1694</v>
      </c>
      <c r="B7" s="113" t="s">
        <v>1695</v>
      </c>
    </row>
    <row r="8">
      <c r="A8" s="98" t="s">
        <v>1696</v>
      </c>
      <c r="B8" s="113" t="s">
        <v>1697</v>
      </c>
    </row>
    <row r="9">
      <c r="A9" s="98" t="s">
        <v>1698</v>
      </c>
      <c r="B9" s="113" t="s">
        <v>1699</v>
      </c>
    </row>
    <row r="10">
      <c r="A10" s="120" t="s">
        <v>1700</v>
      </c>
      <c r="B10" s="113" t="s">
        <v>1701</v>
      </c>
    </row>
    <row r="11">
      <c r="A11" s="120" t="s">
        <v>1700</v>
      </c>
      <c r="B11" s="113" t="s">
        <v>1702</v>
      </c>
    </row>
    <row r="12">
      <c r="A12" s="120" t="s">
        <v>1700</v>
      </c>
      <c r="B12" s="113" t="s">
        <v>1703</v>
      </c>
    </row>
    <row r="13">
      <c r="A13" s="120" t="s">
        <v>1704</v>
      </c>
      <c r="B13" s="113" t="s">
        <v>1155</v>
      </c>
    </row>
    <row r="14">
      <c r="A14" s="120" t="s">
        <v>1705</v>
      </c>
      <c r="B14" s="113" t="s">
        <v>1706</v>
      </c>
    </row>
    <row r="15">
      <c r="A15" s="120" t="s">
        <v>1705</v>
      </c>
      <c r="B15" s="113" t="s">
        <v>1707</v>
      </c>
    </row>
  </sheetData>
  <hyperlinks>
    <hyperlink r:id="rId1" ref="B1"/>
    <hyperlink r:id="rId2" ref="B2"/>
    <hyperlink r:id="rId3" ref="B3"/>
    <hyperlink r:id="rId4" ref="B4"/>
    <hyperlink r:id="rId5" ref="B5"/>
    <hyperlink r:id="rId6" ref="B6"/>
    <hyperlink r:id="rId7" ref="B7"/>
    <hyperlink r:id="rId8" ref="B8"/>
    <hyperlink r:id="rId9" ref="B9"/>
    <hyperlink r:id="rId10" ref="B10"/>
    <hyperlink r:id="rId11" ref="B11"/>
    <hyperlink r:id="rId12" location="tab0=3" ref="B12"/>
    <hyperlink r:id="rId13" ref="B13"/>
    <hyperlink r:id="rId14" ref="B14"/>
    <hyperlink r:id="rId15" ref="B15"/>
  </hyperlinks>
  <printOptions/>
  <pageMargins bottom="0.75" footer="0.0" header="0.0" left="0.7" right="0.7" top="0.75"/>
  <pageSetup orientation="landscape"/>
  <drawing r:id="rId1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0"/>
  <cols>
    <col customWidth="1" min="1" max="1" width="18.5"/>
    <col customWidth="1" min="2" max="2" width="14.25"/>
    <col customWidth="1" min="3" max="3" width="8.88"/>
    <col customWidth="1" min="4" max="4" width="10.88"/>
    <col customWidth="1" min="5" max="5" width="17.63"/>
    <col customWidth="1" min="6" max="7" width="10.5"/>
    <col customWidth="1" min="8" max="8" width="16.25"/>
    <col customWidth="1" min="9" max="9" width="7.75"/>
    <col customWidth="1" min="10" max="10" width="10.63"/>
    <col customWidth="1" min="11" max="11" width="8.5"/>
    <col customWidth="1" min="12" max="12" width="13.88"/>
    <col customWidth="1" min="13" max="14" width="10.5"/>
    <col customWidth="1" min="15" max="23" width="9.13"/>
    <col customWidth="1" min="24" max="24" width="7.88"/>
    <col customWidth="1" min="25" max="31" width="8.0"/>
    <col customWidth="1" min="32" max="32" width="14.88"/>
    <col customWidth="1" min="33" max="36" width="13.75"/>
    <col customWidth="1" min="37" max="37" width="15.38"/>
    <col customWidth="1" min="38" max="38" width="94.25"/>
  </cols>
  <sheetData>
    <row r="1" ht="40.5" customHeight="1">
      <c r="A1" s="47" t="s">
        <v>30</v>
      </c>
      <c r="B1" s="47" t="s">
        <v>31</v>
      </c>
      <c r="C1" s="47" t="s">
        <v>32</v>
      </c>
      <c r="D1" s="47" t="s">
        <v>33</v>
      </c>
      <c r="E1" s="47" t="s">
        <v>34</v>
      </c>
      <c r="F1" s="47" t="s">
        <v>35</v>
      </c>
      <c r="G1" s="47" t="s">
        <v>36</v>
      </c>
      <c r="H1" s="47" t="s">
        <v>37</v>
      </c>
      <c r="I1" s="47" t="s">
        <v>38</v>
      </c>
      <c r="J1" s="47" t="s">
        <v>39</v>
      </c>
      <c r="K1" s="47" t="s">
        <v>40</v>
      </c>
      <c r="L1" s="47" t="s">
        <v>41</v>
      </c>
      <c r="M1" s="48" t="s">
        <v>42</v>
      </c>
      <c r="N1" s="47" t="s">
        <v>43</v>
      </c>
      <c r="O1" s="49" t="s">
        <v>44</v>
      </c>
      <c r="P1" s="49" t="s">
        <v>45</v>
      </c>
      <c r="Q1" s="49" t="s">
        <v>46</v>
      </c>
      <c r="R1" s="49" t="s">
        <v>47</v>
      </c>
      <c r="S1" s="50" t="s">
        <v>48</v>
      </c>
      <c r="T1" s="50" t="s">
        <v>49</v>
      </c>
      <c r="U1" s="50" t="s">
        <v>50</v>
      </c>
      <c r="V1" s="50" t="s">
        <v>51</v>
      </c>
      <c r="W1" s="51" t="s">
        <v>52</v>
      </c>
      <c r="X1" s="51" t="s">
        <v>53</v>
      </c>
      <c r="Y1" s="51" t="s">
        <v>54</v>
      </c>
      <c r="Z1" s="51" t="s">
        <v>55</v>
      </c>
      <c r="AA1" s="52" t="s">
        <v>56</v>
      </c>
      <c r="AB1" s="53" t="s">
        <v>57</v>
      </c>
      <c r="AC1" s="53" t="s">
        <v>58</v>
      </c>
      <c r="AD1" s="53" t="s">
        <v>59</v>
      </c>
      <c r="AE1" s="53" t="s">
        <v>60</v>
      </c>
      <c r="AF1" s="54" t="s">
        <v>61</v>
      </c>
      <c r="AG1" s="54" t="s">
        <v>62</v>
      </c>
      <c r="AH1" s="54" t="s">
        <v>63</v>
      </c>
      <c r="AI1" s="54" t="s">
        <v>64</v>
      </c>
      <c r="AJ1" s="54" t="s">
        <v>65</v>
      </c>
      <c r="AK1" s="54" t="s">
        <v>66</v>
      </c>
      <c r="AL1" s="55" t="s">
        <v>67</v>
      </c>
    </row>
    <row r="2" ht="15.0" customHeight="1">
      <c r="A2" s="56" t="s">
        <v>68</v>
      </c>
      <c r="B2" s="56" t="s">
        <v>69</v>
      </c>
      <c r="C2" s="56">
        <v>1.0</v>
      </c>
      <c r="D2" s="56">
        <f>VLOOKUP(E2,'AWS Platforms Ratios'!$A$2:$B$25,2,FALSE)</f>
        <v>16</v>
      </c>
      <c r="E2" s="57" t="s">
        <v>70</v>
      </c>
      <c r="F2" s="56">
        <v>2.0</v>
      </c>
      <c r="G2" s="56">
        <v>32.0</v>
      </c>
      <c r="H2" s="57" t="s">
        <v>71</v>
      </c>
      <c r="I2" s="56" t="s">
        <v>72</v>
      </c>
      <c r="J2" s="56">
        <v>0.0</v>
      </c>
      <c r="K2" s="58" t="s">
        <v>73</v>
      </c>
      <c r="L2" s="58" t="s">
        <v>73</v>
      </c>
      <c r="M2" s="58" t="s">
        <v>73</v>
      </c>
      <c r="N2" s="58" t="s">
        <v>73</v>
      </c>
      <c r="O2" s="59">
        <f>($C2/$D2)*VLOOKUP($E2,'AWS Platforms Ratios'!$A$2:$O$25,7,FALSE)</f>
        <v>0.2903215434</v>
      </c>
      <c r="P2" s="59">
        <f>($C2/$D2)*VLOOKUP($E2,'AWS Platforms Ratios'!$A$2:$O$25,8,FALSE)</f>
        <v>0.7956511254</v>
      </c>
      <c r="Q2" s="59">
        <f>($C2/$D2)*VLOOKUP($E2,'AWS Platforms Ratios'!$A$2:$O$25,9,FALSE)</f>
        <v>1.880659164</v>
      </c>
      <c r="R2" s="59">
        <f>($C2/$D2)*VLOOKUP($E2,'AWS Platforms Ratios'!$A$2:$O$25,10,FALSE)</f>
        <v>2.54636254</v>
      </c>
      <c r="S2" s="59">
        <f>$F2*VLOOKUP($E2,'AWS Platforms Ratios'!$A$2:$O$25,11,FALSE)</f>
        <v>0.4</v>
      </c>
      <c r="T2" s="59">
        <f>$F2*VLOOKUP($E2,'AWS Platforms Ratios'!$A$2:$O$25,12,FALSE)</f>
        <v>0.6</v>
      </c>
      <c r="U2" s="59">
        <f>$F2*VLOOKUP($E2,'AWS Platforms Ratios'!$A$2:$O$25,13,FALSE)</f>
        <v>0.8</v>
      </c>
      <c r="V2" s="59">
        <f>$F2*VLOOKUP($E2,'AWS Platforms Ratios'!$A$2:$O$25,14,FALSE)</f>
        <v>1.2</v>
      </c>
      <c r="W2" s="60">
        <f>IF($K2&lt;&gt;"N/A",$M2*(VLOOKUP($L2,'GPU Specs &amp; Ratios'!$B$2:$I$8,5,FALSE)),0)</f>
        <v>0</v>
      </c>
      <c r="X2" s="60">
        <f>IF($K2&lt;&gt;"N/A",$M2*(VLOOKUP($L2,'GPU Specs &amp; Ratios'!$B$2:$I$8,6,FALSE)),0)</f>
        <v>0</v>
      </c>
      <c r="Y2" s="60">
        <f>IF($K2&lt;&gt;"N/A",$M2*(VLOOKUP($L2,'GPU Specs &amp; Ratios'!$B$2:$I$8,7,FALSE)),0)</f>
        <v>0</v>
      </c>
      <c r="Z2" s="60">
        <f>IF($K2&lt;&gt;"N/A",$M2*(VLOOKUP($L2,'GPU Specs &amp; Ratios'!$B$2:$I$8,8,FALSE)),0)</f>
        <v>0</v>
      </c>
      <c r="AA2" s="60">
        <f>(C2/D2)*VLOOKUP($E2,'AWS Platforms Ratios'!$A$2:$O$25,15,FALSE)</f>
        <v>0.5</v>
      </c>
      <c r="AB2" s="60">
        <f t="shared" ref="AB2:AE2" si="1">O2+S2+W2+$AA2</f>
        <v>1.190321543</v>
      </c>
      <c r="AC2" s="60">
        <f t="shared" si="1"/>
        <v>1.895651125</v>
      </c>
      <c r="AD2" s="60">
        <f t="shared" si="1"/>
        <v>3.180659164</v>
      </c>
      <c r="AE2" s="60">
        <f t="shared" si="1"/>
        <v>4.24636254</v>
      </c>
      <c r="AF2" s="60">
        <f>IF(G2&gt;'Scope 3 Ratios'!$B$5,(G2-'Scope 3 Ratios'!$B$5)*('Scope 3 Ratios'!$B$6/'Scope 3 Ratios'!$B$5),0)</f>
        <v>22.1904</v>
      </c>
      <c r="AG2" s="60">
        <f>J2*IF(I2="SSD",'Scope 3 Ratios'!$B$9,'Scope 3 Ratios'!$B$8)</f>
        <v>0</v>
      </c>
      <c r="AH2" s="60">
        <f>IF(K2&lt;&gt;"N/A",K2*'Scope 3 Ratios'!$B$10,0)</f>
        <v>0</v>
      </c>
      <c r="AI2" s="60">
        <f>(VLOOKUP($E2,'AWS Platforms Ratios'!$A$2:$O$25,3,FALSE)-1)*'Scope 3 Ratios'!$B$7</f>
        <v>0</v>
      </c>
      <c r="AJ2" s="60">
        <f>'Scope 3 Ratios'!$B$2+AF2+AG2+AH2+AI2</f>
        <v>1022.1904</v>
      </c>
      <c r="AK2" s="60">
        <f>AJ2*'Scope 3 Ratios'!$B$4*(C2/D2)</f>
        <v>1.848579282</v>
      </c>
      <c r="AL2" s="61" t="s">
        <v>74</v>
      </c>
    </row>
    <row r="3" ht="15.0" customHeight="1">
      <c r="A3" s="56" t="s">
        <v>75</v>
      </c>
      <c r="B3" s="56" t="s">
        <v>69</v>
      </c>
      <c r="C3" s="56">
        <v>2.0</v>
      </c>
      <c r="D3" s="56">
        <f>VLOOKUP(E3,'AWS Platforms Ratios'!$A$2:$B$25,2,FALSE)</f>
        <v>16</v>
      </c>
      <c r="E3" s="57" t="s">
        <v>70</v>
      </c>
      <c r="F3" s="56">
        <v>4.0</v>
      </c>
      <c r="G3" s="56">
        <v>32.0</v>
      </c>
      <c r="H3" s="57" t="s">
        <v>71</v>
      </c>
      <c r="I3" s="56" t="s">
        <v>72</v>
      </c>
      <c r="J3" s="56">
        <v>0.0</v>
      </c>
      <c r="K3" s="58" t="s">
        <v>73</v>
      </c>
      <c r="L3" s="58" t="s">
        <v>73</v>
      </c>
      <c r="M3" s="58" t="s">
        <v>73</v>
      </c>
      <c r="N3" s="58" t="s">
        <v>73</v>
      </c>
      <c r="O3" s="59">
        <f>($C3/$D3)*VLOOKUP($E3,'AWS Platforms Ratios'!$A$2:$O$25,7,FALSE)</f>
        <v>0.5806430868</v>
      </c>
      <c r="P3" s="59">
        <f>($C3/$D3)*VLOOKUP($E3,'AWS Platforms Ratios'!$A$2:$O$25,8,FALSE)</f>
        <v>1.591302251</v>
      </c>
      <c r="Q3" s="59">
        <f>($C3/$D3)*VLOOKUP($E3,'AWS Platforms Ratios'!$A$2:$O$25,9,FALSE)</f>
        <v>3.761318328</v>
      </c>
      <c r="R3" s="59">
        <f>($C3/$D3)*VLOOKUP($E3,'AWS Platforms Ratios'!$A$2:$O$25,10,FALSE)</f>
        <v>5.09272508</v>
      </c>
      <c r="S3" s="59">
        <f>$F3*VLOOKUP($E3,'AWS Platforms Ratios'!$A$2:$O$25,11,FALSE)</f>
        <v>0.8</v>
      </c>
      <c r="T3" s="59">
        <f>$F3*VLOOKUP($E3,'AWS Platforms Ratios'!$A$2:$O$25,12,FALSE)</f>
        <v>1.2</v>
      </c>
      <c r="U3" s="59">
        <f>$F3*VLOOKUP($E3,'AWS Platforms Ratios'!$A$2:$O$25,13,FALSE)</f>
        <v>1.6</v>
      </c>
      <c r="V3" s="59">
        <f>$F3*VLOOKUP($E3,'AWS Platforms Ratios'!$A$2:$O$25,14,FALSE)</f>
        <v>2.4</v>
      </c>
      <c r="W3" s="60">
        <f>IF($K3&lt;&gt;"N/A",$M3*(VLOOKUP($L3,'GPU Specs &amp; Ratios'!$B$2:$I$8,5,FALSE)),0)</f>
        <v>0</v>
      </c>
      <c r="X3" s="60">
        <f>IF($K3&lt;&gt;"N/A",$M3*(VLOOKUP($L3,'GPU Specs &amp; Ratios'!$B$2:$I$8,6,FALSE)),0)</f>
        <v>0</v>
      </c>
      <c r="Y3" s="60">
        <f>IF($K3&lt;&gt;"N/A",$M3*(VLOOKUP($L3,'GPU Specs &amp; Ratios'!$B$2:$I$8,7,FALSE)),0)</f>
        <v>0</v>
      </c>
      <c r="Z3" s="60">
        <f>IF($K3&lt;&gt;"N/A",$M3*(VLOOKUP($L3,'GPU Specs &amp; Ratios'!$B$2:$I$8,8,FALSE)),0)</f>
        <v>0</v>
      </c>
      <c r="AA3" s="60">
        <f>(C3/D3)*VLOOKUP($E3,'AWS Platforms Ratios'!$A$2:$O$25,15,FALSE)</f>
        <v>1</v>
      </c>
      <c r="AB3" s="60">
        <f t="shared" ref="AB3:AE3" si="2">O3+S3+W3+$AA3</f>
        <v>2.380643087</v>
      </c>
      <c r="AC3" s="60">
        <f t="shared" si="2"/>
        <v>3.791302251</v>
      </c>
      <c r="AD3" s="60">
        <f t="shared" si="2"/>
        <v>6.361318328</v>
      </c>
      <c r="AE3" s="60">
        <f t="shared" si="2"/>
        <v>8.49272508</v>
      </c>
      <c r="AF3" s="60">
        <f>IF(G3&gt;'Scope 3 Ratios'!$B$5,(G3-'Scope 3 Ratios'!$B$5)*('Scope 3 Ratios'!$B$6/'Scope 3 Ratios'!$B$5),0)</f>
        <v>22.1904</v>
      </c>
      <c r="AG3" s="60">
        <f>J3*IF(I3="SSD",'Scope 3 Ratios'!$B$9,'Scope 3 Ratios'!$B$8)</f>
        <v>0</v>
      </c>
      <c r="AH3" s="60">
        <f>IF(K3&lt;&gt;"N/A",K3*'Scope 3 Ratios'!$B$10,0)</f>
        <v>0</v>
      </c>
      <c r="AI3" s="60">
        <f>(VLOOKUP($E3,'AWS Platforms Ratios'!$A$2:$O$25,3,FALSE)-1)*'Scope 3 Ratios'!$B$7</f>
        <v>0</v>
      </c>
      <c r="AJ3" s="60">
        <f>'Scope 3 Ratios'!$B$2+AF3+AG3+AH3+AI3</f>
        <v>1022.1904</v>
      </c>
      <c r="AK3" s="60">
        <f>AJ3*'Scope 3 Ratios'!$B$4*(C3/D3)</f>
        <v>3.697158565</v>
      </c>
      <c r="AL3" s="61" t="s">
        <v>74</v>
      </c>
    </row>
    <row r="4" ht="15.0" customHeight="1">
      <c r="A4" s="56" t="s">
        <v>76</v>
      </c>
      <c r="B4" s="56" t="s">
        <v>69</v>
      </c>
      <c r="C4" s="56">
        <v>4.0</v>
      </c>
      <c r="D4" s="56">
        <f>VLOOKUP(E4,'AWS Platforms Ratios'!$A$2:$B$25,2,FALSE)</f>
        <v>16</v>
      </c>
      <c r="E4" s="57" t="s">
        <v>70</v>
      </c>
      <c r="F4" s="56">
        <v>8.0</v>
      </c>
      <c r="G4" s="56">
        <v>32.0</v>
      </c>
      <c r="H4" s="57" t="s">
        <v>71</v>
      </c>
      <c r="I4" s="56" t="s">
        <v>72</v>
      </c>
      <c r="J4" s="56">
        <v>0.0</v>
      </c>
      <c r="K4" s="58" t="s">
        <v>73</v>
      </c>
      <c r="L4" s="58" t="s">
        <v>73</v>
      </c>
      <c r="M4" s="58" t="s">
        <v>73</v>
      </c>
      <c r="N4" s="58" t="s">
        <v>73</v>
      </c>
      <c r="O4" s="59">
        <f>($C4/$D4)*VLOOKUP($E4,'AWS Platforms Ratios'!$A$2:$O$25,7,FALSE)</f>
        <v>1.161286174</v>
      </c>
      <c r="P4" s="59">
        <f>($C4/$D4)*VLOOKUP($E4,'AWS Platforms Ratios'!$A$2:$O$25,8,FALSE)</f>
        <v>3.182604502</v>
      </c>
      <c r="Q4" s="59">
        <f>($C4/$D4)*VLOOKUP($E4,'AWS Platforms Ratios'!$A$2:$O$25,9,FALSE)</f>
        <v>7.522636656</v>
      </c>
      <c r="R4" s="59">
        <f>($C4/$D4)*VLOOKUP($E4,'AWS Platforms Ratios'!$A$2:$O$25,10,FALSE)</f>
        <v>10.18545016</v>
      </c>
      <c r="S4" s="59">
        <f>$F4*VLOOKUP($E4,'AWS Platforms Ratios'!$A$2:$O$25,11,FALSE)</f>
        <v>1.6</v>
      </c>
      <c r="T4" s="59">
        <f>$F4*VLOOKUP($E4,'AWS Platforms Ratios'!$A$2:$O$25,12,FALSE)</f>
        <v>2.4</v>
      </c>
      <c r="U4" s="59">
        <f>$F4*VLOOKUP($E4,'AWS Platforms Ratios'!$A$2:$O$25,13,FALSE)</f>
        <v>3.2</v>
      </c>
      <c r="V4" s="59">
        <f>$F4*VLOOKUP($E4,'AWS Platforms Ratios'!$A$2:$O$25,14,FALSE)</f>
        <v>4.8</v>
      </c>
      <c r="W4" s="60">
        <f>IF($K4&lt;&gt;"N/A",$M4*(VLOOKUP($L4,'GPU Specs &amp; Ratios'!$B$2:$I$8,5,FALSE)),0)</f>
        <v>0</v>
      </c>
      <c r="X4" s="60">
        <f>IF($K4&lt;&gt;"N/A",$M4*(VLOOKUP($L4,'GPU Specs &amp; Ratios'!$B$2:$I$8,6,FALSE)),0)</f>
        <v>0</v>
      </c>
      <c r="Y4" s="60">
        <f>IF($K4&lt;&gt;"N/A",$M4*(VLOOKUP($L4,'GPU Specs &amp; Ratios'!$B$2:$I$8,7,FALSE)),0)</f>
        <v>0</v>
      </c>
      <c r="Z4" s="60">
        <f>IF($K4&lt;&gt;"N/A",$M4*(VLOOKUP($L4,'GPU Specs &amp; Ratios'!$B$2:$I$8,8,FALSE)),0)</f>
        <v>0</v>
      </c>
      <c r="AA4" s="60">
        <f>(C4/D4)*VLOOKUP($E4,'AWS Platforms Ratios'!$A$2:$O$25,15,FALSE)</f>
        <v>2</v>
      </c>
      <c r="AB4" s="60">
        <f t="shared" ref="AB4:AE4" si="3">O4+S4+W4+$AA4</f>
        <v>4.761286174</v>
      </c>
      <c r="AC4" s="60">
        <f t="shared" si="3"/>
        <v>7.582604502</v>
      </c>
      <c r="AD4" s="60">
        <f t="shared" si="3"/>
        <v>12.72263666</v>
      </c>
      <c r="AE4" s="60">
        <f t="shared" si="3"/>
        <v>16.98545016</v>
      </c>
      <c r="AF4" s="60">
        <f>IF(G4&gt;'Scope 3 Ratios'!$B$5,(G4-'Scope 3 Ratios'!$B$5)*('Scope 3 Ratios'!$B$6/'Scope 3 Ratios'!$B$5),0)</f>
        <v>22.1904</v>
      </c>
      <c r="AG4" s="60">
        <f>J4*IF(I4="SSD",'Scope 3 Ratios'!$B$9,'Scope 3 Ratios'!$B$8)</f>
        <v>0</v>
      </c>
      <c r="AH4" s="60">
        <f>IF(K4&lt;&gt;"N/A",K4*'Scope 3 Ratios'!$B$10,0)</f>
        <v>0</v>
      </c>
      <c r="AI4" s="60">
        <f>(VLOOKUP($E4,'AWS Platforms Ratios'!$A$2:$O$25,3,FALSE)-1)*'Scope 3 Ratios'!$B$7</f>
        <v>0</v>
      </c>
      <c r="AJ4" s="60">
        <f>'Scope 3 Ratios'!$B$2+AF4+AG4+AH4+AI4</f>
        <v>1022.1904</v>
      </c>
      <c r="AK4" s="60">
        <f>AJ4*'Scope 3 Ratios'!$B$4*(C4/D4)</f>
        <v>7.39431713</v>
      </c>
      <c r="AL4" s="61" t="s">
        <v>74</v>
      </c>
    </row>
    <row r="5" ht="15.0" customHeight="1">
      <c r="A5" s="56" t="s">
        <v>77</v>
      </c>
      <c r="B5" s="56" t="s">
        <v>69</v>
      </c>
      <c r="C5" s="56">
        <v>8.0</v>
      </c>
      <c r="D5" s="56">
        <f>VLOOKUP(E5,'AWS Platforms Ratios'!$A$2:$B$25,2,FALSE)</f>
        <v>16</v>
      </c>
      <c r="E5" s="57" t="s">
        <v>70</v>
      </c>
      <c r="F5" s="56">
        <v>16.0</v>
      </c>
      <c r="G5" s="56">
        <v>32.0</v>
      </c>
      <c r="H5" s="57" t="s">
        <v>71</v>
      </c>
      <c r="I5" s="56" t="s">
        <v>72</v>
      </c>
      <c r="J5" s="56">
        <v>0.0</v>
      </c>
      <c r="K5" s="58" t="s">
        <v>73</v>
      </c>
      <c r="L5" s="58" t="s">
        <v>73</v>
      </c>
      <c r="M5" s="58" t="s">
        <v>73</v>
      </c>
      <c r="N5" s="58" t="s">
        <v>73</v>
      </c>
      <c r="O5" s="59">
        <f>($C5/$D5)*VLOOKUP($E5,'AWS Platforms Ratios'!$A$2:$O$25,7,FALSE)</f>
        <v>2.322572347</v>
      </c>
      <c r="P5" s="59">
        <f>($C5/$D5)*VLOOKUP($E5,'AWS Platforms Ratios'!$A$2:$O$25,8,FALSE)</f>
        <v>6.365209003</v>
      </c>
      <c r="Q5" s="59">
        <f>($C5/$D5)*VLOOKUP($E5,'AWS Platforms Ratios'!$A$2:$O$25,9,FALSE)</f>
        <v>15.04527331</v>
      </c>
      <c r="R5" s="59">
        <f>($C5/$D5)*VLOOKUP($E5,'AWS Platforms Ratios'!$A$2:$O$25,10,FALSE)</f>
        <v>20.37090032</v>
      </c>
      <c r="S5" s="59">
        <f>$F5*VLOOKUP($E5,'AWS Platforms Ratios'!$A$2:$O$25,11,FALSE)</f>
        <v>3.2</v>
      </c>
      <c r="T5" s="59">
        <f>$F5*VLOOKUP($E5,'AWS Platforms Ratios'!$A$2:$O$25,12,FALSE)</f>
        <v>4.8</v>
      </c>
      <c r="U5" s="59">
        <f>$F5*VLOOKUP($E5,'AWS Platforms Ratios'!$A$2:$O$25,13,FALSE)</f>
        <v>6.4</v>
      </c>
      <c r="V5" s="59">
        <f>$F5*VLOOKUP($E5,'AWS Platforms Ratios'!$A$2:$O$25,14,FALSE)</f>
        <v>9.6</v>
      </c>
      <c r="W5" s="60">
        <f>IF($K5&lt;&gt;"N/A",$M5*(VLOOKUP($L5,'GPU Specs &amp; Ratios'!$B$2:$I$8,5,FALSE)),0)</f>
        <v>0</v>
      </c>
      <c r="X5" s="60">
        <f>IF($K5&lt;&gt;"N/A",$M5*(VLOOKUP($L5,'GPU Specs &amp; Ratios'!$B$2:$I$8,6,FALSE)),0)</f>
        <v>0</v>
      </c>
      <c r="Y5" s="60">
        <f>IF($K5&lt;&gt;"N/A",$M5*(VLOOKUP($L5,'GPU Specs &amp; Ratios'!$B$2:$I$8,7,FALSE)),0)</f>
        <v>0</v>
      </c>
      <c r="Z5" s="60">
        <f>IF($K5&lt;&gt;"N/A",$M5*(VLOOKUP($L5,'GPU Specs &amp; Ratios'!$B$2:$I$8,8,FALSE)),0)</f>
        <v>0</v>
      </c>
      <c r="AA5" s="60">
        <f>(C5/D5)*VLOOKUP($E5,'AWS Platforms Ratios'!$A$2:$O$25,15,FALSE)</f>
        <v>4</v>
      </c>
      <c r="AB5" s="60">
        <f t="shared" ref="AB5:AE5" si="4">O5+S5+W5+$AA5</f>
        <v>9.522572347</v>
      </c>
      <c r="AC5" s="60">
        <f t="shared" si="4"/>
        <v>15.165209</v>
      </c>
      <c r="AD5" s="60">
        <f t="shared" si="4"/>
        <v>25.44527331</v>
      </c>
      <c r="AE5" s="60">
        <f t="shared" si="4"/>
        <v>33.97090032</v>
      </c>
      <c r="AF5" s="60">
        <f>IF(G5&gt;'Scope 3 Ratios'!$B$5,(G5-'Scope 3 Ratios'!$B$5)*('Scope 3 Ratios'!$B$6/'Scope 3 Ratios'!$B$5),0)</f>
        <v>22.1904</v>
      </c>
      <c r="AG5" s="60">
        <f>J5*IF(I5="SSD",'Scope 3 Ratios'!$B$9,'Scope 3 Ratios'!$B$8)</f>
        <v>0</v>
      </c>
      <c r="AH5" s="60">
        <f>IF(K5&lt;&gt;"N/A",K5*'Scope 3 Ratios'!$B$10,0)</f>
        <v>0</v>
      </c>
      <c r="AI5" s="60">
        <f>(VLOOKUP($E5,'AWS Platforms Ratios'!$A$2:$O$25,3,FALSE)-1)*'Scope 3 Ratios'!$B$7</f>
        <v>0</v>
      </c>
      <c r="AJ5" s="60">
        <f>'Scope 3 Ratios'!$B$2+AF5+AG5+AH5+AI5</f>
        <v>1022.1904</v>
      </c>
      <c r="AK5" s="60">
        <f>AJ5*'Scope 3 Ratios'!$B$4*(C5/D5)</f>
        <v>14.78863426</v>
      </c>
      <c r="AL5" s="61" t="s">
        <v>74</v>
      </c>
    </row>
    <row r="6" ht="15.0" customHeight="1">
      <c r="A6" s="56" t="s">
        <v>78</v>
      </c>
      <c r="B6" s="56" t="s">
        <v>69</v>
      </c>
      <c r="C6" s="56">
        <v>16.0</v>
      </c>
      <c r="D6" s="56">
        <f>VLOOKUP(E6,'AWS Platforms Ratios'!$A$2:$B$25,2,FALSE)</f>
        <v>16</v>
      </c>
      <c r="E6" s="57" t="s">
        <v>70</v>
      </c>
      <c r="F6" s="56">
        <v>32.0</v>
      </c>
      <c r="G6" s="56">
        <v>32.0</v>
      </c>
      <c r="H6" s="57" t="s">
        <v>71</v>
      </c>
      <c r="I6" s="56" t="s">
        <v>72</v>
      </c>
      <c r="J6" s="56">
        <v>0.0</v>
      </c>
      <c r="K6" s="58" t="s">
        <v>73</v>
      </c>
      <c r="L6" s="58" t="s">
        <v>73</v>
      </c>
      <c r="M6" s="58" t="s">
        <v>73</v>
      </c>
      <c r="N6" s="58" t="s">
        <v>73</v>
      </c>
      <c r="O6" s="59">
        <f>($C6/$D6)*VLOOKUP($E6,'AWS Platforms Ratios'!$A$2:$O$25,7,FALSE)</f>
        <v>4.645144695</v>
      </c>
      <c r="P6" s="59">
        <f>($C6/$D6)*VLOOKUP($E6,'AWS Platforms Ratios'!$A$2:$O$25,8,FALSE)</f>
        <v>12.73041801</v>
      </c>
      <c r="Q6" s="59">
        <f>($C6/$D6)*VLOOKUP($E6,'AWS Platforms Ratios'!$A$2:$O$25,9,FALSE)</f>
        <v>30.09054662</v>
      </c>
      <c r="R6" s="59">
        <f>($C6/$D6)*VLOOKUP($E6,'AWS Platforms Ratios'!$A$2:$O$25,10,FALSE)</f>
        <v>40.74180064</v>
      </c>
      <c r="S6" s="59">
        <f>$F6*VLOOKUP($E6,'AWS Platforms Ratios'!$A$2:$O$25,11,FALSE)</f>
        <v>6.4</v>
      </c>
      <c r="T6" s="59">
        <f>$F6*VLOOKUP($E6,'AWS Platforms Ratios'!$A$2:$O$25,12,FALSE)</f>
        <v>9.6</v>
      </c>
      <c r="U6" s="59">
        <f>$F6*VLOOKUP($E6,'AWS Platforms Ratios'!$A$2:$O$25,13,FALSE)</f>
        <v>12.8</v>
      </c>
      <c r="V6" s="59">
        <f>$F6*VLOOKUP($E6,'AWS Platforms Ratios'!$A$2:$O$25,14,FALSE)</f>
        <v>19.2</v>
      </c>
      <c r="W6" s="60">
        <f>IF($K6&lt;&gt;"N/A",$M6*(VLOOKUP($L6,'GPU Specs &amp; Ratios'!$B$2:$I$8,5,FALSE)),0)</f>
        <v>0</v>
      </c>
      <c r="X6" s="60">
        <f>IF($K6&lt;&gt;"N/A",$M6*(VLOOKUP($L6,'GPU Specs &amp; Ratios'!$B$2:$I$8,6,FALSE)),0)</f>
        <v>0</v>
      </c>
      <c r="Y6" s="60">
        <f>IF($K6&lt;&gt;"N/A",$M6*(VLOOKUP($L6,'GPU Specs &amp; Ratios'!$B$2:$I$8,7,FALSE)),0)</f>
        <v>0</v>
      </c>
      <c r="Z6" s="60">
        <f>IF($K6&lt;&gt;"N/A",$M6*(VLOOKUP($L6,'GPU Specs &amp; Ratios'!$B$2:$I$8,8,FALSE)),0)</f>
        <v>0</v>
      </c>
      <c r="AA6" s="60">
        <f>(C6/D6)*VLOOKUP($E6,'AWS Platforms Ratios'!$A$2:$O$25,15,FALSE)</f>
        <v>8</v>
      </c>
      <c r="AB6" s="60">
        <f t="shared" ref="AB6:AE6" si="5">O6+S6+W6+$AA6</f>
        <v>19.04514469</v>
      </c>
      <c r="AC6" s="60">
        <f t="shared" si="5"/>
        <v>30.33041801</v>
      </c>
      <c r="AD6" s="60">
        <f t="shared" si="5"/>
        <v>50.89054662</v>
      </c>
      <c r="AE6" s="60">
        <f t="shared" si="5"/>
        <v>67.94180064</v>
      </c>
      <c r="AF6" s="60">
        <f>IF(G6&gt;'Scope 3 Ratios'!$B$5,(G6-'Scope 3 Ratios'!$B$5)*('Scope 3 Ratios'!$B$6/'Scope 3 Ratios'!$B$5),0)</f>
        <v>22.1904</v>
      </c>
      <c r="AG6" s="60">
        <f>J6*IF(I6="SSD",'Scope 3 Ratios'!$B$9,'Scope 3 Ratios'!$B$8)</f>
        <v>0</v>
      </c>
      <c r="AH6" s="60">
        <f>IF(K6&lt;&gt;"N/A",K6*'Scope 3 Ratios'!$B$10,0)</f>
        <v>0</v>
      </c>
      <c r="AI6" s="60">
        <f>(VLOOKUP($E6,'AWS Platforms Ratios'!$A$2:$O$25,3,FALSE)-1)*'Scope 3 Ratios'!$B$7</f>
        <v>0</v>
      </c>
      <c r="AJ6" s="60">
        <f>'Scope 3 Ratios'!$B$2+AF6+AG6+AH6+AI6</f>
        <v>1022.1904</v>
      </c>
      <c r="AK6" s="60">
        <f>AJ6*'Scope 3 Ratios'!$B$4*(C6/D6)</f>
        <v>29.57726852</v>
      </c>
      <c r="AL6" s="61" t="s">
        <v>74</v>
      </c>
    </row>
    <row r="7" ht="15.0" customHeight="1">
      <c r="A7" s="56" t="s">
        <v>79</v>
      </c>
      <c r="B7" s="56" t="s">
        <v>80</v>
      </c>
      <c r="C7" s="56">
        <v>16.0</v>
      </c>
      <c r="D7" s="56">
        <f>VLOOKUP(E7,'AWS Platforms Ratios'!$A$2:$B$25,2,FALSE)</f>
        <v>16</v>
      </c>
      <c r="E7" s="57" t="s">
        <v>70</v>
      </c>
      <c r="F7" s="56">
        <v>32.0</v>
      </c>
      <c r="G7" s="56">
        <v>32.0</v>
      </c>
      <c r="H7" s="57" t="s">
        <v>71</v>
      </c>
      <c r="I7" s="56" t="s">
        <v>72</v>
      </c>
      <c r="J7" s="56">
        <v>0.0</v>
      </c>
      <c r="K7" s="58" t="s">
        <v>73</v>
      </c>
      <c r="L7" s="58" t="s">
        <v>73</v>
      </c>
      <c r="M7" s="58" t="s">
        <v>73</v>
      </c>
      <c r="N7" s="58" t="s">
        <v>73</v>
      </c>
      <c r="O7" s="59">
        <f>($C7/$D7)*VLOOKUP($E7,'AWS Platforms Ratios'!$A$2:$O$25,7,FALSE)</f>
        <v>4.645144695</v>
      </c>
      <c r="P7" s="59">
        <f>($C7/$D7)*VLOOKUP($E7,'AWS Platforms Ratios'!$A$2:$O$25,8,FALSE)</f>
        <v>12.73041801</v>
      </c>
      <c r="Q7" s="59">
        <f>($C7/$D7)*VLOOKUP($E7,'AWS Platforms Ratios'!$A$2:$O$25,9,FALSE)</f>
        <v>30.09054662</v>
      </c>
      <c r="R7" s="59">
        <f>($C7/$D7)*VLOOKUP($E7,'AWS Platforms Ratios'!$A$2:$O$25,10,FALSE)</f>
        <v>40.74180064</v>
      </c>
      <c r="S7" s="59">
        <f>$F7*VLOOKUP($E7,'AWS Platforms Ratios'!$A$2:$O$25,11,FALSE)</f>
        <v>6.4</v>
      </c>
      <c r="T7" s="59">
        <f>$F7*VLOOKUP($E7,'AWS Platforms Ratios'!$A$2:$O$25,12,FALSE)</f>
        <v>9.6</v>
      </c>
      <c r="U7" s="59">
        <f>$F7*VLOOKUP($E7,'AWS Platforms Ratios'!$A$2:$O$25,13,FALSE)</f>
        <v>12.8</v>
      </c>
      <c r="V7" s="59">
        <f>$F7*VLOOKUP($E7,'AWS Platforms Ratios'!$A$2:$O$25,14,FALSE)</f>
        <v>19.2</v>
      </c>
      <c r="W7" s="60">
        <f>IF($K7&lt;&gt;"N/A",$M7*(VLOOKUP($L7,'GPU Specs &amp; Ratios'!$B$2:$I$8,5,FALSE)),0)</f>
        <v>0</v>
      </c>
      <c r="X7" s="60">
        <f>IF($K7&lt;&gt;"N/A",$M7*(VLOOKUP($L7,'GPU Specs &amp; Ratios'!$B$2:$I$8,6,FALSE)),0)</f>
        <v>0</v>
      </c>
      <c r="Y7" s="60">
        <f>IF($K7&lt;&gt;"N/A",$M7*(VLOOKUP($L7,'GPU Specs &amp; Ratios'!$B$2:$I$8,7,FALSE)),0)</f>
        <v>0</v>
      </c>
      <c r="Z7" s="60">
        <f>IF($K7&lt;&gt;"N/A",$M7*(VLOOKUP($L7,'GPU Specs &amp; Ratios'!$B$2:$I$8,8,FALSE)),0)</f>
        <v>0</v>
      </c>
      <c r="AA7" s="60">
        <f>(C7/D7)*VLOOKUP($E7,'AWS Platforms Ratios'!$A$2:$O$25,15,FALSE)</f>
        <v>8</v>
      </c>
      <c r="AB7" s="60">
        <f t="shared" ref="AB7:AE7" si="6">O7+S7+W7+$AA7</f>
        <v>19.04514469</v>
      </c>
      <c r="AC7" s="60">
        <f t="shared" si="6"/>
        <v>30.33041801</v>
      </c>
      <c r="AD7" s="60">
        <f t="shared" si="6"/>
        <v>50.89054662</v>
      </c>
      <c r="AE7" s="60">
        <f t="shared" si="6"/>
        <v>67.94180064</v>
      </c>
      <c r="AF7" s="60">
        <f>IF(G7&gt;'Scope 3 Ratios'!$B$5,(G7-'Scope 3 Ratios'!$B$5)*('Scope 3 Ratios'!$B$6/'Scope 3 Ratios'!$B$5),0)</f>
        <v>22.1904</v>
      </c>
      <c r="AG7" s="60">
        <f>J7*IF(I7="SSD",'Scope 3 Ratios'!$B$9,'Scope 3 Ratios'!$B$8)</f>
        <v>0</v>
      </c>
      <c r="AH7" s="60">
        <f>IF(K7&lt;&gt;"N/A",K7*'Scope 3 Ratios'!$B$10,0)</f>
        <v>0</v>
      </c>
      <c r="AI7" s="60">
        <f>(VLOOKUP($E7,'AWS Platforms Ratios'!$A$2:$O$25,3,FALSE)-1)*'Scope 3 Ratios'!$B$7</f>
        <v>0</v>
      </c>
      <c r="AJ7" s="60">
        <f>'Scope 3 Ratios'!$B$2+AF7+AG7+AH7+AI7</f>
        <v>1022.1904</v>
      </c>
      <c r="AK7" s="60">
        <f>AJ7*'Scope 3 Ratios'!$B$4*(C7/D7)</f>
        <v>29.57726852</v>
      </c>
      <c r="AL7" s="61" t="s">
        <v>74</v>
      </c>
    </row>
    <row r="8" ht="15.0" customHeight="1">
      <c r="A8" s="56" t="s">
        <v>81</v>
      </c>
      <c r="B8" s="56" t="s">
        <v>82</v>
      </c>
      <c r="C8" s="56">
        <v>2.0</v>
      </c>
      <c r="D8" s="56">
        <f>VLOOKUP(E8,'AWS Platforms Ratios'!$A$2:$B$25,2,FALSE)</f>
        <v>48</v>
      </c>
      <c r="E8" s="57" t="s">
        <v>83</v>
      </c>
      <c r="F8" s="56">
        <v>1.7</v>
      </c>
      <c r="G8" s="56">
        <v>42.0</v>
      </c>
      <c r="H8" s="62" t="s">
        <v>84</v>
      </c>
      <c r="I8" s="56" t="s">
        <v>85</v>
      </c>
      <c r="J8" s="56">
        <v>4.0</v>
      </c>
      <c r="K8" s="58" t="s">
        <v>73</v>
      </c>
      <c r="L8" s="58" t="s">
        <v>73</v>
      </c>
      <c r="M8" s="58" t="s">
        <v>73</v>
      </c>
      <c r="N8" s="58" t="s">
        <v>73</v>
      </c>
      <c r="O8" s="59">
        <f>($C8/$D8)*VLOOKUP($E8,'AWS Platforms Ratios'!$A$2:$O$25,7,FALSE)</f>
        <v>0.9549137931</v>
      </c>
      <c r="P8" s="59">
        <f>($C8/$D8)*VLOOKUP($E8,'AWS Platforms Ratios'!$A$2:$O$25,8,FALSE)</f>
        <v>2.726063218</v>
      </c>
      <c r="Q8" s="59">
        <f>($C8/$D8)*VLOOKUP($E8,'AWS Platforms Ratios'!$A$2:$O$25,9,FALSE)</f>
        <v>5.60691092</v>
      </c>
      <c r="R8" s="59">
        <f>($C8/$D8)*VLOOKUP($E8,'AWS Platforms Ratios'!$A$2:$O$25,10,FALSE)</f>
        <v>7.674594109</v>
      </c>
      <c r="S8" s="59">
        <f>$F8*VLOOKUP($E8,'AWS Platforms Ratios'!$A$2:$O$25,11,FALSE)</f>
        <v>0.34</v>
      </c>
      <c r="T8" s="59">
        <f>$F8*VLOOKUP($E8,'AWS Platforms Ratios'!$A$2:$O$25,12,FALSE)</f>
        <v>0.51</v>
      </c>
      <c r="U8" s="59">
        <f>$F8*VLOOKUP($E8,'AWS Platforms Ratios'!$A$2:$O$25,13,FALSE)</f>
        <v>0.68</v>
      </c>
      <c r="V8" s="59">
        <f>$F8*VLOOKUP($E8,'AWS Platforms Ratios'!$A$2:$O$25,14,FALSE)</f>
        <v>1.02</v>
      </c>
      <c r="W8" s="60">
        <f>IF($K8&lt;&gt;"N/A",$M8*(VLOOKUP($L8,'GPU Specs &amp; Ratios'!$B$2:$I$8,5,FALSE)),0)</f>
        <v>0</v>
      </c>
      <c r="X8" s="60">
        <f>IF($K8&lt;&gt;"N/A",$M8*(VLOOKUP($L8,'GPU Specs &amp; Ratios'!$B$2:$I$8,6,FALSE)),0)</f>
        <v>0</v>
      </c>
      <c r="Y8" s="60">
        <f>IF($K8&lt;&gt;"N/A",$M8*(VLOOKUP($L8,'GPU Specs &amp; Ratios'!$B$2:$I$8,7,FALSE)),0)</f>
        <v>0</v>
      </c>
      <c r="Z8" s="60">
        <f>IF($K8&lt;&gt;"N/A",$M8*(VLOOKUP($L8,'GPU Specs &amp; Ratios'!$B$2:$I$8,8,FALSE)),0)</f>
        <v>0</v>
      </c>
      <c r="AA8" s="60">
        <f>(C8/D8)*VLOOKUP($E8,'AWS Platforms Ratios'!$A$2:$O$25,15,FALSE)</f>
        <v>1.583333333</v>
      </c>
      <c r="AB8" s="60">
        <f t="shared" ref="AB8:AE8" si="7">O8+S8+W8+$AA8</f>
        <v>2.878247126</v>
      </c>
      <c r="AC8" s="60">
        <f t="shared" si="7"/>
        <v>4.819396552</v>
      </c>
      <c r="AD8" s="60">
        <f t="shared" si="7"/>
        <v>7.870244253</v>
      </c>
      <c r="AE8" s="60">
        <f t="shared" si="7"/>
        <v>10.27792744</v>
      </c>
      <c r="AF8" s="60">
        <f>IF(G8&gt;'Scope 3 Ratios'!$B$5,(G8-'Scope 3 Ratios'!$B$5)*('Scope 3 Ratios'!$B$6/'Scope 3 Ratios'!$B$5),0)</f>
        <v>36.0594</v>
      </c>
      <c r="AG8" s="60">
        <f>J8*IF(I8="SSD",'Scope 3 Ratios'!$B$9,'Scope 3 Ratios'!$B$8)</f>
        <v>400</v>
      </c>
      <c r="AH8" s="60">
        <f>IF(K8&lt;&gt;"N/A",K8*'Scope 3 Ratios'!$B$10,0)</f>
        <v>0</v>
      </c>
      <c r="AI8" s="60">
        <f>(VLOOKUP($E8,'AWS Platforms Ratios'!$A$2:$O$25,3,FALSE)-1)*'Scope 3 Ratios'!$B$7</f>
        <v>100</v>
      </c>
      <c r="AJ8" s="60">
        <f>'Scope 3 Ratios'!$B$2+AF8+AG8+AH8+AI8</f>
        <v>1536.0594</v>
      </c>
      <c r="AK8" s="60">
        <f>AJ8*'Scope 3 Ratios'!$B$4*(C8/D8)</f>
        <v>1.851923466</v>
      </c>
      <c r="AL8" s="61"/>
    </row>
    <row r="9" ht="15.0" customHeight="1">
      <c r="A9" s="56" t="s">
        <v>86</v>
      </c>
      <c r="B9" s="56" t="s">
        <v>82</v>
      </c>
      <c r="C9" s="56">
        <v>8.0</v>
      </c>
      <c r="D9" s="56">
        <f>VLOOKUP(E9,'AWS Platforms Ratios'!$A$2:$B$25,2,FALSE)</f>
        <v>48</v>
      </c>
      <c r="E9" s="57" t="s">
        <v>83</v>
      </c>
      <c r="F9" s="56">
        <v>7.0</v>
      </c>
      <c r="G9" s="56">
        <v>42.0</v>
      </c>
      <c r="H9" s="62" t="s">
        <v>87</v>
      </c>
      <c r="I9" s="56" t="s">
        <v>85</v>
      </c>
      <c r="J9" s="56">
        <v>4.0</v>
      </c>
      <c r="K9" s="58" t="s">
        <v>73</v>
      </c>
      <c r="L9" s="58" t="s">
        <v>73</v>
      </c>
      <c r="M9" s="58" t="s">
        <v>73</v>
      </c>
      <c r="N9" s="58" t="s">
        <v>73</v>
      </c>
      <c r="O9" s="59">
        <f>($C9/$D9)*VLOOKUP($E9,'AWS Platforms Ratios'!$A$2:$O$25,7,FALSE)</f>
        <v>3.819655172</v>
      </c>
      <c r="P9" s="59">
        <f>($C9/$D9)*VLOOKUP($E9,'AWS Platforms Ratios'!$A$2:$O$25,8,FALSE)</f>
        <v>10.90425287</v>
      </c>
      <c r="Q9" s="59">
        <f>($C9/$D9)*VLOOKUP($E9,'AWS Platforms Ratios'!$A$2:$O$25,9,FALSE)</f>
        <v>22.42764368</v>
      </c>
      <c r="R9" s="59">
        <f>($C9/$D9)*VLOOKUP($E9,'AWS Platforms Ratios'!$A$2:$O$25,10,FALSE)</f>
        <v>30.69837644</v>
      </c>
      <c r="S9" s="59">
        <f>$F9*VLOOKUP($E9,'AWS Platforms Ratios'!$A$2:$O$25,11,FALSE)</f>
        <v>1.4</v>
      </c>
      <c r="T9" s="59">
        <f>$F9*VLOOKUP($E9,'AWS Platforms Ratios'!$A$2:$O$25,12,FALSE)</f>
        <v>2.1</v>
      </c>
      <c r="U9" s="59">
        <f>$F9*VLOOKUP($E9,'AWS Platforms Ratios'!$A$2:$O$25,13,FALSE)</f>
        <v>2.8</v>
      </c>
      <c r="V9" s="59">
        <f>$F9*VLOOKUP($E9,'AWS Platforms Ratios'!$A$2:$O$25,14,FALSE)</f>
        <v>4.2</v>
      </c>
      <c r="W9" s="60">
        <f>IF($K9&lt;&gt;"N/A",$M9*(VLOOKUP($L9,'GPU Specs &amp; Ratios'!$B$2:$I$8,5,FALSE)),0)</f>
        <v>0</v>
      </c>
      <c r="X9" s="60">
        <f>IF($K9&lt;&gt;"N/A",$M9*(VLOOKUP($L9,'GPU Specs &amp; Ratios'!$B$2:$I$8,6,FALSE)),0)</f>
        <v>0</v>
      </c>
      <c r="Y9" s="60">
        <f>IF($K9&lt;&gt;"N/A",$M9*(VLOOKUP($L9,'GPU Specs &amp; Ratios'!$B$2:$I$8,7,FALSE)),0)</f>
        <v>0</v>
      </c>
      <c r="Z9" s="60">
        <f>IF($K9&lt;&gt;"N/A",$M9*(VLOOKUP($L9,'GPU Specs &amp; Ratios'!$B$2:$I$8,8,FALSE)),0)</f>
        <v>0</v>
      </c>
      <c r="AA9" s="60">
        <f>(C9/D9)*VLOOKUP($E9,'AWS Platforms Ratios'!$A$2:$O$25,15,FALSE)</f>
        <v>6.333333333</v>
      </c>
      <c r="AB9" s="60">
        <f t="shared" ref="AB9:AE9" si="8">O9+S9+W9+$AA9</f>
        <v>11.55298851</v>
      </c>
      <c r="AC9" s="60">
        <f t="shared" si="8"/>
        <v>19.33758621</v>
      </c>
      <c r="AD9" s="60">
        <f t="shared" si="8"/>
        <v>31.56097701</v>
      </c>
      <c r="AE9" s="60">
        <f t="shared" si="8"/>
        <v>41.23170977</v>
      </c>
      <c r="AF9" s="60">
        <f>IF(G9&gt;'Scope 3 Ratios'!$B$5,(G9-'Scope 3 Ratios'!$B$5)*('Scope 3 Ratios'!$B$6/'Scope 3 Ratios'!$B$5),0)</f>
        <v>36.0594</v>
      </c>
      <c r="AG9" s="60">
        <f>J9*IF(I9="SSD",'Scope 3 Ratios'!$B$9,'Scope 3 Ratios'!$B$8)</f>
        <v>400</v>
      </c>
      <c r="AH9" s="60">
        <f>IF(K9&lt;&gt;"N/A",K9*'Scope 3 Ratios'!$B$10,0)</f>
        <v>0</v>
      </c>
      <c r="AI9" s="60">
        <f>(VLOOKUP($E9,'AWS Platforms Ratios'!$A$2:$O$25,3,FALSE)-1)*'Scope 3 Ratios'!$B$7</f>
        <v>100</v>
      </c>
      <c r="AJ9" s="60">
        <f>'Scope 3 Ratios'!$B$2+AF9+AG9+AH9+AI9</f>
        <v>1536.0594</v>
      </c>
      <c r="AK9" s="60">
        <f>AJ9*'Scope 3 Ratios'!$B$4*(C9/D9)</f>
        <v>7.407693866</v>
      </c>
      <c r="AL9" s="61"/>
    </row>
    <row r="10" ht="15.0" customHeight="1">
      <c r="A10" s="56" t="s">
        <v>88</v>
      </c>
      <c r="B10" s="56" t="s">
        <v>89</v>
      </c>
      <c r="C10" s="56">
        <v>32.0</v>
      </c>
      <c r="D10" s="56">
        <f>VLOOKUP(E10,'AWS Platforms Ratios'!$A$2:$B$25,2,FALSE)</f>
        <v>32</v>
      </c>
      <c r="E10" s="57" t="s">
        <v>90</v>
      </c>
      <c r="F10" s="56">
        <v>244.0</v>
      </c>
      <c r="G10" s="56">
        <v>244.0</v>
      </c>
      <c r="H10" s="57" t="s">
        <v>91</v>
      </c>
      <c r="I10" s="56" t="s">
        <v>85</v>
      </c>
      <c r="J10" s="56">
        <v>2.0</v>
      </c>
      <c r="K10" s="58" t="s">
        <v>73</v>
      </c>
      <c r="L10" s="58" t="s">
        <v>73</v>
      </c>
      <c r="M10" s="58" t="s">
        <v>73</v>
      </c>
      <c r="N10" s="58" t="s">
        <v>73</v>
      </c>
      <c r="O10" s="59">
        <f>($C10/$D10)*VLOOKUP($E10,'AWS Platforms Ratios'!$A$2:$O$25,7,FALSE)</f>
        <v>27.74275862</v>
      </c>
      <c r="P10" s="59">
        <f>($C10/$D10)*VLOOKUP($E10,'AWS Platforms Ratios'!$A$2:$O$25,8,FALSE)</f>
        <v>79.19931034</v>
      </c>
      <c r="Q10" s="59">
        <f>($C10/$D10)*VLOOKUP($E10,'AWS Platforms Ratios'!$A$2:$O$25,9,FALSE)</f>
        <v>162.8955172</v>
      </c>
      <c r="R10" s="59">
        <f>($C10/$D10)*VLOOKUP($E10,'AWS Platforms Ratios'!$A$2:$O$25,10,FALSE)</f>
        <v>222.9671552</v>
      </c>
      <c r="S10" s="59">
        <f>$F10*VLOOKUP($E10,'AWS Platforms Ratios'!$A$2:$O$25,11,FALSE)</f>
        <v>48.8</v>
      </c>
      <c r="T10" s="59">
        <f>$F10*VLOOKUP($E10,'AWS Platforms Ratios'!$A$2:$O$25,12,FALSE)</f>
        <v>73.2</v>
      </c>
      <c r="U10" s="59">
        <f>$F10*VLOOKUP($E10,'AWS Platforms Ratios'!$A$2:$O$25,13,FALSE)</f>
        <v>97.6</v>
      </c>
      <c r="V10" s="59">
        <f>$F10*VLOOKUP($E10,'AWS Platforms Ratios'!$A$2:$O$25,14,FALSE)</f>
        <v>146.4</v>
      </c>
      <c r="W10" s="60">
        <f>IF($K10&lt;&gt;"N/A",$M10*(VLOOKUP($L10,'GPU Specs &amp; Ratios'!$B$2:$I$8,5,FALSE)),0)</f>
        <v>0</v>
      </c>
      <c r="X10" s="60">
        <f>IF($K10&lt;&gt;"N/A",$M10*(VLOOKUP($L10,'GPU Specs &amp; Ratios'!$B$2:$I$8,6,FALSE)),0)</f>
        <v>0</v>
      </c>
      <c r="Y10" s="60">
        <f>IF($K10&lt;&gt;"N/A",$M10*(VLOOKUP($L10,'GPU Specs &amp; Ratios'!$B$2:$I$8,7,FALSE)),0)</f>
        <v>0</v>
      </c>
      <c r="Z10" s="60">
        <f>IF($K10&lt;&gt;"N/A",$M10*(VLOOKUP($L10,'GPU Specs &amp; Ratios'!$B$2:$I$8,8,FALSE)),0)</f>
        <v>0</v>
      </c>
      <c r="AA10" s="60">
        <f>(C10/D10)*VLOOKUP($E10,'AWS Platforms Ratios'!$A$2:$O$25,15,FALSE)</f>
        <v>46</v>
      </c>
      <c r="AB10" s="60">
        <f t="shared" ref="AB10:AE10" si="9">O10+S10+W10+$AA10</f>
        <v>122.5427586</v>
      </c>
      <c r="AC10" s="60">
        <f t="shared" si="9"/>
        <v>198.3993103</v>
      </c>
      <c r="AD10" s="60">
        <f t="shared" si="9"/>
        <v>306.4955172</v>
      </c>
      <c r="AE10" s="60">
        <f t="shared" si="9"/>
        <v>415.3671552</v>
      </c>
      <c r="AF10" s="60">
        <f>IF(G10&gt;'Scope 3 Ratios'!$B$5,(G10-'Scope 3 Ratios'!$B$5)*('Scope 3 Ratios'!$B$6/'Scope 3 Ratios'!$B$5),0)</f>
        <v>316.2132</v>
      </c>
      <c r="AG10" s="60">
        <f>J10*IF(I10="SSD",'Scope 3 Ratios'!$B$9,'Scope 3 Ratios'!$B$8)</f>
        <v>200</v>
      </c>
      <c r="AH10" s="60">
        <f>IF(K10&lt;&gt;"N/A",K10*'Scope 3 Ratios'!$B$10,0)</f>
        <v>0</v>
      </c>
      <c r="AI10" s="60">
        <f>(VLOOKUP($E10,'AWS Platforms Ratios'!$A$2:$O$25,3,FALSE)-1)*'Scope 3 Ratios'!$B$7</f>
        <v>100</v>
      </c>
      <c r="AJ10" s="60">
        <f>'Scope 3 Ratios'!$B$2+AF10+AG10+AH10+AI10</f>
        <v>1616.2132</v>
      </c>
      <c r="AK10" s="60">
        <f>AJ10*'Scope 3 Ratios'!$B$4*(C10/D10)</f>
        <v>46.76542824</v>
      </c>
      <c r="AL10" s="61" t="s">
        <v>92</v>
      </c>
    </row>
    <row r="11" ht="15.0" customHeight="1">
      <c r="A11" s="56" t="s">
        <v>93</v>
      </c>
      <c r="B11" s="56" t="s">
        <v>94</v>
      </c>
      <c r="C11" s="56">
        <v>32.0</v>
      </c>
      <c r="D11" s="56">
        <f>VLOOKUP(E11,'AWS Platforms Ratios'!$A$2:$B$25,2,FALSE)</f>
        <v>32</v>
      </c>
      <c r="E11" s="57" t="s">
        <v>90</v>
      </c>
      <c r="F11" s="56">
        <v>60.5</v>
      </c>
      <c r="G11" s="56">
        <v>60.5</v>
      </c>
      <c r="H11" s="57" t="s">
        <v>95</v>
      </c>
      <c r="I11" s="56" t="s">
        <v>85</v>
      </c>
      <c r="J11" s="56">
        <v>4.0</v>
      </c>
      <c r="K11" s="58" t="s">
        <v>73</v>
      </c>
      <c r="L11" s="58" t="s">
        <v>73</v>
      </c>
      <c r="M11" s="58" t="s">
        <v>73</v>
      </c>
      <c r="N11" s="58" t="s">
        <v>73</v>
      </c>
      <c r="O11" s="59">
        <f>($C11/$D11)*VLOOKUP($E11,'AWS Platforms Ratios'!$A$2:$O$25,7,FALSE)</f>
        <v>27.74275862</v>
      </c>
      <c r="P11" s="59">
        <f>($C11/$D11)*VLOOKUP($E11,'AWS Platforms Ratios'!$A$2:$O$25,8,FALSE)</f>
        <v>79.19931034</v>
      </c>
      <c r="Q11" s="59">
        <f>($C11/$D11)*VLOOKUP($E11,'AWS Platforms Ratios'!$A$2:$O$25,9,FALSE)</f>
        <v>162.8955172</v>
      </c>
      <c r="R11" s="59">
        <f>($C11/$D11)*VLOOKUP($E11,'AWS Platforms Ratios'!$A$2:$O$25,10,FALSE)</f>
        <v>222.9671552</v>
      </c>
      <c r="S11" s="59">
        <f>$F11*VLOOKUP($E11,'AWS Platforms Ratios'!$A$2:$O$25,11,FALSE)</f>
        <v>12.1</v>
      </c>
      <c r="T11" s="59">
        <f>$F11*VLOOKUP($E11,'AWS Platforms Ratios'!$A$2:$O$25,12,FALSE)</f>
        <v>18.15</v>
      </c>
      <c r="U11" s="59">
        <f>$F11*VLOOKUP($E11,'AWS Platforms Ratios'!$A$2:$O$25,13,FALSE)</f>
        <v>24.2</v>
      </c>
      <c r="V11" s="59">
        <f>$F11*VLOOKUP($E11,'AWS Platforms Ratios'!$A$2:$O$25,14,FALSE)</f>
        <v>36.3</v>
      </c>
      <c r="W11" s="60">
        <f>IF($K11&lt;&gt;"N/A",$M11*(VLOOKUP($L11,'GPU Specs &amp; Ratios'!$B$2:$I$8,5,FALSE)),0)</f>
        <v>0</v>
      </c>
      <c r="X11" s="60">
        <f>IF($K11&lt;&gt;"N/A",$M11*(VLOOKUP($L11,'GPU Specs &amp; Ratios'!$B$2:$I$8,6,FALSE)),0)</f>
        <v>0</v>
      </c>
      <c r="Y11" s="60">
        <f>IF($K11&lt;&gt;"N/A",$M11*(VLOOKUP($L11,'GPU Specs &amp; Ratios'!$B$2:$I$8,7,FALSE)),0)</f>
        <v>0</v>
      </c>
      <c r="Z11" s="60">
        <f>IF($K11&lt;&gt;"N/A",$M11*(VLOOKUP($L11,'GPU Specs &amp; Ratios'!$B$2:$I$8,8,FALSE)),0)</f>
        <v>0</v>
      </c>
      <c r="AA11" s="60">
        <f>(C11/D11)*VLOOKUP($E11,'AWS Platforms Ratios'!$A$2:$O$25,15,FALSE)</f>
        <v>46</v>
      </c>
      <c r="AB11" s="60">
        <f t="shared" ref="AB11:AE11" si="10">O11+S11+W11+$AA11</f>
        <v>85.84275862</v>
      </c>
      <c r="AC11" s="60">
        <f t="shared" si="10"/>
        <v>143.3493103</v>
      </c>
      <c r="AD11" s="60">
        <f t="shared" si="10"/>
        <v>233.0955172</v>
      </c>
      <c r="AE11" s="60">
        <f t="shared" si="10"/>
        <v>305.2671552</v>
      </c>
      <c r="AF11" s="60">
        <f>IF(G11&gt;'Scope 3 Ratios'!$B$5,(G11-'Scope 3 Ratios'!$B$5)*('Scope 3 Ratios'!$B$6/'Scope 3 Ratios'!$B$5),0)</f>
        <v>61.71705</v>
      </c>
      <c r="AG11" s="60">
        <f>J11*IF(I11="SSD",'Scope 3 Ratios'!$B$9,'Scope 3 Ratios'!$B$8)</f>
        <v>400</v>
      </c>
      <c r="AH11" s="60">
        <f>IF(K11&lt;&gt;"N/A",K11*'Scope 3 Ratios'!$B$10,0)</f>
        <v>0</v>
      </c>
      <c r="AI11" s="60">
        <f>(VLOOKUP($E11,'AWS Platforms Ratios'!$A$2:$O$25,3,FALSE)-1)*'Scope 3 Ratios'!$B$7</f>
        <v>100</v>
      </c>
      <c r="AJ11" s="60">
        <f>'Scope 3 Ratios'!$B$2+AF11+AG11+AH11+AI11</f>
        <v>1561.71705</v>
      </c>
      <c r="AK11" s="60">
        <f>AJ11*'Scope 3 Ratios'!$B$4*(C11/D11)</f>
        <v>45.18857205</v>
      </c>
      <c r="AL11" s="61" t="s">
        <v>96</v>
      </c>
    </row>
    <row r="12" ht="15.0" customHeight="1">
      <c r="A12" s="56" t="s">
        <v>97</v>
      </c>
      <c r="B12" s="56" t="s">
        <v>98</v>
      </c>
      <c r="C12" s="56">
        <v>2.0</v>
      </c>
      <c r="D12" s="56">
        <f>VLOOKUP(E12,'AWS Platforms Ratios'!$A$2:$B$25,2,FALSE)</f>
        <v>40</v>
      </c>
      <c r="E12" s="57" t="s">
        <v>99</v>
      </c>
      <c r="F12" s="56">
        <v>3.75</v>
      </c>
      <c r="G12" s="56">
        <v>60.0</v>
      </c>
      <c r="H12" s="57" t="s">
        <v>100</v>
      </c>
      <c r="I12" s="56" t="s">
        <v>85</v>
      </c>
      <c r="J12" s="56">
        <v>2.0</v>
      </c>
      <c r="K12" s="58" t="s">
        <v>73</v>
      </c>
      <c r="L12" s="58" t="s">
        <v>73</v>
      </c>
      <c r="M12" s="58" t="s">
        <v>73</v>
      </c>
      <c r="N12" s="58" t="s">
        <v>73</v>
      </c>
      <c r="O12" s="59">
        <f>($C12/$D12)*VLOOKUP($E12,'AWS Platforms Ratios'!$A$2:$O$25,7,FALSE)</f>
        <v>1.387137931</v>
      </c>
      <c r="P12" s="59">
        <f>($C12/$D12)*VLOOKUP($E12,'AWS Platforms Ratios'!$A$2:$O$25,8,FALSE)</f>
        <v>3.959965517</v>
      </c>
      <c r="Q12" s="59">
        <f>($C12/$D12)*VLOOKUP($E12,'AWS Platforms Ratios'!$A$2:$O$25,9,FALSE)</f>
        <v>8.144775862</v>
      </c>
      <c r="R12" s="59">
        <f>($C12/$D12)*VLOOKUP($E12,'AWS Platforms Ratios'!$A$2:$O$25,10,FALSE)</f>
        <v>11.14835776</v>
      </c>
      <c r="S12" s="59">
        <f>$F12*VLOOKUP($E12,'AWS Platforms Ratios'!$A$2:$O$25,11,FALSE)</f>
        <v>0.75</v>
      </c>
      <c r="T12" s="59">
        <f>$F12*VLOOKUP($E12,'AWS Platforms Ratios'!$A$2:$O$25,12,FALSE)</f>
        <v>1.125</v>
      </c>
      <c r="U12" s="59">
        <f>$F12*VLOOKUP($E12,'AWS Platforms Ratios'!$A$2:$O$25,13,FALSE)</f>
        <v>1.5</v>
      </c>
      <c r="V12" s="59">
        <f>$F12*VLOOKUP($E12,'AWS Platforms Ratios'!$A$2:$O$25,14,FALSE)</f>
        <v>2.25</v>
      </c>
      <c r="W12" s="60">
        <f>IF($K12&lt;&gt;"N/A",$M12*(VLOOKUP($L12,'GPU Specs &amp; Ratios'!$B$2:$I$8,5,FALSE)),0)</f>
        <v>0</v>
      </c>
      <c r="X12" s="60">
        <f>IF($K12&lt;&gt;"N/A",$M12*(VLOOKUP($L12,'GPU Specs &amp; Ratios'!$B$2:$I$8,6,FALSE)),0)</f>
        <v>0</v>
      </c>
      <c r="Y12" s="60">
        <f>IF($K12&lt;&gt;"N/A",$M12*(VLOOKUP($L12,'GPU Specs &amp; Ratios'!$B$2:$I$8,7,FALSE)),0)</f>
        <v>0</v>
      </c>
      <c r="Z12" s="60">
        <f>IF($K12&lt;&gt;"N/A",$M12*(VLOOKUP($L12,'GPU Specs &amp; Ratios'!$B$2:$I$8,8,FALSE)),0)</f>
        <v>0</v>
      </c>
      <c r="AA12" s="60">
        <f>(C12/D12)*VLOOKUP($E12,'AWS Platforms Ratios'!$A$2:$O$25,15,FALSE)</f>
        <v>2.3</v>
      </c>
      <c r="AB12" s="60">
        <f t="shared" ref="AB12:AE12" si="11">O12+S12+W12+$AA12</f>
        <v>4.437137931</v>
      </c>
      <c r="AC12" s="60">
        <f t="shared" si="11"/>
        <v>7.384965517</v>
      </c>
      <c r="AD12" s="60">
        <f t="shared" si="11"/>
        <v>11.94477586</v>
      </c>
      <c r="AE12" s="60">
        <f t="shared" si="11"/>
        <v>15.69835776</v>
      </c>
      <c r="AF12" s="60">
        <f>IF(G12&gt;'Scope 3 Ratios'!$B$5,(G12-'Scope 3 Ratios'!$B$5)*('Scope 3 Ratios'!$B$6/'Scope 3 Ratios'!$B$5),0)</f>
        <v>61.0236</v>
      </c>
      <c r="AG12" s="60">
        <f>J12*IF(I12="SSD",'Scope 3 Ratios'!$B$9,'Scope 3 Ratios'!$B$8)</f>
        <v>200</v>
      </c>
      <c r="AH12" s="60">
        <f>IF(K12&lt;&gt;"N/A",K12*'Scope 3 Ratios'!$B$10,0)</f>
        <v>0</v>
      </c>
      <c r="AI12" s="60">
        <f>(VLOOKUP($E12,'AWS Platforms Ratios'!$A$2:$O$25,3,FALSE)-1)*'Scope 3 Ratios'!$B$7</f>
        <v>100</v>
      </c>
      <c r="AJ12" s="60">
        <f>'Scope 3 Ratios'!$B$2+AF12+AG12+AH12+AI12</f>
        <v>1361.0236</v>
      </c>
      <c r="AK12" s="60">
        <f>AJ12*'Scope 3 Ratios'!$B$4*(C12/D12)</f>
        <v>1.969073495</v>
      </c>
      <c r="AL12" s="61" t="s">
        <v>101</v>
      </c>
    </row>
    <row r="13" ht="15.0" customHeight="1">
      <c r="A13" s="56" t="s">
        <v>102</v>
      </c>
      <c r="B13" s="56" t="s">
        <v>98</v>
      </c>
      <c r="C13" s="56">
        <v>4.0</v>
      </c>
      <c r="D13" s="56">
        <f>VLOOKUP(E13,'AWS Platforms Ratios'!$A$2:$B$25,2,FALSE)</f>
        <v>40</v>
      </c>
      <c r="E13" s="57" t="s">
        <v>99</v>
      </c>
      <c r="F13" s="56">
        <v>7.5</v>
      </c>
      <c r="G13" s="56">
        <v>60.0</v>
      </c>
      <c r="H13" s="57" t="s">
        <v>103</v>
      </c>
      <c r="I13" s="56" t="s">
        <v>85</v>
      </c>
      <c r="J13" s="56">
        <v>2.0</v>
      </c>
      <c r="K13" s="58" t="s">
        <v>73</v>
      </c>
      <c r="L13" s="58" t="s">
        <v>73</v>
      </c>
      <c r="M13" s="58" t="s">
        <v>73</v>
      </c>
      <c r="N13" s="58" t="s">
        <v>73</v>
      </c>
      <c r="O13" s="59">
        <f>($C13/$D13)*VLOOKUP($E13,'AWS Platforms Ratios'!$A$2:$O$25,7,FALSE)</f>
        <v>2.774275862</v>
      </c>
      <c r="P13" s="59">
        <f>($C13/$D13)*VLOOKUP($E13,'AWS Platforms Ratios'!$A$2:$O$25,8,FALSE)</f>
        <v>7.919931034</v>
      </c>
      <c r="Q13" s="59">
        <f>($C13/$D13)*VLOOKUP($E13,'AWS Platforms Ratios'!$A$2:$O$25,9,FALSE)</f>
        <v>16.28955172</v>
      </c>
      <c r="R13" s="59">
        <f>($C13/$D13)*VLOOKUP($E13,'AWS Platforms Ratios'!$A$2:$O$25,10,FALSE)</f>
        <v>22.29671552</v>
      </c>
      <c r="S13" s="59">
        <f>$F13*VLOOKUP($E13,'AWS Platforms Ratios'!$A$2:$O$25,11,FALSE)</f>
        <v>1.5</v>
      </c>
      <c r="T13" s="59">
        <f>$F13*VLOOKUP($E13,'AWS Platforms Ratios'!$A$2:$O$25,12,FALSE)</f>
        <v>2.25</v>
      </c>
      <c r="U13" s="59">
        <f>$F13*VLOOKUP($E13,'AWS Platforms Ratios'!$A$2:$O$25,13,FALSE)</f>
        <v>3</v>
      </c>
      <c r="V13" s="59">
        <f>$F13*VLOOKUP($E13,'AWS Platforms Ratios'!$A$2:$O$25,14,FALSE)</f>
        <v>4.5</v>
      </c>
      <c r="W13" s="60">
        <f>IF($K13&lt;&gt;"N/A",$M13*(VLOOKUP($L13,'GPU Specs &amp; Ratios'!$B$2:$I$8,5,FALSE)),0)</f>
        <v>0</v>
      </c>
      <c r="X13" s="60">
        <f>IF($K13&lt;&gt;"N/A",$M13*(VLOOKUP($L13,'GPU Specs &amp; Ratios'!$B$2:$I$8,6,FALSE)),0)</f>
        <v>0</v>
      </c>
      <c r="Y13" s="60">
        <f>IF($K13&lt;&gt;"N/A",$M13*(VLOOKUP($L13,'GPU Specs &amp; Ratios'!$B$2:$I$8,7,FALSE)),0)</f>
        <v>0</v>
      </c>
      <c r="Z13" s="60">
        <f>IF($K13&lt;&gt;"N/A",$M13*(VLOOKUP($L13,'GPU Specs &amp; Ratios'!$B$2:$I$8,8,FALSE)),0)</f>
        <v>0</v>
      </c>
      <c r="AA13" s="60">
        <f>(C13/D13)*VLOOKUP($E13,'AWS Platforms Ratios'!$A$2:$O$25,15,FALSE)</f>
        <v>4.6</v>
      </c>
      <c r="AB13" s="60">
        <f t="shared" ref="AB13:AE13" si="12">O13+S13+W13+$AA13</f>
        <v>8.874275862</v>
      </c>
      <c r="AC13" s="60">
        <f t="shared" si="12"/>
        <v>14.76993103</v>
      </c>
      <c r="AD13" s="60">
        <f t="shared" si="12"/>
        <v>23.88955172</v>
      </c>
      <c r="AE13" s="60">
        <f t="shared" si="12"/>
        <v>31.39671552</v>
      </c>
      <c r="AF13" s="60">
        <f>IF(G13&gt;'Scope 3 Ratios'!$B$5,(G13-'Scope 3 Ratios'!$B$5)*('Scope 3 Ratios'!$B$6/'Scope 3 Ratios'!$B$5),0)</f>
        <v>61.0236</v>
      </c>
      <c r="AG13" s="60">
        <f>J13*IF(I13="SSD",'Scope 3 Ratios'!$B$9,'Scope 3 Ratios'!$B$8)</f>
        <v>200</v>
      </c>
      <c r="AH13" s="60">
        <f>IF(K13&lt;&gt;"N/A",K13*'Scope 3 Ratios'!$B$10,0)</f>
        <v>0</v>
      </c>
      <c r="AI13" s="60">
        <f>(VLOOKUP($E13,'AWS Platforms Ratios'!$A$2:$O$25,3,FALSE)-1)*'Scope 3 Ratios'!$B$7</f>
        <v>100</v>
      </c>
      <c r="AJ13" s="60">
        <f>'Scope 3 Ratios'!$B$2+AF13+AG13+AH13+AI13</f>
        <v>1361.0236</v>
      </c>
      <c r="AK13" s="60">
        <f>AJ13*'Scope 3 Ratios'!$B$4*(C13/D13)</f>
        <v>3.938146991</v>
      </c>
      <c r="AL13" s="61" t="s">
        <v>101</v>
      </c>
    </row>
    <row r="14" ht="15.0" customHeight="1">
      <c r="A14" s="56" t="s">
        <v>104</v>
      </c>
      <c r="B14" s="56" t="s">
        <v>98</v>
      </c>
      <c r="C14" s="56">
        <v>8.0</v>
      </c>
      <c r="D14" s="56">
        <f>VLOOKUP(E14,'AWS Platforms Ratios'!$A$2:$B$25,2,FALSE)</f>
        <v>40</v>
      </c>
      <c r="E14" s="57" t="s">
        <v>99</v>
      </c>
      <c r="F14" s="56">
        <v>15.0</v>
      </c>
      <c r="G14" s="56">
        <v>60.0</v>
      </c>
      <c r="H14" s="57" t="s">
        <v>105</v>
      </c>
      <c r="I14" s="56" t="s">
        <v>85</v>
      </c>
      <c r="J14" s="56">
        <v>2.0</v>
      </c>
      <c r="K14" s="58" t="s">
        <v>73</v>
      </c>
      <c r="L14" s="58" t="s">
        <v>73</v>
      </c>
      <c r="M14" s="58" t="s">
        <v>73</v>
      </c>
      <c r="N14" s="58" t="s">
        <v>73</v>
      </c>
      <c r="O14" s="59">
        <f>($C14/$D14)*VLOOKUP($E14,'AWS Platforms Ratios'!$A$2:$O$25,7,FALSE)</f>
        <v>5.548551724</v>
      </c>
      <c r="P14" s="59">
        <f>($C14/$D14)*VLOOKUP($E14,'AWS Platforms Ratios'!$A$2:$O$25,8,FALSE)</f>
        <v>15.83986207</v>
      </c>
      <c r="Q14" s="59">
        <f>($C14/$D14)*VLOOKUP($E14,'AWS Platforms Ratios'!$A$2:$O$25,9,FALSE)</f>
        <v>32.57910345</v>
      </c>
      <c r="R14" s="59">
        <f>($C14/$D14)*VLOOKUP($E14,'AWS Platforms Ratios'!$A$2:$O$25,10,FALSE)</f>
        <v>44.59343103</v>
      </c>
      <c r="S14" s="59">
        <f>$F14*VLOOKUP($E14,'AWS Platforms Ratios'!$A$2:$O$25,11,FALSE)</f>
        <v>3</v>
      </c>
      <c r="T14" s="59">
        <f>$F14*VLOOKUP($E14,'AWS Platforms Ratios'!$A$2:$O$25,12,FALSE)</f>
        <v>4.5</v>
      </c>
      <c r="U14" s="59">
        <f>$F14*VLOOKUP($E14,'AWS Platforms Ratios'!$A$2:$O$25,13,FALSE)</f>
        <v>6</v>
      </c>
      <c r="V14" s="59">
        <f>$F14*VLOOKUP($E14,'AWS Platforms Ratios'!$A$2:$O$25,14,FALSE)</f>
        <v>9</v>
      </c>
      <c r="W14" s="60">
        <f>IF($K14&lt;&gt;"N/A",$M14*(VLOOKUP($L14,'GPU Specs &amp; Ratios'!$B$2:$I$8,5,FALSE)),0)</f>
        <v>0</v>
      </c>
      <c r="X14" s="60">
        <f>IF($K14&lt;&gt;"N/A",$M14*(VLOOKUP($L14,'GPU Specs &amp; Ratios'!$B$2:$I$8,6,FALSE)),0)</f>
        <v>0</v>
      </c>
      <c r="Y14" s="60">
        <f>IF($K14&lt;&gt;"N/A",$M14*(VLOOKUP($L14,'GPU Specs &amp; Ratios'!$B$2:$I$8,7,FALSE)),0)</f>
        <v>0</v>
      </c>
      <c r="Z14" s="60">
        <f>IF($K14&lt;&gt;"N/A",$M14*(VLOOKUP($L14,'GPU Specs &amp; Ratios'!$B$2:$I$8,8,FALSE)),0)</f>
        <v>0</v>
      </c>
      <c r="AA14" s="60">
        <f>(C14/D14)*VLOOKUP($E14,'AWS Platforms Ratios'!$A$2:$O$25,15,FALSE)</f>
        <v>9.2</v>
      </c>
      <c r="AB14" s="60">
        <f t="shared" ref="AB14:AE14" si="13">O14+S14+W14+$AA14</f>
        <v>17.74855172</v>
      </c>
      <c r="AC14" s="60">
        <f t="shared" si="13"/>
        <v>29.53986207</v>
      </c>
      <c r="AD14" s="60">
        <f t="shared" si="13"/>
        <v>47.77910345</v>
      </c>
      <c r="AE14" s="60">
        <f t="shared" si="13"/>
        <v>62.79343103</v>
      </c>
      <c r="AF14" s="60">
        <f>IF(G14&gt;'Scope 3 Ratios'!$B$5,(G14-'Scope 3 Ratios'!$B$5)*('Scope 3 Ratios'!$B$6/'Scope 3 Ratios'!$B$5),0)</f>
        <v>61.0236</v>
      </c>
      <c r="AG14" s="60">
        <f>J14*IF(I14="SSD",'Scope 3 Ratios'!$B$9,'Scope 3 Ratios'!$B$8)</f>
        <v>200</v>
      </c>
      <c r="AH14" s="60">
        <f>IF(K14&lt;&gt;"N/A",K14*'Scope 3 Ratios'!$B$10,0)</f>
        <v>0</v>
      </c>
      <c r="AI14" s="60">
        <f>(VLOOKUP($E14,'AWS Platforms Ratios'!$A$2:$O$25,3,FALSE)-1)*'Scope 3 Ratios'!$B$7</f>
        <v>100</v>
      </c>
      <c r="AJ14" s="60">
        <f>'Scope 3 Ratios'!$B$2+AF14+AG14+AH14+AI14</f>
        <v>1361.0236</v>
      </c>
      <c r="AK14" s="60">
        <f>AJ14*'Scope 3 Ratios'!$B$4*(C14/D14)</f>
        <v>7.876293981</v>
      </c>
      <c r="AL14" s="61" t="s">
        <v>101</v>
      </c>
    </row>
    <row r="15" ht="15.0" customHeight="1">
      <c r="A15" s="56" t="s">
        <v>106</v>
      </c>
      <c r="B15" s="56" t="s">
        <v>98</v>
      </c>
      <c r="C15" s="56">
        <v>16.0</v>
      </c>
      <c r="D15" s="56">
        <f>VLOOKUP(E15,'AWS Platforms Ratios'!$A$2:$B$25,2,FALSE)</f>
        <v>40</v>
      </c>
      <c r="E15" s="57" t="s">
        <v>99</v>
      </c>
      <c r="F15" s="56">
        <v>30.0</v>
      </c>
      <c r="G15" s="56">
        <v>60.0</v>
      </c>
      <c r="H15" s="57" t="s">
        <v>107</v>
      </c>
      <c r="I15" s="56" t="s">
        <v>85</v>
      </c>
      <c r="J15" s="56">
        <v>2.0</v>
      </c>
      <c r="K15" s="58" t="s">
        <v>73</v>
      </c>
      <c r="L15" s="58" t="s">
        <v>73</v>
      </c>
      <c r="M15" s="58" t="s">
        <v>73</v>
      </c>
      <c r="N15" s="58" t="s">
        <v>73</v>
      </c>
      <c r="O15" s="59">
        <f>($C15/$D15)*VLOOKUP($E15,'AWS Platforms Ratios'!$A$2:$O$25,7,FALSE)</f>
        <v>11.09710345</v>
      </c>
      <c r="P15" s="59">
        <f>($C15/$D15)*VLOOKUP($E15,'AWS Platforms Ratios'!$A$2:$O$25,8,FALSE)</f>
        <v>31.67972414</v>
      </c>
      <c r="Q15" s="59">
        <f>($C15/$D15)*VLOOKUP($E15,'AWS Platforms Ratios'!$A$2:$O$25,9,FALSE)</f>
        <v>65.1582069</v>
      </c>
      <c r="R15" s="59">
        <f>($C15/$D15)*VLOOKUP($E15,'AWS Platforms Ratios'!$A$2:$O$25,10,FALSE)</f>
        <v>89.18686207</v>
      </c>
      <c r="S15" s="59">
        <f>$F15*VLOOKUP($E15,'AWS Platforms Ratios'!$A$2:$O$25,11,FALSE)</f>
        <v>6</v>
      </c>
      <c r="T15" s="59">
        <f>$F15*VLOOKUP($E15,'AWS Platforms Ratios'!$A$2:$O$25,12,FALSE)</f>
        <v>9</v>
      </c>
      <c r="U15" s="59">
        <f>$F15*VLOOKUP($E15,'AWS Platforms Ratios'!$A$2:$O$25,13,FALSE)</f>
        <v>12</v>
      </c>
      <c r="V15" s="59">
        <f>$F15*VLOOKUP($E15,'AWS Platforms Ratios'!$A$2:$O$25,14,FALSE)</f>
        <v>18</v>
      </c>
      <c r="W15" s="60">
        <f>IF($K15&lt;&gt;"N/A",$M15*(VLOOKUP($L15,'GPU Specs &amp; Ratios'!$B$2:$I$8,5,FALSE)),0)</f>
        <v>0</v>
      </c>
      <c r="X15" s="60">
        <f>IF($K15&lt;&gt;"N/A",$M15*(VLOOKUP($L15,'GPU Specs &amp; Ratios'!$B$2:$I$8,6,FALSE)),0)</f>
        <v>0</v>
      </c>
      <c r="Y15" s="60">
        <f>IF($K15&lt;&gt;"N/A",$M15*(VLOOKUP($L15,'GPU Specs &amp; Ratios'!$B$2:$I$8,7,FALSE)),0)</f>
        <v>0</v>
      </c>
      <c r="Z15" s="60">
        <f>IF($K15&lt;&gt;"N/A",$M15*(VLOOKUP($L15,'GPU Specs &amp; Ratios'!$B$2:$I$8,8,FALSE)),0)</f>
        <v>0</v>
      </c>
      <c r="AA15" s="60">
        <f>(C15/D15)*VLOOKUP($E15,'AWS Platforms Ratios'!$A$2:$O$25,15,FALSE)</f>
        <v>18.4</v>
      </c>
      <c r="AB15" s="60">
        <f t="shared" ref="AB15:AE15" si="14">O15+S15+W15+$AA15</f>
        <v>35.49710345</v>
      </c>
      <c r="AC15" s="60">
        <f t="shared" si="14"/>
        <v>59.07972414</v>
      </c>
      <c r="AD15" s="60">
        <f t="shared" si="14"/>
        <v>95.5582069</v>
      </c>
      <c r="AE15" s="60">
        <f t="shared" si="14"/>
        <v>125.5868621</v>
      </c>
      <c r="AF15" s="60">
        <f>IF(G15&gt;'Scope 3 Ratios'!$B$5,(G15-'Scope 3 Ratios'!$B$5)*('Scope 3 Ratios'!$B$6/'Scope 3 Ratios'!$B$5),0)</f>
        <v>61.0236</v>
      </c>
      <c r="AG15" s="60">
        <f>J15*IF(I15="SSD",'Scope 3 Ratios'!$B$9,'Scope 3 Ratios'!$B$8)</f>
        <v>200</v>
      </c>
      <c r="AH15" s="60">
        <f>IF(K15&lt;&gt;"N/A",K15*'Scope 3 Ratios'!$B$10,0)</f>
        <v>0</v>
      </c>
      <c r="AI15" s="60">
        <f>(VLOOKUP($E15,'AWS Platforms Ratios'!$A$2:$O$25,3,FALSE)-1)*'Scope 3 Ratios'!$B$7</f>
        <v>100</v>
      </c>
      <c r="AJ15" s="60">
        <f>'Scope 3 Ratios'!$B$2+AF15+AG15+AH15+AI15</f>
        <v>1361.0236</v>
      </c>
      <c r="AK15" s="60">
        <f>AJ15*'Scope 3 Ratios'!$B$4*(C15/D15)</f>
        <v>15.75258796</v>
      </c>
      <c r="AL15" s="61" t="s">
        <v>101</v>
      </c>
    </row>
    <row r="16" ht="15.0" customHeight="1">
      <c r="A16" s="56" t="s">
        <v>108</v>
      </c>
      <c r="B16" s="56" t="s">
        <v>98</v>
      </c>
      <c r="C16" s="56">
        <v>32.0</v>
      </c>
      <c r="D16" s="56">
        <f>VLOOKUP(E16,'AWS Platforms Ratios'!$A$2:$B$25,2,FALSE)</f>
        <v>40</v>
      </c>
      <c r="E16" s="57" t="s">
        <v>99</v>
      </c>
      <c r="F16" s="56">
        <v>60.0</v>
      </c>
      <c r="G16" s="56">
        <v>60.0</v>
      </c>
      <c r="H16" s="57" t="s">
        <v>109</v>
      </c>
      <c r="I16" s="56" t="s">
        <v>85</v>
      </c>
      <c r="J16" s="56">
        <v>2.0</v>
      </c>
      <c r="K16" s="58" t="s">
        <v>73</v>
      </c>
      <c r="L16" s="58" t="s">
        <v>73</v>
      </c>
      <c r="M16" s="58" t="s">
        <v>73</v>
      </c>
      <c r="N16" s="58" t="s">
        <v>73</v>
      </c>
      <c r="O16" s="59">
        <f>($C16/$D16)*VLOOKUP($E16,'AWS Platforms Ratios'!$A$2:$O$25,7,FALSE)</f>
        <v>22.1942069</v>
      </c>
      <c r="P16" s="59">
        <f>($C16/$D16)*VLOOKUP($E16,'AWS Platforms Ratios'!$A$2:$O$25,8,FALSE)</f>
        <v>63.35944828</v>
      </c>
      <c r="Q16" s="59">
        <f>($C16/$D16)*VLOOKUP($E16,'AWS Platforms Ratios'!$A$2:$O$25,9,FALSE)</f>
        <v>130.3164138</v>
      </c>
      <c r="R16" s="59">
        <f>($C16/$D16)*VLOOKUP($E16,'AWS Platforms Ratios'!$A$2:$O$25,10,FALSE)</f>
        <v>178.3737241</v>
      </c>
      <c r="S16" s="59">
        <f>$F16*VLOOKUP($E16,'AWS Platforms Ratios'!$A$2:$O$25,11,FALSE)</f>
        <v>12</v>
      </c>
      <c r="T16" s="59">
        <f>$F16*VLOOKUP($E16,'AWS Platforms Ratios'!$A$2:$O$25,12,FALSE)</f>
        <v>18</v>
      </c>
      <c r="U16" s="59">
        <f>$F16*VLOOKUP($E16,'AWS Platforms Ratios'!$A$2:$O$25,13,FALSE)</f>
        <v>24</v>
      </c>
      <c r="V16" s="59">
        <f>$F16*VLOOKUP($E16,'AWS Platforms Ratios'!$A$2:$O$25,14,FALSE)</f>
        <v>36</v>
      </c>
      <c r="W16" s="60">
        <f>IF($K16&lt;&gt;"N/A",$M16*(VLOOKUP($L16,'GPU Specs &amp; Ratios'!$B$2:$I$8,5,FALSE)),0)</f>
        <v>0</v>
      </c>
      <c r="X16" s="60">
        <f>IF($K16&lt;&gt;"N/A",$M16*(VLOOKUP($L16,'GPU Specs &amp; Ratios'!$B$2:$I$8,6,FALSE)),0)</f>
        <v>0</v>
      </c>
      <c r="Y16" s="60">
        <f>IF($K16&lt;&gt;"N/A",$M16*(VLOOKUP($L16,'GPU Specs &amp; Ratios'!$B$2:$I$8,7,FALSE)),0)</f>
        <v>0</v>
      </c>
      <c r="Z16" s="60">
        <f>IF($K16&lt;&gt;"N/A",$M16*(VLOOKUP($L16,'GPU Specs &amp; Ratios'!$B$2:$I$8,8,FALSE)),0)</f>
        <v>0</v>
      </c>
      <c r="AA16" s="60">
        <f>(C16/D16)*VLOOKUP($E16,'AWS Platforms Ratios'!$A$2:$O$25,15,FALSE)</f>
        <v>36.8</v>
      </c>
      <c r="AB16" s="60">
        <f t="shared" ref="AB16:AE16" si="15">O16+S16+W16+$AA16</f>
        <v>70.9942069</v>
      </c>
      <c r="AC16" s="60">
        <f t="shared" si="15"/>
        <v>118.1594483</v>
      </c>
      <c r="AD16" s="60">
        <f t="shared" si="15"/>
        <v>191.1164138</v>
      </c>
      <c r="AE16" s="60">
        <f t="shared" si="15"/>
        <v>251.1737241</v>
      </c>
      <c r="AF16" s="60">
        <f>IF(G16&gt;'Scope 3 Ratios'!$B$5,(G16-'Scope 3 Ratios'!$B$5)*('Scope 3 Ratios'!$B$6/'Scope 3 Ratios'!$B$5),0)</f>
        <v>61.0236</v>
      </c>
      <c r="AG16" s="60">
        <f>J16*IF(I16="SSD",'Scope 3 Ratios'!$B$9,'Scope 3 Ratios'!$B$8)</f>
        <v>200</v>
      </c>
      <c r="AH16" s="60">
        <f>IF(K16&lt;&gt;"N/A",K16*'Scope 3 Ratios'!$B$10,0)</f>
        <v>0</v>
      </c>
      <c r="AI16" s="60">
        <f>(VLOOKUP($E16,'AWS Platforms Ratios'!$A$2:$O$25,3,FALSE)-1)*'Scope 3 Ratios'!$B$7</f>
        <v>100</v>
      </c>
      <c r="AJ16" s="60">
        <f>'Scope 3 Ratios'!$B$2+AF16+AG16+AH16+AI16</f>
        <v>1361.0236</v>
      </c>
      <c r="AK16" s="60">
        <f>AJ16*'Scope 3 Ratios'!$B$4*(C16/D16)</f>
        <v>31.50517593</v>
      </c>
      <c r="AL16" s="61" t="s">
        <v>101</v>
      </c>
    </row>
    <row r="17" ht="15.0" customHeight="1">
      <c r="A17" s="56" t="s">
        <v>110</v>
      </c>
      <c r="B17" s="56" t="s">
        <v>111</v>
      </c>
      <c r="C17" s="56">
        <v>2.0</v>
      </c>
      <c r="D17" s="56">
        <f>VLOOKUP(E17,'AWS Platforms Ratios'!$A$2:$B$25,2,FALSE)</f>
        <v>40</v>
      </c>
      <c r="E17" s="57" t="s">
        <v>112</v>
      </c>
      <c r="F17" s="56">
        <v>3.75</v>
      </c>
      <c r="G17" s="56">
        <v>60.0</v>
      </c>
      <c r="H17" s="57" t="s">
        <v>71</v>
      </c>
      <c r="I17" s="56" t="s">
        <v>72</v>
      </c>
      <c r="J17" s="56">
        <v>0.0</v>
      </c>
      <c r="K17" s="58" t="s">
        <v>73</v>
      </c>
      <c r="L17" s="58" t="s">
        <v>73</v>
      </c>
      <c r="M17" s="58" t="s">
        <v>73</v>
      </c>
      <c r="N17" s="58" t="s">
        <v>73</v>
      </c>
      <c r="O17" s="59">
        <f>($C17/$D17)*VLOOKUP($E17,'AWS Platforms Ratios'!$A$2:$O$25,7,FALSE)</f>
        <v>1.62837931</v>
      </c>
      <c r="P17" s="59">
        <f>($C17/$D17)*VLOOKUP($E17,'AWS Platforms Ratios'!$A$2:$O$25,8,FALSE)</f>
        <v>4.648655172</v>
      </c>
      <c r="Q17" s="59">
        <f>($C17/$D17)*VLOOKUP($E17,'AWS Platforms Ratios'!$A$2:$O$25,9,FALSE)</f>
        <v>9.561258621</v>
      </c>
      <c r="R17" s="59">
        <f>($C17/$D17)*VLOOKUP($E17,'AWS Platforms Ratios'!$A$2:$O$25,10,FALSE)</f>
        <v>13.08720259</v>
      </c>
      <c r="S17" s="59">
        <f>$F17*VLOOKUP($E17,'AWS Platforms Ratios'!$A$2:$O$25,11,FALSE)</f>
        <v>0.75</v>
      </c>
      <c r="T17" s="59">
        <f>$F17*VLOOKUP($E17,'AWS Platforms Ratios'!$A$2:$O$25,12,FALSE)</f>
        <v>1.125</v>
      </c>
      <c r="U17" s="59">
        <f>$F17*VLOOKUP($E17,'AWS Platforms Ratios'!$A$2:$O$25,13,FALSE)</f>
        <v>1.5</v>
      </c>
      <c r="V17" s="59">
        <f>$F17*VLOOKUP($E17,'AWS Platforms Ratios'!$A$2:$O$25,14,FALSE)</f>
        <v>2.25</v>
      </c>
      <c r="W17" s="60">
        <f>IF($K17&lt;&gt;"N/A",$M17*(VLOOKUP($L17,'GPU Specs &amp; Ratios'!$B$2:$I$8,5,FALSE)),0)</f>
        <v>0</v>
      </c>
      <c r="X17" s="60">
        <f>IF($K17&lt;&gt;"N/A",$M17*(VLOOKUP($L17,'GPU Specs &amp; Ratios'!$B$2:$I$8,6,FALSE)),0)</f>
        <v>0</v>
      </c>
      <c r="Y17" s="60">
        <f>IF($K17&lt;&gt;"N/A",$M17*(VLOOKUP($L17,'GPU Specs &amp; Ratios'!$B$2:$I$8,7,FALSE)),0)</f>
        <v>0</v>
      </c>
      <c r="Z17" s="60">
        <f>IF($K17&lt;&gt;"N/A",$M17*(VLOOKUP($L17,'GPU Specs &amp; Ratios'!$B$2:$I$8,8,FALSE)),0)</f>
        <v>0</v>
      </c>
      <c r="AA17" s="60">
        <f>(C17/D17)*VLOOKUP($E17,'AWS Platforms Ratios'!$A$2:$O$25,15,FALSE)</f>
        <v>2.7</v>
      </c>
      <c r="AB17" s="60">
        <f t="shared" ref="AB17:AE17" si="16">O17+S17+W17+$AA17</f>
        <v>5.07837931</v>
      </c>
      <c r="AC17" s="60">
        <f t="shared" si="16"/>
        <v>8.473655172</v>
      </c>
      <c r="AD17" s="60">
        <f t="shared" si="16"/>
        <v>13.76125862</v>
      </c>
      <c r="AE17" s="60">
        <f t="shared" si="16"/>
        <v>18.03720259</v>
      </c>
      <c r="AF17" s="60">
        <f>IF(G17&gt;'Scope 3 Ratios'!$B$5,(G17-'Scope 3 Ratios'!$B$5)*('Scope 3 Ratios'!$B$6/'Scope 3 Ratios'!$B$5),0)</f>
        <v>61.0236</v>
      </c>
      <c r="AG17" s="60">
        <f>J17*IF(I17="SSD",'Scope 3 Ratios'!$B$9,'Scope 3 Ratios'!$B$8)</f>
        <v>0</v>
      </c>
      <c r="AH17" s="60">
        <f>IF(K17&lt;&gt;"N/A",K17*'Scope 3 Ratios'!$B$10,0)</f>
        <v>0</v>
      </c>
      <c r="AI17" s="60">
        <f>(VLOOKUP($E17,'AWS Platforms Ratios'!$A$2:$O$25,3,FALSE)-1)*'Scope 3 Ratios'!$B$7</f>
        <v>100</v>
      </c>
      <c r="AJ17" s="60">
        <f>'Scope 3 Ratios'!$B$2+AF17+AG17+AH17+AI17</f>
        <v>1161.0236</v>
      </c>
      <c r="AK17" s="60">
        <f>AJ17*'Scope 3 Ratios'!$B$4*(C17/D17)</f>
        <v>1.679721644</v>
      </c>
      <c r="AL17" s="61" t="s">
        <v>113</v>
      </c>
    </row>
    <row r="18" ht="15.0" customHeight="1">
      <c r="A18" s="56" t="s">
        <v>114</v>
      </c>
      <c r="B18" s="56" t="s">
        <v>111</v>
      </c>
      <c r="C18" s="56">
        <v>4.0</v>
      </c>
      <c r="D18" s="56">
        <f>VLOOKUP(E18,'AWS Platforms Ratios'!$A$2:$B$25,2,FALSE)</f>
        <v>40</v>
      </c>
      <c r="E18" s="57" t="s">
        <v>112</v>
      </c>
      <c r="F18" s="56">
        <v>7.5</v>
      </c>
      <c r="G18" s="56">
        <v>60.0</v>
      </c>
      <c r="H18" s="57" t="s">
        <v>71</v>
      </c>
      <c r="I18" s="56" t="s">
        <v>72</v>
      </c>
      <c r="J18" s="56">
        <v>0.0</v>
      </c>
      <c r="K18" s="58" t="s">
        <v>73</v>
      </c>
      <c r="L18" s="58" t="s">
        <v>73</v>
      </c>
      <c r="M18" s="58" t="s">
        <v>73</v>
      </c>
      <c r="N18" s="58" t="s">
        <v>73</v>
      </c>
      <c r="O18" s="59">
        <f>($C18/$D18)*VLOOKUP($E18,'AWS Platforms Ratios'!$A$2:$O$25,7,FALSE)</f>
        <v>3.256758621</v>
      </c>
      <c r="P18" s="59">
        <f>($C18/$D18)*VLOOKUP($E18,'AWS Platforms Ratios'!$A$2:$O$25,8,FALSE)</f>
        <v>9.297310345</v>
      </c>
      <c r="Q18" s="59">
        <f>($C18/$D18)*VLOOKUP($E18,'AWS Platforms Ratios'!$A$2:$O$25,9,FALSE)</f>
        <v>19.12251724</v>
      </c>
      <c r="R18" s="59">
        <f>($C18/$D18)*VLOOKUP($E18,'AWS Platforms Ratios'!$A$2:$O$25,10,FALSE)</f>
        <v>26.17440517</v>
      </c>
      <c r="S18" s="59">
        <f>$F18*VLOOKUP($E18,'AWS Platforms Ratios'!$A$2:$O$25,11,FALSE)</f>
        <v>1.5</v>
      </c>
      <c r="T18" s="59">
        <f>$F18*VLOOKUP($E18,'AWS Platforms Ratios'!$A$2:$O$25,12,FALSE)</f>
        <v>2.25</v>
      </c>
      <c r="U18" s="59">
        <f>$F18*VLOOKUP($E18,'AWS Platforms Ratios'!$A$2:$O$25,13,FALSE)</f>
        <v>3</v>
      </c>
      <c r="V18" s="59">
        <f>$F18*VLOOKUP($E18,'AWS Platforms Ratios'!$A$2:$O$25,14,FALSE)</f>
        <v>4.5</v>
      </c>
      <c r="W18" s="60">
        <f>IF($K18&lt;&gt;"N/A",$M18*(VLOOKUP($L18,'GPU Specs &amp; Ratios'!$B$2:$I$8,5,FALSE)),0)</f>
        <v>0</v>
      </c>
      <c r="X18" s="60">
        <f>IF($K18&lt;&gt;"N/A",$M18*(VLOOKUP($L18,'GPU Specs &amp; Ratios'!$B$2:$I$8,6,FALSE)),0)</f>
        <v>0</v>
      </c>
      <c r="Y18" s="60">
        <f>IF($K18&lt;&gt;"N/A",$M18*(VLOOKUP($L18,'GPU Specs &amp; Ratios'!$B$2:$I$8,7,FALSE)),0)</f>
        <v>0</v>
      </c>
      <c r="Z18" s="60">
        <f>IF($K18&lt;&gt;"N/A",$M18*(VLOOKUP($L18,'GPU Specs &amp; Ratios'!$B$2:$I$8,8,FALSE)),0)</f>
        <v>0</v>
      </c>
      <c r="AA18" s="60">
        <f>(C18/D18)*VLOOKUP($E18,'AWS Platforms Ratios'!$A$2:$O$25,15,FALSE)</f>
        <v>5.4</v>
      </c>
      <c r="AB18" s="60">
        <f t="shared" ref="AB18:AE18" si="17">O18+S18+W18+$AA18</f>
        <v>10.15675862</v>
      </c>
      <c r="AC18" s="60">
        <f t="shared" si="17"/>
        <v>16.94731034</v>
      </c>
      <c r="AD18" s="60">
        <f t="shared" si="17"/>
        <v>27.52251724</v>
      </c>
      <c r="AE18" s="60">
        <f t="shared" si="17"/>
        <v>36.07440517</v>
      </c>
      <c r="AF18" s="60">
        <f>IF(G18&gt;'Scope 3 Ratios'!$B$5,(G18-'Scope 3 Ratios'!$B$5)*('Scope 3 Ratios'!$B$6/'Scope 3 Ratios'!$B$5),0)</f>
        <v>61.0236</v>
      </c>
      <c r="AG18" s="60">
        <f>J18*IF(I18="SSD",'Scope 3 Ratios'!$B$9,'Scope 3 Ratios'!$B$8)</f>
        <v>0</v>
      </c>
      <c r="AH18" s="60">
        <f>IF(K18&lt;&gt;"N/A",K18*'Scope 3 Ratios'!$B$10,0)</f>
        <v>0</v>
      </c>
      <c r="AI18" s="60">
        <f>(VLOOKUP($E18,'AWS Platforms Ratios'!$A$2:$O$25,3,FALSE)-1)*'Scope 3 Ratios'!$B$7</f>
        <v>100</v>
      </c>
      <c r="AJ18" s="60">
        <f>'Scope 3 Ratios'!$B$2+AF18+AG18+AH18+AI18</f>
        <v>1161.0236</v>
      </c>
      <c r="AK18" s="60">
        <f>AJ18*'Scope 3 Ratios'!$B$4*(C18/D18)</f>
        <v>3.359443287</v>
      </c>
      <c r="AL18" s="61" t="s">
        <v>113</v>
      </c>
    </row>
    <row r="19" ht="15.0" customHeight="1">
      <c r="A19" s="56" t="s">
        <v>115</v>
      </c>
      <c r="B19" s="56" t="s">
        <v>111</v>
      </c>
      <c r="C19" s="56">
        <v>8.0</v>
      </c>
      <c r="D19" s="56">
        <f>VLOOKUP(E19,'AWS Platforms Ratios'!$A$2:$B$25,2,FALSE)</f>
        <v>40</v>
      </c>
      <c r="E19" s="57" t="s">
        <v>112</v>
      </c>
      <c r="F19" s="56">
        <v>15.0</v>
      </c>
      <c r="G19" s="56">
        <v>60.0</v>
      </c>
      <c r="H19" s="57" t="s">
        <v>71</v>
      </c>
      <c r="I19" s="56" t="s">
        <v>72</v>
      </c>
      <c r="J19" s="56">
        <v>0.0</v>
      </c>
      <c r="K19" s="58" t="s">
        <v>73</v>
      </c>
      <c r="L19" s="58" t="s">
        <v>73</v>
      </c>
      <c r="M19" s="58" t="s">
        <v>73</v>
      </c>
      <c r="N19" s="58" t="s">
        <v>73</v>
      </c>
      <c r="O19" s="59">
        <f>($C19/$D19)*VLOOKUP($E19,'AWS Platforms Ratios'!$A$2:$O$25,7,FALSE)</f>
        <v>6.513517241</v>
      </c>
      <c r="P19" s="59">
        <f>($C19/$D19)*VLOOKUP($E19,'AWS Platforms Ratios'!$A$2:$O$25,8,FALSE)</f>
        <v>18.59462069</v>
      </c>
      <c r="Q19" s="59">
        <f>($C19/$D19)*VLOOKUP($E19,'AWS Platforms Ratios'!$A$2:$O$25,9,FALSE)</f>
        <v>38.24503448</v>
      </c>
      <c r="R19" s="59">
        <f>($C19/$D19)*VLOOKUP($E19,'AWS Platforms Ratios'!$A$2:$O$25,10,FALSE)</f>
        <v>52.34881034</v>
      </c>
      <c r="S19" s="59">
        <f>$F19*VLOOKUP($E19,'AWS Platforms Ratios'!$A$2:$O$25,11,FALSE)</f>
        <v>3</v>
      </c>
      <c r="T19" s="59">
        <f>$F19*VLOOKUP($E19,'AWS Platforms Ratios'!$A$2:$O$25,12,FALSE)</f>
        <v>4.5</v>
      </c>
      <c r="U19" s="59">
        <f>$F19*VLOOKUP($E19,'AWS Platforms Ratios'!$A$2:$O$25,13,FALSE)</f>
        <v>6</v>
      </c>
      <c r="V19" s="59">
        <f>$F19*VLOOKUP($E19,'AWS Platforms Ratios'!$A$2:$O$25,14,FALSE)</f>
        <v>9</v>
      </c>
      <c r="W19" s="60">
        <f>IF($K19&lt;&gt;"N/A",$M19*(VLOOKUP($L19,'GPU Specs &amp; Ratios'!$B$2:$I$8,5,FALSE)),0)</f>
        <v>0</v>
      </c>
      <c r="X19" s="60">
        <f>IF($K19&lt;&gt;"N/A",$M19*(VLOOKUP($L19,'GPU Specs &amp; Ratios'!$B$2:$I$8,6,FALSE)),0)</f>
        <v>0</v>
      </c>
      <c r="Y19" s="60">
        <f>IF($K19&lt;&gt;"N/A",$M19*(VLOOKUP($L19,'GPU Specs &amp; Ratios'!$B$2:$I$8,7,FALSE)),0)</f>
        <v>0</v>
      </c>
      <c r="Z19" s="60">
        <f>IF($K19&lt;&gt;"N/A",$M19*(VLOOKUP($L19,'GPU Specs &amp; Ratios'!$B$2:$I$8,8,FALSE)),0)</f>
        <v>0</v>
      </c>
      <c r="AA19" s="60">
        <f>(C19/D19)*VLOOKUP($E19,'AWS Platforms Ratios'!$A$2:$O$25,15,FALSE)</f>
        <v>10.8</v>
      </c>
      <c r="AB19" s="60">
        <f t="shared" ref="AB19:AE19" si="18">O19+S19+W19+$AA19</f>
        <v>20.31351724</v>
      </c>
      <c r="AC19" s="60">
        <f t="shared" si="18"/>
        <v>33.89462069</v>
      </c>
      <c r="AD19" s="60">
        <f t="shared" si="18"/>
        <v>55.04503448</v>
      </c>
      <c r="AE19" s="60">
        <f t="shared" si="18"/>
        <v>72.14881034</v>
      </c>
      <c r="AF19" s="60">
        <f>IF(G19&gt;'Scope 3 Ratios'!$B$5,(G19-'Scope 3 Ratios'!$B$5)*('Scope 3 Ratios'!$B$6/'Scope 3 Ratios'!$B$5),0)</f>
        <v>61.0236</v>
      </c>
      <c r="AG19" s="60">
        <f>J19*IF(I19="SSD",'Scope 3 Ratios'!$B$9,'Scope 3 Ratios'!$B$8)</f>
        <v>0</v>
      </c>
      <c r="AH19" s="60">
        <f>IF(K19&lt;&gt;"N/A",K19*'Scope 3 Ratios'!$B$10,0)</f>
        <v>0</v>
      </c>
      <c r="AI19" s="60">
        <f>(VLOOKUP($E19,'AWS Platforms Ratios'!$A$2:$O$25,3,FALSE)-1)*'Scope 3 Ratios'!$B$7</f>
        <v>100</v>
      </c>
      <c r="AJ19" s="60">
        <f>'Scope 3 Ratios'!$B$2+AF19+AG19+AH19+AI19</f>
        <v>1161.0236</v>
      </c>
      <c r="AK19" s="60">
        <f>AJ19*'Scope 3 Ratios'!$B$4*(C19/D19)</f>
        <v>6.718886574</v>
      </c>
      <c r="AL19" s="61" t="s">
        <v>113</v>
      </c>
    </row>
    <row r="20" ht="15.0" customHeight="1">
      <c r="A20" s="56" t="s">
        <v>116</v>
      </c>
      <c r="B20" s="56" t="s">
        <v>111</v>
      </c>
      <c r="C20" s="56">
        <v>16.0</v>
      </c>
      <c r="D20" s="56">
        <f>VLOOKUP(E20,'AWS Platforms Ratios'!$A$2:$B$25,2,FALSE)</f>
        <v>40</v>
      </c>
      <c r="E20" s="57" t="s">
        <v>112</v>
      </c>
      <c r="F20" s="56">
        <v>30.0</v>
      </c>
      <c r="G20" s="56">
        <v>60.0</v>
      </c>
      <c r="H20" s="57" t="s">
        <v>71</v>
      </c>
      <c r="I20" s="56" t="s">
        <v>72</v>
      </c>
      <c r="J20" s="56">
        <v>0.0</v>
      </c>
      <c r="K20" s="58" t="s">
        <v>73</v>
      </c>
      <c r="L20" s="58" t="s">
        <v>73</v>
      </c>
      <c r="M20" s="58" t="s">
        <v>73</v>
      </c>
      <c r="N20" s="58" t="s">
        <v>73</v>
      </c>
      <c r="O20" s="59">
        <f>($C20/$D20)*VLOOKUP($E20,'AWS Platforms Ratios'!$A$2:$O$25,7,FALSE)</f>
        <v>13.02703448</v>
      </c>
      <c r="P20" s="59">
        <f>($C20/$D20)*VLOOKUP($E20,'AWS Platforms Ratios'!$A$2:$O$25,8,FALSE)</f>
        <v>37.18924138</v>
      </c>
      <c r="Q20" s="59">
        <f>($C20/$D20)*VLOOKUP($E20,'AWS Platforms Ratios'!$A$2:$O$25,9,FALSE)</f>
        <v>76.49006897</v>
      </c>
      <c r="R20" s="59">
        <f>($C20/$D20)*VLOOKUP($E20,'AWS Platforms Ratios'!$A$2:$O$25,10,FALSE)</f>
        <v>104.6976207</v>
      </c>
      <c r="S20" s="59">
        <f>$F20*VLOOKUP($E20,'AWS Platforms Ratios'!$A$2:$O$25,11,FALSE)</f>
        <v>6</v>
      </c>
      <c r="T20" s="59">
        <f>$F20*VLOOKUP($E20,'AWS Platforms Ratios'!$A$2:$O$25,12,FALSE)</f>
        <v>9</v>
      </c>
      <c r="U20" s="59">
        <f>$F20*VLOOKUP($E20,'AWS Platforms Ratios'!$A$2:$O$25,13,FALSE)</f>
        <v>12</v>
      </c>
      <c r="V20" s="59">
        <f>$F20*VLOOKUP($E20,'AWS Platforms Ratios'!$A$2:$O$25,14,FALSE)</f>
        <v>18</v>
      </c>
      <c r="W20" s="60">
        <f>IF($K20&lt;&gt;"N/A",$M20*(VLOOKUP($L20,'GPU Specs &amp; Ratios'!$B$2:$I$8,5,FALSE)),0)</f>
        <v>0</v>
      </c>
      <c r="X20" s="60">
        <f>IF($K20&lt;&gt;"N/A",$M20*(VLOOKUP($L20,'GPU Specs &amp; Ratios'!$B$2:$I$8,6,FALSE)),0)</f>
        <v>0</v>
      </c>
      <c r="Y20" s="60">
        <f>IF($K20&lt;&gt;"N/A",$M20*(VLOOKUP($L20,'GPU Specs &amp; Ratios'!$B$2:$I$8,7,FALSE)),0)</f>
        <v>0</v>
      </c>
      <c r="Z20" s="60">
        <f>IF($K20&lt;&gt;"N/A",$M20*(VLOOKUP($L20,'GPU Specs &amp; Ratios'!$B$2:$I$8,8,FALSE)),0)</f>
        <v>0</v>
      </c>
      <c r="AA20" s="60">
        <f>(C20/D20)*VLOOKUP($E20,'AWS Platforms Ratios'!$A$2:$O$25,15,FALSE)</f>
        <v>21.6</v>
      </c>
      <c r="AB20" s="60">
        <f t="shared" ref="AB20:AE20" si="19">O20+S20+W20+$AA20</f>
        <v>40.62703448</v>
      </c>
      <c r="AC20" s="60">
        <f t="shared" si="19"/>
        <v>67.78924138</v>
      </c>
      <c r="AD20" s="60">
        <f t="shared" si="19"/>
        <v>110.090069</v>
      </c>
      <c r="AE20" s="60">
        <f t="shared" si="19"/>
        <v>144.2976207</v>
      </c>
      <c r="AF20" s="60">
        <f>IF(G20&gt;'Scope 3 Ratios'!$B$5,(G20-'Scope 3 Ratios'!$B$5)*('Scope 3 Ratios'!$B$6/'Scope 3 Ratios'!$B$5),0)</f>
        <v>61.0236</v>
      </c>
      <c r="AG20" s="60">
        <f>J20*IF(I20="SSD",'Scope 3 Ratios'!$B$9,'Scope 3 Ratios'!$B$8)</f>
        <v>0</v>
      </c>
      <c r="AH20" s="60">
        <f>IF(K20&lt;&gt;"N/A",K20*'Scope 3 Ratios'!$B$10,0)</f>
        <v>0</v>
      </c>
      <c r="AI20" s="60">
        <f>(VLOOKUP($E20,'AWS Platforms Ratios'!$A$2:$O$25,3,FALSE)-1)*'Scope 3 Ratios'!$B$7</f>
        <v>100</v>
      </c>
      <c r="AJ20" s="60">
        <f>'Scope 3 Ratios'!$B$2+AF20+AG20+AH20+AI20</f>
        <v>1161.0236</v>
      </c>
      <c r="AK20" s="60">
        <f>AJ20*'Scope 3 Ratios'!$B$4*(C20/D20)</f>
        <v>13.43777315</v>
      </c>
      <c r="AL20" s="61" t="s">
        <v>113</v>
      </c>
    </row>
    <row r="21" ht="15.0" customHeight="1">
      <c r="A21" s="56" t="s">
        <v>117</v>
      </c>
      <c r="B21" s="56" t="s">
        <v>111</v>
      </c>
      <c r="C21" s="56">
        <v>36.0</v>
      </c>
      <c r="D21" s="56">
        <f>VLOOKUP(E21,'AWS Platforms Ratios'!$A$2:$B$25,2,FALSE)</f>
        <v>40</v>
      </c>
      <c r="E21" s="57" t="s">
        <v>112</v>
      </c>
      <c r="F21" s="56">
        <v>60.0</v>
      </c>
      <c r="G21" s="56">
        <v>60.0</v>
      </c>
      <c r="H21" s="57" t="s">
        <v>71</v>
      </c>
      <c r="I21" s="56" t="s">
        <v>72</v>
      </c>
      <c r="J21" s="56">
        <v>0.0</v>
      </c>
      <c r="K21" s="58" t="s">
        <v>73</v>
      </c>
      <c r="L21" s="58" t="s">
        <v>73</v>
      </c>
      <c r="M21" s="58" t="s">
        <v>73</v>
      </c>
      <c r="N21" s="58" t="s">
        <v>73</v>
      </c>
      <c r="O21" s="59">
        <f>($C21/$D21)*VLOOKUP($E21,'AWS Platforms Ratios'!$A$2:$O$25,7,FALSE)</f>
        <v>29.31082759</v>
      </c>
      <c r="P21" s="59">
        <f>($C21/$D21)*VLOOKUP($E21,'AWS Platforms Ratios'!$A$2:$O$25,8,FALSE)</f>
        <v>83.6757931</v>
      </c>
      <c r="Q21" s="59">
        <f>($C21/$D21)*VLOOKUP($E21,'AWS Platforms Ratios'!$A$2:$O$25,9,FALSE)</f>
        <v>172.1026552</v>
      </c>
      <c r="R21" s="59">
        <f>($C21/$D21)*VLOOKUP($E21,'AWS Platforms Ratios'!$A$2:$O$25,10,FALSE)</f>
        <v>235.5696466</v>
      </c>
      <c r="S21" s="59">
        <f>$F21*VLOOKUP($E21,'AWS Platforms Ratios'!$A$2:$O$25,11,FALSE)</f>
        <v>12</v>
      </c>
      <c r="T21" s="59">
        <f>$F21*VLOOKUP($E21,'AWS Platforms Ratios'!$A$2:$O$25,12,FALSE)</f>
        <v>18</v>
      </c>
      <c r="U21" s="59">
        <f>$F21*VLOOKUP($E21,'AWS Platforms Ratios'!$A$2:$O$25,13,FALSE)</f>
        <v>24</v>
      </c>
      <c r="V21" s="59">
        <f>$F21*VLOOKUP($E21,'AWS Platforms Ratios'!$A$2:$O$25,14,FALSE)</f>
        <v>36</v>
      </c>
      <c r="W21" s="60">
        <f>IF($K21&lt;&gt;"N/A",$M21*(VLOOKUP($L21,'GPU Specs &amp; Ratios'!$B$2:$I$8,5,FALSE)),0)</f>
        <v>0</v>
      </c>
      <c r="X21" s="60">
        <f>IF($K21&lt;&gt;"N/A",$M21*(VLOOKUP($L21,'GPU Specs &amp; Ratios'!$B$2:$I$8,6,FALSE)),0)</f>
        <v>0</v>
      </c>
      <c r="Y21" s="60">
        <f>IF($K21&lt;&gt;"N/A",$M21*(VLOOKUP($L21,'GPU Specs &amp; Ratios'!$B$2:$I$8,7,FALSE)),0)</f>
        <v>0</v>
      </c>
      <c r="Z21" s="60">
        <f>IF($K21&lt;&gt;"N/A",$M21*(VLOOKUP($L21,'GPU Specs &amp; Ratios'!$B$2:$I$8,8,FALSE)),0)</f>
        <v>0</v>
      </c>
      <c r="AA21" s="60">
        <f>(C21/D21)*VLOOKUP($E21,'AWS Platforms Ratios'!$A$2:$O$25,15,FALSE)</f>
        <v>48.6</v>
      </c>
      <c r="AB21" s="60">
        <f t="shared" ref="AB21:AE21" si="20">O21+S21+W21+$AA21</f>
        <v>89.91082759</v>
      </c>
      <c r="AC21" s="60">
        <f t="shared" si="20"/>
        <v>150.2757931</v>
      </c>
      <c r="AD21" s="60">
        <f t="shared" si="20"/>
        <v>244.7026552</v>
      </c>
      <c r="AE21" s="60">
        <f t="shared" si="20"/>
        <v>320.1696466</v>
      </c>
      <c r="AF21" s="60">
        <f>IF(G21&gt;'Scope 3 Ratios'!$B$5,(G21-'Scope 3 Ratios'!$B$5)*('Scope 3 Ratios'!$B$6/'Scope 3 Ratios'!$B$5),0)</f>
        <v>61.0236</v>
      </c>
      <c r="AG21" s="60">
        <f>J21*IF(I21="SSD",'Scope 3 Ratios'!$B$9,'Scope 3 Ratios'!$B$8)</f>
        <v>0</v>
      </c>
      <c r="AH21" s="60">
        <f>IF(K21&lt;&gt;"N/A",K21*'Scope 3 Ratios'!$B$10,0)</f>
        <v>0</v>
      </c>
      <c r="AI21" s="60">
        <f>(VLOOKUP($E21,'AWS Platforms Ratios'!$A$2:$O$25,3,FALSE)-1)*'Scope 3 Ratios'!$B$7</f>
        <v>100</v>
      </c>
      <c r="AJ21" s="60">
        <f>'Scope 3 Ratios'!$B$2+AF21+AG21+AH21+AI21</f>
        <v>1161.0236</v>
      </c>
      <c r="AK21" s="60">
        <f>AJ21*'Scope 3 Ratios'!$B$4*(C21/D21)</f>
        <v>30.23498958</v>
      </c>
      <c r="AL21" s="61" t="s">
        <v>113</v>
      </c>
    </row>
    <row r="22" ht="15.0" customHeight="1">
      <c r="A22" s="56" t="s">
        <v>118</v>
      </c>
      <c r="B22" s="56" t="s">
        <v>119</v>
      </c>
      <c r="C22" s="56">
        <v>2.0</v>
      </c>
      <c r="D22" s="56">
        <f>VLOOKUP(E22,'AWS Platforms Ratios'!$A$2:$B$25,2,FALSE)</f>
        <v>72</v>
      </c>
      <c r="E22" s="57" t="s">
        <v>120</v>
      </c>
      <c r="F22" s="56">
        <v>4.0</v>
      </c>
      <c r="G22" s="56">
        <v>192.0</v>
      </c>
      <c r="H22" s="57" t="s">
        <v>71</v>
      </c>
      <c r="I22" s="56" t="s">
        <v>72</v>
      </c>
      <c r="J22" s="56">
        <v>0.0</v>
      </c>
      <c r="K22" s="58" t="s">
        <v>73</v>
      </c>
      <c r="L22" s="58" t="s">
        <v>73</v>
      </c>
      <c r="M22" s="58" t="s">
        <v>73</v>
      </c>
      <c r="N22" s="58" t="s">
        <v>73</v>
      </c>
      <c r="O22" s="59">
        <f>($C22/$D22)*VLOOKUP($E22,'AWS Platforms Ratios'!$A$2:$O$25,7,FALSE)</f>
        <v>1.407222222</v>
      </c>
      <c r="P22" s="59">
        <f>($C22/$D22)*VLOOKUP($E22,'AWS Platforms Ratios'!$A$2:$O$25,8,FALSE)</f>
        <v>3.745833333</v>
      </c>
      <c r="Q22" s="59">
        <f>($C22/$D22)*VLOOKUP($E22,'AWS Platforms Ratios'!$A$2:$O$25,9,FALSE)</f>
        <v>8.144722222</v>
      </c>
      <c r="R22" s="59">
        <f>($C22/$D22)*VLOOKUP($E22,'AWS Platforms Ratios'!$A$2:$O$25,10,FALSE)</f>
        <v>11.76888889</v>
      </c>
      <c r="S22" s="59">
        <f>$F22*VLOOKUP($E22,'AWS Platforms Ratios'!$A$2:$O$25,11,FALSE)</f>
        <v>0.7779166667</v>
      </c>
      <c r="T22" s="59">
        <f>$F22*VLOOKUP($E22,'AWS Platforms Ratios'!$A$2:$O$25,12,FALSE)</f>
        <v>1.405208333</v>
      </c>
      <c r="U22" s="59">
        <f>$F22*VLOOKUP($E22,'AWS Platforms Ratios'!$A$2:$O$25,13,FALSE)</f>
        <v>2.4675</v>
      </c>
      <c r="V22" s="59">
        <f>$F22*VLOOKUP($E22,'AWS Platforms Ratios'!$A$2:$O$25,14,FALSE)</f>
        <v>3.529791667</v>
      </c>
      <c r="W22" s="60">
        <f>IF($K22&lt;&gt;"N/A",$M22*(VLOOKUP($L22,'GPU Specs &amp; Ratios'!$B$2:$I$8,5,FALSE)),0)</f>
        <v>0</v>
      </c>
      <c r="X22" s="60">
        <f>IF($K22&lt;&gt;"N/A",$M22*(VLOOKUP($L22,'GPU Specs &amp; Ratios'!$B$2:$I$8,6,FALSE)),0)</f>
        <v>0</v>
      </c>
      <c r="Y22" s="60">
        <f>IF($K22&lt;&gt;"N/A",$M22*(VLOOKUP($L22,'GPU Specs &amp; Ratios'!$B$2:$I$8,7,FALSE)),0)</f>
        <v>0</v>
      </c>
      <c r="Z22" s="60">
        <f>IF($K22&lt;&gt;"N/A",$M22*(VLOOKUP($L22,'GPU Specs &amp; Ratios'!$B$2:$I$8,8,FALSE)),0)</f>
        <v>0</v>
      </c>
      <c r="AA22" s="60">
        <f>(C22/D22)*VLOOKUP($E22,'AWS Platforms Ratios'!$A$2:$O$25,15,FALSE)</f>
        <v>2.666666667</v>
      </c>
      <c r="AB22" s="60">
        <f t="shared" ref="AB22:AE22" si="21">O22+S22+W22+$AA22</f>
        <v>4.851805556</v>
      </c>
      <c r="AC22" s="60">
        <f t="shared" si="21"/>
        <v>7.817708333</v>
      </c>
      <c r="AD22" s="60">
        <f t="shared" si="21"/>
        <v>13.27888889</v>
      </c>
      <c r="AE22" s="60">
        <f t="shared" si="21"/>
        <v>17.96534722</v>
      </c>
      <c r="AF22" s="60">
        <f>IF(G22&gt;'Scope 3 Ratios'!$B$5,(G22-'Scope 3 Ratios'!$B$5)*('Scope 3 Ratios'!$B$6/'Scope 3 Ratios'!$B$5),0)</f>
        <v>244.0944</v>
      </c>
      <c r="AG22" s="60">
        <f>J22*IF(I22="SSD",'Scope 3 Ratios'!$B$9,'Scope 3 Ratios'!$B$8)</f>
        <v>0</v>
      </c>
      <c r="AH22" s="60">
        <f>IF(K22&lt;&gt;"N/A",K22*'Scope 3 Ratios'!$B$10,0)</f>
        <v>0</v>
      </c>
      <c r="AI22" s="60">
        <f>(VLOOKUP($E22,'AWS Platforms Ratios'!$A$2:$O$25,3,FALSE)-1)*'Scope 3 Ratios'!$B$7</f>
        <v>100</v>
      </c>
      <c r="AJ22" s="60">
        <f>'Scope 3 Ratios'!$B$2+AF22+AG22+AH22+AI22</f>
        <v>1344.0944</v>
      </c>
      <c r="AK22" s="60">
        <f>AJ22*'Scope 3 Ratios'!$B$4*(C22/D22)</f>
        <v>1.080322788</v>
      </c>
      <c r="AL22" s="61" t="s">
        <v>121</v>
      </c>
    </row>
    <row r="23" ht="15.0" customHeight="1">
      <c r="A23" s="56" t="s">
        <v>122</v>
      </c>
      <c r="B23" s="56" t="s">
        <v>119</v>
      </c>
      <c r="C23" s="56">
        <v>4.0</v>
      </c>
      <c r="D23" s="56">
        <f>VLOOKUP(E23,'AWS Platforms Ratios'!$A$2:$B$25,2,FALSE)</f>
        <v>72</v>
      </c>
      <c r="E23" s="57" t="s">
        <v>120</v>
      </c>
      <c r="F23" s="56">
        <v>8.0</v>
      </c>
      <c r="G23" s="56">
        <v>192.0</v>
      </c>
      <c r="H23" s="57" t="s">
        <v>71</v>
      </c>
      <c r="I23" s="56" t="s">
        <v>72</v>
      </c>
      <c r="J23" s="56">
        <v>0.0</v>
      </c>
      <c r="K23" s="58" t="s">
        <v>73</v>
      </c>
      <c r="L23" s="58" t="s">
        <v>73</v>
      </c>
      <c r="M23" s="58" t="s">
        <v>73</v>
      </c>
      <c r="N23" s="58" t="s">
        <v>73</v>
      </c>
      <c r="O23" s="59">
        <f>($C23/$D23)*VLOOKUP($E23,'AWS Platforms Ratios'!$A$2:$O$25,7,FALSE)</f>
        <v>2.814444444</v>
      </c>
      <c r="P23" s="59">
        <f>($C23/$D23)*VLOOKUP($E23,'AWS Platforms Ratios'!$A$2:$O$25,8,FALSE)</f>
        <v>7.491666667</v>
      </c>
      <c r="Q23" s="59">
        <f>($C23/$D23)*VLOOKUP($E23,'AWS Platforms Ratios'!$A$2:$O$25,9,FALSE)</f>
        <v>16.28944444</v>
      </c>
      <c r="R23" s="59">
        <f>($C23/$D23)*VLOOKUP($E23,'AWS Platforms Ratios'!$A$2:$O$25,10,FALSE)</f>
        <v>23.53777778</v>
      </c>
      <c r="S23" s="59">
        <f>$F23*VLOOKUP($E23,'AWS Platforms Ratios'!$A$2:$O$25,11,FALSE)</f>
        <v>1.555833333</v>
      </c>
      <c r="T23" s="59">
        <f>$F23*VLOOKUP($E23,'AWS Platforms Ratios'!$A$2:$O$25,12,FALSE)</f>
        <v>2.810416667</v>
      </c>
      <c r="U23" s="59">
        <f>$F23*VLOOKUP($E23,'AWS Platforms Ratios'!$A$2:$O$25,13,FALSE)</f>
        <v>4.935</v>
      </c>
      <c r="V23" s="59">
        <f>$F23*VLOOKUP($E23,'AWS Platforms Ratios'!$A$2:$O$25,14,FALSE)</f>
        <v>7.059583333</v>
      </c>
      <c r="W23" s="60">
        <f>IF($K23&lt;&gt;"N/A",$M23*(VLOOKUP($L23,'GPU Specs &amp; Ratios'!$B$2:$I$8,5,FALSE)),0)</f>
        <v>0</v>
      </c>
      <c r="X23" s="60">
        <f>IF($K23&lt;&gt;"N/A",$M23*(VLOOKUP($L23,'GPU Specs &amp; Ratios'!$B$2:$I$8,6,FALSE)),0)</f>
        <v>0</v>
      </c>
      <c r="Y23" s="60">
        <f>IF($K23&lt;&gt;"N/A",$M23*(VLOOKUP($L23,'GPU Specs &amp; Ratios'!$B$2:$I$8,7,FALSE)),0)</f>
        <v>0</v>
      </c>
      <c r="Z23" s="60">
        <f>IF($K23&lt;&gt;"N/A",$M23*(VLOOKUP($L23,'GPU Specs &amp; Ratios'!$B$2:$I$8,8,FALSE)),0)</f>
        <v>0</v>
      </c>
      <c r="AA23" s="60">
        <f>(C23/D23)*VLOOKUP($E23,'AWS Platforms Ratios'!$A$2:$O$25,15,FALSE)</f>
        <v>5.333333333</v>
      </c>
      <c r="AB23" s="60">
        <f t="shared" ref="AB23:AE23" si="22">O23+S23+W23+$AA23</f>
        <v>9.703611111</v>
      </c>
      <c r="AC23" s="60">
        <f t="shared" si="22"/>
        <v>15.63541667</v>
      </c>
      <c r="AD23" s="60">
        <f t="shared" si="22"/>
        <v>26.55777778</v>
      </c>
      <c r="AE23" s="60">
        <f t="shared" si="22"/>
        <v>35.93069444</v>
      </c>
      <c r="AF23" s="60">
        <f>IF(G23&gt;'Scope 3 Ratios'!$B$5,(G23-'Scope 3 Ratios'!$B$5)*('Scope 3 Ratios'!$B$6/'Scope 3 Ratios'!$B$5),0)</f>
        <v>244.0944</v>
      </c>
      <c r="AG23" s="60">
        <f>J23*IF(I23="SSD",'Scope 3 Ratios'!$B$9,'Scope 3 Ratios'!$B$8)</f>
        <v>0</v>
      </c>
      <c r="AH23" s="60">
        <f>IF(K23&lt;&gt;"N/A",K23*'Scope 3 Ratios'!$B$10,0)</f>
        <v>0</v>
      </c>
      <c r="AI23" s="60">
        <f>(VLOOKUP($E23,'AWS Platforms Ratios'!$A$2:$O$25,3,FALSE)-1)*'Scope 3 Ratios'!$B$7</f>
        <v>100</v>
      </c>
      <c r="AJ23" s="60">
        <f>'Scope 3 Ratios'!$B$2+AF23+AG23+AH23+AI23</f>
        <v>1344.0944</v>
      </c>
      <c r="AK23" s="60">
        <f>AJ23*'Scope 3 Ratios'!$B$4*(C23/D23)</f>
        <v>2.160645576</v>
      </c>
      <c r="AL23" s="61" t="s">
        <v>121</v>
      </c>
    </row>
    <row r="24" ht="15.0" customHeight="1">
      <c r="A24" s="56" t="s">
        <v>123</v>
      </c>
      <c r="B24" s="56" t="s">
        <v>119</v>
      </c>
      <c r="C24" s="56">
        <v>8.0</v>
      </c>
      <c r="D24" s="56">
        <f>VLOOKUP(E24,'AWS Platforms Ratios'!$A$2:$B$25,2,FALSE)</f>
        <v>72</v>
      </c>
      <c r="E24" s="57" t="s">
        <v>120</v>
      </c>
      <c r="F24" s="56">
        <v>16.0</v>
      </c>
      <c r="G24" s="56">
        <v>192.0</v>
      </c>
      <c r="H24" s="57" t="s">
        <v>71</v>
      </c>
      <c r="I24" s="56" t="s">
        <v>72</v>
      </c>
      <c r="J24" s="56">
        <v>0.0</v>
      </c>
      <c r="K24" s="58" t="s">
        <v>73</v>
      </c>
      <c r="L24" s="58" t="s">
        <v>73</v>
      </c>
      <c r="M24" s="58" t="s">
        <v>73</v>
      </c>
      <c r="N24" s="58" t="s">
        <v>73</v>
      </c>
      <c r="O24" s="59">
        <f>($C24/$D24)*VLOOKUP($E24,'AWS Platforms Ratios'!$A$2:$O$25,7,FALSE)</f>
        <v>5.628888889</v>
      </c>
      <c r="P24" s="59">
        <f>($C24/$D24)*VLOOKUP($E24,'AWS Platforms Ratios'!$A$2:$O$25,8,FALSE)</f>
        <v>14.98333333</v>
      </c>
      <c r="Q24" s="59">
        <f>($C24/$D24)*VLOOKUP($E24,'AWS Platforms Ratios'!$A$2:$O$25,9,FALSE)</f>
        <v>32.57888889</v>
      </c>
      <c r="R24" s="59">
        <f>($C24/$D24)*VLOOKUP($E24,'AWS Platforms Ratios'!$A$2:$O$25,10,FALSE)</f>
        <v>47.07555556</v>
      </c>
      <c r="S24" s="59">
        <f>$F24*VLOOKUP($E24,'AWS Platforms Ratios'!$A$2:$O$25,11,FALSE)</f>
        <v>3.111666667</v>
      </c>
      <c r="T24" s="59">
        <f>$F24*VLOOKUP($E24,'AWS Platforms Ratios'!$A$2:$O$25,12,FALSE)</f>
        <v>5.620833333</v>
      </c>
      <c r="U24" s="59">
        <f>$F24*VLOOKUP($E24,'AWS Platforms Ratios'!$A$2:$O$25,13,FALSE)</f>
        <v>9.87</v>
      </c>
      <c r="V24" s="59">
        <f>$F24*VLOOKUP($E24,'AWS Platforms Ratios'!$A$2:$O$25,14,FALSE)</f>
        <v>14.11916667</v>
      </c>
      <c r="W24" s="60">
        <f>IF($K24&lt;&gt;"N/A",$M24*(VLOOKUP($L24,'GPU Specs &amp; Ratios'!$B$2:$I$8,5,FALSE)),0)</f>
        <v>0</v>
      </c>
      <c r="X24" s="60">
        <f>IF($K24&lt;&gt;"N/A",$M24*(VLOOKUP($L24,'GPU Specs &amp; Ratios'!$B$2:$I$8,6,FALSE)),0)</f>
        <v>0</v>
      </c>
      <c r="Y24" s="60">
        <f>IF($K24&lt;&gt;"N/A",$M24*(VLOOKUP($L24,'GPU Specs &amp; Ratios'!$B$2:$I$8,7,FALSE)),0)</f>
        <v>0</v>
      </c>
      <c r="Z24" s="60">
        <f>IF($K24&lt;&gt;"N/A",$M24*(VLOOKUP($L24,'GPU Specs &amp; Ratios'!$B$2:$I$8,8,FALSE)),0)</f>
        <v>0</v>
      </c>
      <c r="AA24" s="60">
        <f>(C24/D24)*VLOOKUP($E24,'AWS Platforms Ratios'!$A$2:$O$25,15,FALSE)</f>
        <v>10.66666667</v>
      </c>
      <c r="AB24" s="60">
        <f t="shared" ref="AB24:AE24" si="23">O24+S24+W24+$AA24</f>
        <v>19.40722222</v>
      </c>
      <c r="AC24" s="60">
        <f t="shared" si="23"/>
        <v>31.27083333</v>
      </c>
      <c r="AD24" s="60">
        <f t="shared" si="23"/>
        <v>53.11555556</v>
      </c>
      <c r="AE24" s="60">
        <f t="shared" si="23"/>
        <v>71.86138889</v>
      </c>
      <c r="AF24" s="60">
        <f>IF(G24&gt;'Scope 3 Ratios'!$B$5,(G24-'Scope 3 Ratios'!$B$5)*('Scope 3 Ratios'!$B$6/'Scope 3 Ratios'!$B$5),0)</f>
        <v>244.0944</v>
      </c>
      <c r="AG24" s="60">
        <f>J24*IF(I24="SSD",'Scope 3 Ratios'!$B$9,'Scope 3 Ratios'!$B$8)</f>
        <v>0</v>
      </c>
      <c r="AH24" s="60">
        <f>IF(K24&lt;&gt;"N/A",K24*'Scope 3 Ratios'!$B$10,0)</f>
        <v>0</v>
      </c>
      <c r="AI24" s="60">
        <f>(VLOOKUP($E24,'AWS Platforms Ratios'!$A$2:$O$25,3,FALSE)-1)*'Scope 3 Ratios'!$B$7</f>
        <v>100</v>
      </c>
      <c r="AJ24" s="60">
        <f>'Scope 3 Ratios'!$B$2+AF24+AG24+AH24+AI24</f>
        <v>1344.0944</v>
      </c>
      <c r="AK24" s="60">
        <f>AJ24*'Scope 3 Ratios'!$B$4*(C24/D24)</f>
        <v>4.321291152</v>
      </c>
      <c r="AL24" s="61" t="s">
        <v>121</v>
      </c>
    </row>
    <row r="25" ht="15.0" customHeight="1">
      <c r="A25" s="56" t="s">
        <v>124</v>
      </c>
      <c r="B25" s="56" t="s">
        <v>119</v>
      </c>
      <c r="C25" s="56">
        <v>16.0</v>
      </c>
      <c r="D25" s="56">
        <f>VLOOKUP(E25,'AWS Platforms Ratios'!$A$2:$B$25,2,FALSE)</f>
        <v>72</v>
      </c>
      <c r="E25" s="57" t="s">
        <v>120</v>
      </c>
      <c r="F25" s="56">
        <v>32.0</v>
      </c>
      <c r="G25" s="56">
        <v>192.0</v>
      </c>
      <c r="H25" s="57" t="s">
        <v>71</v>
      </c>
      <c r="I25" s="56" t="s">
        <v>72</v>
      </c>
      <c r="J25" s="56">
        <v>0.0</v>
      </c>
      <c r="K25" s="58" t="s">
        <v>73</v>
      </c>
      <c r="L25" s="58" t="s">
        <v>73</v>
      </c>
      <c r="M25" s="58" t="s">
        <v>73</v>
      </c>
      <c r="N25" s="58" t="s">
        <v>73</v>
      </c>
      <c r="O25" s="59">
        <f>($C25/$D25)*VLOOKUP($E25,'AWS Platforms Ratios'!$A$2:$O$25,7,FALSE)</f>
        <v>11.25777778</v>
      </c>
      <c r="P25" s="59">
        <f>($C25/$D25)*VLOOKUP($E25,'AWS Platforms Ratios'!$A$2:$O$25,8,FALSE)</f>
        <v>29.96666667</v>
      </c>
      <c r="Q25" s="59">
        <f>($C25/$D25)*VLOOKUP($E25,'AWS Platforms Ratios'!$A$2:$O$25,9,FALSE)</f>
        <v>65.15777778</v>
      </c>
      <c r="R25" s="59">
        <f>($C25/$D25)*VLOOKUP($E25,'AWS Platforms Ratios'!$A$2:$O$25,10,FALSE)</f>
        <v>94.15111111</v>
      </c>
      <c r="S25" s="59">
        <f>$F25*VLOOKUP($E25,'AWS Platforms Ratios'!$A$2:$O$25,11,FALSE)</f>
        <v>6.223333333</v>
      </c>
      <c r="T25" s="59">
        <f>$F25*VLOOKUP($E25,'AWS Platforms Ratios'!$A$2:$O$25,12,FALSE)</f>
        <v>11.24166667</v>
      </c>
      <c r="U25" s="59">
        <f>$F25*VLOOKUP($E25,'AWS Platforms Ratios'!$A$2:$O$25,13,FALSE)</f>
        <v>19.74</v>
      </c>
      <c r="V25" s="59">
        <f>$F25*VLOOKUP($E25,'AWS Platforms Ratios'!$A$2:$O$25,14,FALSE)</f>
        <v>28.23833333</v>
      </c>
      <c r="W25" s="60">
        <f>IF($K25&lt;&gt;"N/A",$M25*(VLOOKUP($L25,'GPU Specs &amp; Ratios'!$B$2:$I$8,5,FALSE)),0)</f>
        <v>0</v>
      </c>
      <c r="X25" s="60">
        <f>IF($K25&lt;&gt;"N/A",$M25*(VLOOKUP($L25,'GPU Specs &amp; Ratios'!$B$2:$I$8,6,FALSE)),0)</f>
        <v>0</v>
      </c>
      <c r="Y25" s="60">
        <f>IF($K25&lt;&gt;"N/A",$M25*(VLOOKUP($L25,'GPU Specs &amp; Ratios'!$B$2:$I$8,7,FALSE)),0)</f>
        <v>0</v>
      </c>
      <c r="Z25" s="60">
        <f>IF($K25&lt;&gt;"N/A",$M25*(VLOOKUP($L25,'GPU Specs &amp; Ratios'!$B$2:$I$8,8,FALSE)),0)</f>
        <v>0</v>
      </c>
      <c r="AA25" s="60">
        <f>(C25/D25)*VLOOKUP($E25,'AWS Platforms Ratios'!$A$2:$O$25,15,FALSE)</f>
        <v>21.33333333</v>
      </c>
      <c r="AB25" s="60">
        <f t="shared" ref="AB25:AE25" si="24">O25+S25+W25+$AA25</f>
        <v>38.81444444</v>
      </c>
      <c r="AC25" s="60">
        <f t="shared" si="24"/>
        <v>62.54166667</v>
      </c>
      <c r="AD25" s="60">
        <f t="shared" si="24"/>
        <v>106.2311111</v>
      </c>
      <c r="AE25" s="60">
        <f t="shared" si="24"/>
        <v>143.7227778</v>
      </c>
      <c r="AF25" s="60">
        <f>IF(G25&gt;'Scope 3 Ratios'!$B$5,(G25-'Scope 3 Ratios'!$B$5)*('Scope 3 Ratios'!$B$6/'Scope 3 Ratios'!$B$5),0)</f>
        <v>244.0944</v>
      </c>
      <c r="AG25" s="60">
        <f>J25*IF(I25="SSD",'Scope 3 Ratios'!$B$9,'Scope 3 Ratios'!$B$8)</f>
        <v>0</v>
      </c>
      <c r="AH25" s="60">
        <f>IF(K25&lt;&gt;"N/A",K25*'Scope 3 Ratios'!$B$10,0)</f>
        <v>0</v>
      </c>
      <c r="AI25" s="60">
        <f>(VLOOKUP($E25,'AWS Platforms Ratios'!$A$2:$O$25,3,FALSE)-1)*'Scope 3 Ratios'!$B$7</f>
        <v>100</v>
      </c>
      <c r="AJ25" s="60">
        <f>'Scope 3 Ratios'!$B$2+AF25+AG25+AH25+AI25</f>
        <v>1344.0944</v>
      </c>
      <c r="AK25" s="60">
        <f>AJ25*'Scope 3 Ratios'!$B$4*(C25/D25)</f>
        <v>8.642582305</v>
      </c>
      <c r="AL25" s="61" t="s">
        <v>121</v>
      </c>
    </row>
    <row r="26" ht="15.0" customHeight="1">
      <c r="A26" s="56" t="s">
        <v>125</v>
      </c>
      <c r="B26" s="56" t="s">
        <v>126</v>
      </c>
      <c r="C26" s="56">
        <v>36.0</v>
      </c>
      <c r="D26" s="56">
        <f>VLOOKUP(E26,'AWS Platforms Ratios'!$A$2:$B$25,2,FALSE)</f>
        <v>72</v>
      </c>
      <c r="E26" s="57" t="s">
        <v>120</v>
      </c>
      <c r="F26" s="56">
        <v>72.0</v>
      </c>
      <c r="G26" s="56">
        <v>192.0</v>
      </c>
      <c r="H26" s="57" t="s">
        <v>71</v>
      </c>
      <c r="I26" s="56" t="s">
        <v>72</v>
      </c>
      <c r="J26" s="56">
        <v>0.0</v>
      </c>
      <c r="K26" s="58" t="s">
        <v>73</v>
      </c>
      <c r="L26" s="58" t="s">
        <v>73</v>
      </c>
      <c r="M26" s="58" t="s">
        <v>73</v>
      </c>
      <c r="N26" s="58" t="s">
        <v>73</v>
      </c>
      <c r="O26" s="59">
        <f>($C26/$D26)*VLOOKUP($E26,'AWS Platforms Ratios'!$A$2:$O$25,7,FALSE)</f>
        <v>25.33</v>
      </c>
      <c r="P26" s="59">
        <f>($C26/$D26)*VLOOKUP($E26,'AWS Platforms Ratios'!$A$2:$O$25,8,FALSE)</f>
        <v>67.425</v>
      </c>
      <c r="Q26" s="59">
        <f>($C26/$D26)*VLOOKUP($E26,'AWS Platforms Ratios'!$A$2:$O$25,9,FALSE)</f>
        <v>146.605</v>
      </c>
      <c r="R26" s="59">
        <f>($C26/$D26)*VLOOKUP($E26,'AWS Platforms Ratios'!$A$2:$O$25,10,FALSE)</f>
        <v>211.84</v>
      </c>
      <c r="S26" s="59">
        <f>$F26*VLOOKUP($E26,'AWS Platforms Ratios'!$A$2:$O$25,11,FALSE)</f>
        <v>14.0025</v>
      </c>
      <c r="T26" s="59">
        <f>$F26*VLOOKUP($E26,'AWS Platforms Ratios'!$A$2:$O$25,12,FALSE)</f>
        <v>25.29375</v>
      </c>
      <c r="U26" s="59">
        <f>$F26*VLOOKUP($E26,'AWS Platforms Ratios'!$A$2:$O$25,13,FALSE)</f>
        <v>44.415</v>
      </c>
      <c r="V26" s="59">
        <f>$F26*VLOOKUP($E26,'AWS Platforms Ratios'!$A$2:$O$25,14,FALSE)</f>
        <v>63.53625</v>
      </c>
      <c r="W26" s="60">
        <f>IF($K26&lt;&gt;"N/A",$M26*(VLOOKUP($L26,'GPU Specs &amp; Ratios'!$B$2:$I$8,5,FALSE)),0)</f>
        <v>0</v>
      </c>
      <c r="X26" s="60">
        <f>IF($K26&lt;&gt;"N/A",$M26*(VLOOKUP($L26,'GPU Specs &amp; Ratios'!$B$2:$I$8,6,FALSE)),0)</f>
        <v>0</v>
      </c>
      <c r="Y26" s="60">
        <f>IF($K26&lt;&gt;"N/A",$M26*(VLOOKUP($L26,'GPU Specs &amp; Ratios'!$B$2:$I$8,7,FALSE)),0)</f>
        <v>0</v>
      </c>
      <c r="Z26" s="60">
        <f>IF($K26&lt;&gt;"N/A",$M26*(VLOOKUP($L26,'GPU Specs &amp; Ratios'!$B$2:$I$8,8,FALSE)),0)</f>
        <v>0</v>
      </c>
      <c r="AA26" s="60">
        <f>(C26/D26)*VLOOKUP($E26,'AWS Platforms Ratios'!$A$2:$O$25,15,FALSE)</f>
        <v>48</v>
      </c>
      <c r="AB26" s="60">
        <f t="shared" ref="AB26:AE26" si="25">O26+S26+W26+$AA26</f>
        <v>87.3325</v>
      </c>
      <c r="AC26" s="60">
        <f t="shared" si="25"/>
        <v>140.71875</v>
      </c>
      <c r="AD26" s="60">
        <f t="shared" si="25"/>
        <v>239.02</v>
      </c>
      <c r="AE26" s="60">
        <f t="shared" si="25"/>
        <v>323.37625</v>
      </c>
      <c r="AF26" s="60">
        <f>IF(G26&gt;'Scope 3 Ratios'!$B$5,(G26-'Scope 3 Ratios'!$B$5)*('Scope 3 Ratios'!$B$6/'Scope 3 Ratios'!$B$5),0)</f>
        <v>244.0944</v>
      </c>
      <c r="AG26" s="60">
        <f>J26*IF(I26="SSD",'Scope 3 Ratios'!$B$9,'Scope 3 Ratios'!$B$8)</f>
        <v>0</v>
      </c>
      <c r="AH26" s="60">
        <f>IF(K26&lt;&gt;"N/A",K26*'Scope 3 Ratios'!$B$10,0)</f>
        <v>0</v>
      </c>
      <c r="AI26" s="60">
        <f>(VLOOKUP($E26,'AWS Platforms Ratios'!$A$2:$O$25,3,FALSE)-1)*'Scope 3 Ratios'!$B$7</f>
        <v>100</v>
      </c>
      <c r="AJ26" s="60">
        <f>'Scope 3 Ratios'!$B$2+AF26+AG26+AH26+AI26</f>
        <v>1344.0944</v>
      </c>
      <c r="AK26" s="60">
        <f>AJ26*'Scope 3 Ratios'!$B$4*(C26/D26)</f>
        <v>19.44581019</v>
      </c>
      <c r="AL26" s="61" t="s">
        <v>121</v>
      </c>
    </row>
    <row r="27" ht="15.0" customHeight="1">
      <c r="A27" s="56" t="s">
        <v>127</v>
      </c>
      <c r="B27" s="56" t="s">
        <v>128</v>
      </c>
      <c r="C27" s="56">
        <v>48.0</v>
      </c>
      <c r="D27" s="56">
        <f>VLOOKUP(E27,'AWS Platforms Ratios'!$A$2:$B$25,2,FALSE)</f>
        <v>96</v>
      </c>
      <c r="E27" s="57" t="s">
        <v>129</v>
      </c>
      <c r="F27" s="56">
        <v>96.0</v>
      </c>
      <c r="G27" s="56">
        <v>192.0</v>
      </c>
      <c r="H27" s="57" t="s">
        <v>71</v>
      </c>
      <c r="I27" s="56" t="s">
        <v>72</v>
      </c>
      <c r="J27" s="56">
        <v>0.0</v>
      </c>
      <c r="K27" s="58" t="s">
        <v>73</v>
      </c>
      <c r="L27" s="58" t="s">
        <v>73</v>
      </c>
      <c r="M27" s="58" t="s">
        <v>73</v>
      </c>
      <c r="N27" s="58" t="s">
        <v>73</v>
      </c>
      <c r="O27" s="59">
        <f>($C27/$D27)*VLOOKUP($E27,'AWS Platforms Ratios'!$A$2:$O$25,7,FALSE)</f>
        <v>28.965</v>
      </c>
      <c r="P27" s="59">
        <f>($C27/$D27)*VLOOKUP($E27,'AWS Platforms Ratios'!$A$2:$O$25,8,FALSE)</f>
        <v>87.765</v>
      </c>
      <c r="Q27" s="59">
        <f>($C27/$D27)*VLOOKUP($E27,'AWS Platforms Ratios'!$A$2:$O$25,9,FALSE)</f>
        <v>224.155</v>
      </c>
      <c r="R27" s="59">
        <f>($C27/$D27)*VLOOKUP($E27,'AWS Platforms Ratios'!$A$2:$O$25,10,FALSE)</f>
        <v>313.3775</v>
      </c>
      <c r="S27" s="59">
        <f>$F27*VLOOKUP($E27,'AWS Platforms Ratios'!$A$2:$O$25,11,FALSE)</f>
        <v>18.275</v>
      </c>
      <c r="T27" s="59">
        <f>$F27*VLOOKUP($E27,'AWS Platforms Ratios'!$A$2:$O$25,12,FALSE)</f>
        <v>33.13</v>
      </c>
      <c r="U27" s="59">
        <f>$F27*VLOOKUP($E27,'AWS Platforms Ratios'!$A$2:$O$25,13,FALSE)</f>
        <v>69.185</v>
      </c>
      <c r="V27" s="59">
        <f>$F27*VLOOKUP($E27,'AWS Platforms Ratios'!$A$2:$O$25,14,FALSE)</f>
        <v>105.24</v>
      </c>
      <c r="W27" s="60">
        <f>IF($K27&lt;&gt;"N/A",$M27*(VLOOKUP($L27,'GPU Specs &amp; Ratios'!$B$2:$I$8,5,FALSE)),0)</f>
        <v>0</v>
      </c>
      <c r="X27" s="60">
        <f>IF($K27&lt;&gt;"N/A",$M27*(VLOOKUP($L27,'GPU Specs &amp; Ratios'!$B$2:$I$8,6,FALSE)),0)</f>
        <v>0</v>
      </c>
      <c r="Y27" s="60">
        <f>IF($K27&lt;&gt;"N/A",$M27*(VLOOKUP($L27,'GPU Specs &amp; Ratios'!$B$2:$I$8,7,FALSE)),0)</f>
        <v>0</v>
      </c>
      <c r="Z27" s="60">
        <f>IF($K27&lt;&gt;"N/A",$M27*(VLOOKUP($L27,'GPU Specs &amp; Ratios'!$B$2:$I$8,8,FALSE)),0)</f>
        <v>0</v>
      </c>
      <c r="AA27" s="60">
        <f>(C27/D27)*VLOOKUP($E27,'AWS Platforms Ratios'!$A$2:$O$25,15,FALSE)</f>
        <v>48</v>
      </c>
      <c r="AB27" s="60">
        <f t="shared" ref="AB27:AE27" si="26">O27+S27+W27+$AA27</f>
        <v>95.24</v>
      </c>
      <c r="AC27" s="60">
        <f t="shared" si="26"/>
        <v>168.895</v>
      </c>
      <c r="AD27" s="60">
        <f t="shared" si="26"/>
        <v>341.34</v>
      </c>
      <c r="AE27" s="60">
        <f t="shared" si="26"/>
        <v>466.6175</v>
      </c>
      <c r="AF27" s="60">
        <f>IF(G27&gt;'Scope 3 Ratios'!$B$5,(G27-'Scope 3 Ratios'!$B$5)*('Scope 3 Ratios'!$B$6/'Scope 3 Ratios'!$B$5),0)</f>
        <v>244.0944</v>
      </c>
      <c r="AG27" s="60">
        <f>J27*IF(I27="SSD",'Scope 3 Ratios'!$B$9,'Scope 3 Ratios'!$B$8)</f>
        <v>0</v>
      </c>
      <c r="AH27" s="60">
        <f>IF(K27&lt;&gt;"N/A",K27*'Scope 3 Ratios'!$B$10,0)</f>
        <v>0</v>
      </c>
      <c r="AI27" s="60">
        <f>(VLOOKUP($E27,'AWS Platforms Ratios'!$A$2:$O$25,3,FALSE)-1)*'Scope 3 Ratios'!$B$7</f>
        <v>100</v>
      </c>
      <c r="AJ27" s="60">
        <f>'Scope 3 Ratios'!$B$2+AF27+AG27+AH27+AI27</f>
        <v>1344.0944</v>
      </c>
      <c r="AK27" s="60">
        <f>AJ27*'Scope 3 Ratios'!$B$4*(C27/D27)</f>
        <v>19.44581019</v>
      </c>
      <c r="AL27" s="61" t="s">
        <v>130</v>
      </c>
    </row>
    <row r="28" ht="15.0" customHeight="1">
      <c r="A28" s="56" t="s">
        <v>131</v>
      </c>
      <c r="B28" s="56" t="s">
        <v>126</v>
      </c>
      <c r="C28" s="56">
        <v>72.0</v>
      </c>
      <c r="D28" s="56">
        <f>VLOOKUP(E28,'AWS Platforms Ratios'!$A$2:$B$25,2,FALSE)</f>
        <v>72</v>
      </c>
      <c r="E28" s="57" t="s">
        <v>120</v>
      </c>
      <c r="F28" s="56">
        <v>144.0</v>
      </c>
      <c r="G28" s="56">
        <v>192.0</v>
      </c>
      <c r="H28" s="57" t="s">
        <v>71</v>
      </c>
      <c r="I28" s="56" t="s">
        <v>72</v>
      </c>
      <c r="J28" s="56">
        <v>0.0</v>
      </c>
      <c r="K28" s="58" t="s">
        <v>73</v>
      </c>
      <c r="L28" s="58" t="s">
        <v>73</v>
      </c>
      <c r="M28" s="58" t="s">
        <v>73</v>
      </c>
      <c r="N28" s="58" t="s">
        <v>73</v>
      </c>
      <c r="O28" s="59">
        <f>($C28/$D28)*VLOOKUP($E28,'AWS Platforms Ratios'!$A$2:$O$25,7,FALSE)</f>
        <v>50.66</v>
      </c>
      <c r="P28" s="59">
        <f>($C28/$D28)*VLOOKUP($E28,'AWS Platforms Ratios'!$A$2:$O$25,8,FALSE)</f>
        <v>134.85</v>
      </c>
      <c r="Q28" s="59">
        <f>($C28/$D28)*VLOOKUP($E28,'AWS Platforms Ratios'!$A$2:$O$25,9,FALSE)</f>
        <v>293.21</v>
      </c>
      <c r="R28" s="59">
        <f>($C28/$D28)*VLOOKUP($E28,'AWS Platforms Ratios'!$A$2:$O$25,10,FALSE)</f>
        <v>423.68</v>
      </c>
      <c r="S28" s="59">
        <f>$F28*VLOOKUP($E28,'AWS Platforms Ratios'!$A$2:$O$25,11,FALSE)</f>
        <v>28.005</v>
      </c>
      <c r="T28" s="59">
        <f>$F28*VLOOKUP($E28,'AWS Platforms Ratios'!$A$2:$O$25,12,FALSE)</f>
        <v>50.5875</v>
      </c>
      <c r="U28" s="59">
        <f>$F28*VLOOKUP($E28,'AWS Platforms Ratios'!$A$2:$O$25,13,FALSE)</f>
        <v>88.83</v>
      </c>
      <c r="V28" s="59">
        <f>$F28*VLOOKUP($E28,'AWS Platforms Ratios'!$A$2:$O$25,14,FALSE)</f>
        <v>127.0725</v>
      </c>
      <c r="W28" s="60">
        <f>IF($K28&lt;&gt;"N/A",$M28*(VLOOKUP($L28,'GPU Specs &amp; Ratios'!$B$2:$I$8,5,FALSE)),0)</f>
        <v>0</v>
      </c>
      <c r="X28" s="60">
        <f>IF($K28&lt;&gt;"N/A",$M28*(VLOOKUP($L28,'GPU Specs &amp; Ratios'!$B$2:$I$8,6,FALSE)),0)</f>
        <v>0</v>
      </c>
      <c r="Y28" s="60">
        <f>IF($K28&lt;&gt;"N/A",$M28*(VLOOKUP($L28,'GPU Specs &amp; Ratios'!$B$2:$I$8,7,FALSE)),0)</f>
        <v>0</v>
      </c>
      <c r="Z28" s="60">
        <f>IF($K28&lt;&gt;"N/A",$M28*(VLOOKUP($L28,'GPU Specs &amp; Ratios'!$B$2:$I$8,8,FALSE)),0)</f>
        <v>0</v>
      </c>
      <c r="AA28" s="60">
        <f>(C28/D28)*VLOOKUP($E28,'AWS Platforms Ratios'!$A$2:$O$25,15,FALSE)</f>
        <v>96</v>
      </c>
      <c r="AB28" s="60">
        <f t="shared" ref="AB28:AE28" si="27">O28+S28+W28+$AA28</f>
        <v>174.665</v>
      </c>
      <c r="AC28" s="60">
        <f t="shared" si="27"/>
        <v>281.4375</v>
      </c>
      <c r="AD28" s="60">
        <f t="shared" si="27"/>
        <v>478.04</v>
      </c>
      <c r="AE28" s="60">
        <f t="shared" si="27"/>
        <v>646.7525</v>
      </c>
      <c r="AF28" s="60">
        <f>IF(G28&gt;'Scope 3 Ratios'!$B$5,(G28-'Scope 3 Ratios'!$B$5)*('Scope 3 Ratios'!$B$6/'Scope 3 Ratios'!$B$5),0)</f>
        <v>244.0944</v>
      </c>
      <c r="AG28" s="60">
        <f>J28*IF(I28="SSD",'Scope 3 Ratios'!$B$9,'Scope 3 Ratios'!$B$8)</f>
        <v>0</v>
      </c>
      <c r="AH28" s="60">
        <f>IF(K28&lt;&gt;"N/A",K28*'Scope 3 Ratios'!$B$10,0)</f>
        <v>0</v>
      </c>
      <c r="AI28" s="60">
        <f>(VLOOKUP($E28,'AWS Platforms Ratios'!$A$2:$O$25,3,FALSE)-1)*'Scope 3 Ratios'!$B$7</f>
        <v>100</v>
      </c>
      <c r="AJ28" s="60">
        <f>'Scope 3 Ratios'!$B$2+AF28+AG28+AH28+AI28</f>
        <v>1344.0944</v>
      </c>
      <c r="AK28" s="60">
        <f>AJ28*'Scope 3 Ratios'!$B$4*(C28/D28)</f>
        <v>38.89162037</v>
      </c>
      <c r="AL28" s="61" t="s">
        <v>121</v>
      </c>
    </row>
    <row r="29" ht="15.0" customHeight="1">
      <c r="A29" s="56" t="s">
        <v>132</v>
      </c>
      <c r="B29" s="56" t="s">
        <v>128</v>
      </c>
      <c r="C29" s="56">
        <v>96.0</v>
      </c>
      <c r="D29" s="56">
        <f>VLOOKUP(E29,'AWS Platforms Ratios'!$A$2:$B$25,2,FALSE)</f>
        <v>96</v>
      </c>
      <c r="E29" s="57" t="s">
        <v>129</v>
      </c>
      <c r="F29" s="56">
        <v>192.0</v>
      </c>
      <c r="G29" s="56">
        <v>192.0</v>
      </c>
      <c r="H29" s="57" t="s">
        <v>71</v>
      </c>
      <c r="I29" s="56" t="s">
        <v>72</v>
      </c>
      <c r="J29" s="56">
        <v>0.0</v>
      </c>
      <c r="K29" s="58" t="s">
        <v>73</v>
      </c>
      <c r="L29" s="58" t="s">
        <v>73</v>
      </c>
      <c r="M29" s="58" t="s">
        <v>73</v>
      </c>
      <c r="N29" s="58" t="s">
        <v>73</v>
      </c>
      <c r="O29" s="59">
        <f>($C29/$D29)*VLOOKUP($E29,'AWS Platforms Ratios'!$A$2:$O$25,7,FALSE)</f>
        <v>57.93</v>
      </c>
      <c r="P29" s="59">
        <f>($C29/$D29)*VLOOKUP($E29,'AWS Platforms Ratios'!$A$2:$O$25,8,FALSE)</f>
        <v>175.53</v>
      </c>
      <c r="Q29" s="59">
        <f>($C29/$D29)*VLOOKUP($E29,'AWS Platforms Ratios'!$A$2:$O$25,9,FALSE)</f>
        <v>448.31</v>
      </c>
      <c r="R29" s="59">
        <f>($C29/$D29)*VLOOKUP($E29,'AWS Platforms Ratios'!$A$2:$O$25,10,FALSE)</f>
        <v>626.755</v>
      </c>
      <c r="S29" s="59">
        <f>$F29*VLOOKUP($E29,'AWS Platforms Ratios'!$A$2:$O$25,11,FALSE)</f>
        <v>36.55</v>
      </c>
      <c r="T29" s="59">
        <f>$F29*VLOOKUP($E29,'AWS Platforms Ratios'!$A$2:$O$25,12,FALSE)</f>
        <v>66.26</v>
      </c>
      <c r="U29" s="59">
        <f>$F29*VLOOKUP($E29,'AWS Platforms Ratios'!$A$2:$O$25,13,FALSE)</f>
        <v>138.37</v>
      </c>
      <c r="V29" s="59">
        <f>$F29*VLOOKUP($E29,'AWS Platforms Ratios'!$A$2:$O$25,14,FALSE)</f>
        <v>210.48</v>
      </c>
      <c r="W29" s="60">
        <f>IF($K29&lt;&gt;"N/A",$M29*(VLOOKUP($L29,'GPU Specs &amp; Ratios'!$B$2:$I$8,5,FALSE)),0)</f>
        <v>0</v>
      </c>
      <c r="X29" s="60">
        <f>IF($K29&lt;&gt;"N/A",$M29*(VLOOKUP($L29,'GPU Specs &amp; Ratios'!$B$2:$I$8,6,FALSE)),0)</f>
        <v>0</v>
      </c>
      <c r="Y29" s="60">
        <f>IF($K29&lt;&gt;"N/A",$M29*(VLOOKUP($L29,'GPU Specs &amp; Ratios'!$B$2:$I$8,7,FALSE)),0)</f>
        <v>0</v>
      </c>
      <c r="Z29" s="60">
        <f>IF($K29&lt;&gt;"N/A",$M29*(VLOOKUP($L29,'GPU Specs &amp; Ratios'!$B$2:$I$8,8,FALSE)),0)</f>
        <v>0</v>
      </c>
      <c r="AA29" s="60">
        <f>(C29/D29)*VLOOKUP($E29,'AWS Platforms Ratios'!$A$2:$O$25,15,FALSE)</f>
        <v>96</v>
      </c>
      <c r="AB29" s="60">
        <f t="shared" ref="AB29:AE29" si="28">O29+S29+W29+$AA29</f>
        <v>190.48</v>
      </c>
      <c r="AC29" s="60">
        <f t="shared" si="28"/>
        <v>337.79</v>
      </c>
      <c r="AD29" s="60">
        <f t="shared" si="28"/>
        <v>682.68</v>
      </c>
      <c r="AE29" s="60">
        <f t="shared" si="28"/>
        <v>933.235</v>
      </c>
      <c r="AF29" s="60">
        <f>IF(G29&gt;'Scope 3 Ratios'!$B$5,(G29-'Scope 3 Ratios'!$B$5)*('Scope 3 Ratios'!$B$6/'Scope 3 Ratios'!$B$5),0)</f>
        <v>244.0944</v>
      </c>
      <c r="AG29" s="60">
        <f>J29*IF(I29="SSD",'Scope 3 Ratios'!$B$9,'Scope 3 Ratios'!$B$8)</f>
        <v>0</v>
      </c>
      <c r="AH29" s="60">
        <f>IF(K29&lt;&gt;"N/A",K29*'Scope 3 Ratios'!$B$10,0)</f>
        <v>0</v>
      </c>
      <c r="AI29" s="60">
        <f>(VLOOKUP($E29,'AWS Platforms Ratios'!$A$2:$O$25,3,FALSE)-1)*'Scope 3 Ratios'!$B$7</f>
        <v>100</v>
      </c>
      <c r="AJ29" s="60">
        <f>'Scope 3 Ratios'!$B$2+AF29+AG29+AH29+AI29</f>
        <v>1344.0944</v>
      </c>
      <c r="AK29" s="60">
        <f>AJ29*'Scope 3 Ratios'!$B$4*(C29/D29)</f>
        <v>38.89162037</v>
      </c>
      <c r="AL29" s="61" t="s">
        <v>130</v>
      </c>
    </row>
    <row r="30" ht="15.0" customHeight="1">
      <c r="A30" s="56" t="s">
        <v>18</v>
      </c>
      <c r="B30" s="56" t="s">
        <v>128</v>
      </c>
      <c r="C30" s="56">
        <v>96.0</v>
      </c>
      <c r="D30" s="56">
        <f>VLOOKUP(E30,'AWS Platforms Ratios'!$A$2:$B$25,2,FALSE)</f>
        <v>96</v>
      </c>
      <c r="E30" s="57" t="s">
        <v>129</v>
      </c>
      <c r="F30" s="56">
        <v>192.0</v>
      </c>
      <c r="G30" s="56">
        <v>192.0</v>
      </c>
      <c r="H30" s="57" t="s">
        <v>71</v>
      </c>
      <c r="I30" s="56" t="s">
        <v>72</v>
      </c>
      <c r="J30" s="56">
        <v>0.0</v>
      </c>
      <c r="K30" s="58" t="s">
        <v>73</v>
      </c>
      <c r="L30" s="58" t="s">
        <v>73</v>
      </c>
      <c r="M30" s="58" t="s">
        <v>73</v>
      </c>
      <c r="N30" s="58" t="s">
        <v>73</v>
      </c>
      <c r="O30" s="59">
        <f>($C30/$D30)*VLOOKUP($E30,'AWS Platforms Ratios'!$A$2:$O$25,7,FALSE)</f>
        <v>57.93</v>
      </c>
      <c r="P30" s="59">
        <f>($C30/$D30)*VLOOKUP($E30,'AWS Platforms Ratios'!$A$2:$O$25,8,FALSE)</f>
        <v>175.53</v>
      </c>
      <c r="Q30" s="59">
        <f>($C30/$D30)*VLOOKUP($E30,'AWS Platforms Ratios'!$A$2:$O$25,9,FALSE)</f>
        <v>448.31</v>
      </c>
      <c r="R30" s="59">
        <f>($C30/$D30)*VLOOKUP($E30,'AWS Platforms Ratios'!$A$2:$O$25,10,FALSE)</f>
        <v>626.755</v>
      </c>
      <c r="S30" s="59">
        <f>$F30*VLOOKUP($E30,'AWS Platforms Ratios'!$A$2:$O$25,11,FALSE)</f>
        <v>36.55</v>
      </c>
      <c r="T30" s="59">
        <f>$F30*VLOOKUP($E30,'AWS Platforms Ratios'!$A$2:$O$25,12,FALSE)</f>
        <v>66.26</v>
      </c>
      <c r="U30" s="59">
        <f>$F30*VLOOKUP($E30,'AWS Platforms Ratios'!$A$2:$O$25,13,FALSE)</f>
        <v>138.37</v>
      </c>
      <c r="V30" s="59">
        <f>$F30*VLOOKUP($E30,'AWS Platforms Ratios'!$A$2:$O$25,14,FALSE)</f>
        <v>210.48</v>
      </c>
      <c r="W30" s="60">
        <f>IF($K30&lt;&gt;"N/A",$M30*(VLOOKUP($L30,'GPU Specs &amp; Ratios'!$B$2:$I$8,5,FALSE)),0)</f>
        <v>0</v>
      </c>
      <c r="X30" s="60">
        <f>IF($K30&lt;&gt;"N/A",$M30*(VLOOKUP($L30,'GPU Specs &amp; Ratios'!$B$2:$I$8,6,FALSE)),0)</f>
        <v>0</v>
      </c>
      <c r="Y30" s="60">
        <f>IF($K30&lt;&gt;"N/A",$M30*(VLOOKUP($L30,'GPU Specs &amp; Ratios'!$B$2:$I$8,7,FALSE)),0)</f>
        <v>0</v>
      </c>
      <c r="Z30" s="60">
        <f>IF($K30&lt;&gt;"N/A",$M30*(VLOOKUP($L30,'GPU Specs &amp; Ratios'!$B$2:$I$8,8,FALSE)),0)</f>
        <v>0</v>
      </c>
      <c r="AA30" s="60">
        <f>(C30/D30)*VLOOKUP($E30,'AWS Platforms Ratios'!$A$2:$O$25,15,FALSE)</f>
        <v>96</v>
      </c>
      <c r="AB30" s="60">
        <f t="shared" ref="AB30:AE30" si="29">O30+S30+W30+$AA30</f>
        <v>190.48</v>
      </c>
      <c r="AC30" s="60">
        <f t="shared" si="29"/>
        <v>337.79</v>
      </c>
      <c r="AD30" s="60">
        <f t="shared" si="29"/>
        <v>682.68</v>
      </c>
      <c r="AE30" s="60">
        <f t="shared" si="29"/>
        <v>933.235</v>
      </c>
      <c r="AF30" s="60">
        <f>IF(G30&gt;'Scope 3 Ratios'!$B$5,(G30-'Scope 3 Ratios'!$B$5)*('Scope 3 Ratios'!$B$6/'Scope 3 Ratios'!$B$5),0)</f>
        <v>244.0944</v>
      </c>
      <c r="AG30" s="60">
        <f>J30*IF(I30="SSD",'Scope 3 Ratios'!$B$9,'Scope 3 Ratios'!$B$8)</f>
        <v>0</v>
      </c>
      <c r="AH30" s="60">
        <f>IF(K30&lt;&gt;"N/A",K30*'Scope 3 Ratios'!$B$10,0)</f>
        <v>0</v>
      </c>
      <c r="AI30" s="60">
        <f>(VLOOKUP($E30,'AWS Platforms Ratios'!$A$2:$O$25,3,FALSE)-1)*'Scope 3 Ratios'!$B$7</f>
        <v>100</v>
      </c>
      <c r="AJ30" s="60">
        <f>'Scope 3 Ratios'!$B$2+AF30+AG30+AH30+AI30</f>
        <v>1344.0944</v>
      </c>
      <c r="AK30" s="60">
        <f>AJ30*'Scope 3 Ratios'!$B$4*(C30/D30)</f>
        <v>38.89162037</v>
      </c>
      <c r="AL30" s="61" t="s">
        <v>130</v>
      </c>
    </row>
    <row r="31" ht="15.0" customHeight="1">
      <c r="A31" s="56" t="s">
        <v>133</v>
      </c>
      <c r="B31" s="56" t="s">
        <v>134</v>
      </c>
      <c r="C31" s="56">
        <v>2.0</v>
      </c>
      <c r="D31" s="56">
        <f>VLOOKUP(E31,'AWS Platforms Ratios'!$A$2:$B$25,2,FALSE)</f>
        <v>96</v>
      </c>
      <c r="E31" s="57" t="s">
        <v>135</v>
      </c>
      <c r="F31" s="56">
        <v>4.0</v>
      </c>
      <c r="G31" s="56">
        <v>192.0</v>
      </c>
      <c r="H31" s="57" t="s">
        <v>71</v>
      </c>
      <c r="I31" s="56" t="s">
        <v>72</v>
      </c>
      <c r="J31" s="56">
        <v>0.0</v>
      </c>
      <c r="K31" s="58" t="s">
        <v>73</v>
      </c>
      <c r="L31" s="58" t="s">
        <v>73</v>
      </c>
      <c r="M31" s="58" t="s">
        <v>73</v>
      </c>
      <c r="N31" s="58" t="s">
        <v>73</v>
      </c>
      <c r="O31" s="59">
        <f>($C31/$D31)*VLOOKUP($E31,'AWS Platforms Ratios'!$A$2:$O$25,7,FALSE)</f>
        <v>0.6774169346</v>
      </c>
      <c r="P31" s="59">
        <f>($C31/$D31)*VLOOKUP($E31,'AWS Platforms Ratios'!$A$2:$O$25,8,FALSE)</f>
        <v>1.856519293</v>
      </c>
      <c r="Q31" s="59">
        <f>($C31/$D31)*VLOOKUP($E31,'AWS Platforms Ratios'!$A$2:$O$25,9,FALSE)</f>
        <v>4.388204716</v>
      </c>
      <c r="R31" s="59">
        <f>($C31/$D31)*VLOOKUP($E31,'AWS Platforms Ratios'!$A$2:$O$25,10,FALSE)</f>
        <v>5.941512594</v>
      </c>
      <c r="S31" s="59">
        <f>$F31*VLOOKUP($E31,'AWS Platforms Ratios'!$A$2:$O$25,11,FALSE)</f>
        <v>0.8</v>
      </c>
      <c r="T31" s="59">
        <f>$F31*VLOOKUP($E31,'AWS Platforms Ratios'!$A$2:$O$25,12,FALSE)</f>
        <v>1.2</v>
      </c>
      <c r="U31" s="59">
        <f>$F31*VLOOKUP($E31,'AWS Platforms Ratios'!$A$2:$O$25,13,FALSE)</f>
        <v>1.6</v>
      </c>
      <c r="V31" s="59">
        <f>$F31*VLOOKUP($E31,'AWS Platforms Ratios'!$A$2:$O$25,14,FALSE)</f>
        <v>2.4</v>
      </c>
      <c r="W31" s="60">
        <f>IF($K31&lt;&gt;"N/A",$M31*(VLOOKUP($L31,'GPU Specs &amp; Ratios'!$B$2:$I$8,5,FALSE)),0)</f>
        <v>0</v>
      </c>
      <c r="X31" s="60">
        <f>IF($K31&lt;&gt;"N/A",$M31*(VLOOKUP($L31,'GPU Specs &amp; Ratios'!$B$2:$I$8,6,FALSE)),0)</f>
        <v>0</v>
      </c>
      <c r="Y31" s="60">
        <f>IF($K31&lt;&gt;"N/A",$M31*(VLOOKUP($L31,'GPU Specs &amp; Ratios'!$B$2:$I$8,7,FALSE)),0)</f>
        <v>0</v>
      </c>
      <c r="Z31" s="60">
        <f>IF($K31&lt;&gt;"N/A",$M31*(VLOOKUP($L31,'GPU Specs &amp; Ratios'!$B$2:$I$8,8,FALSE)),0)</f>
        <v>0</v>
      </c>
      <c r="AA31" s="60">
        <f>(C31/D31)*VLOOKUP($E31,'AWS Platforms Ratios'!$A$2:$O$25,15,FALSE)</f>
        <v>1.166666667</v>
      </c>
      <c r="AB31" s="60">
        <f t="shared" ref="AB31:AE31" si="30">O31+S31+W31+$AA31</f>
        <v>2.644083601</v>
      </c>
      <c r="AC31" s="60">
        <f t="shared" si="30"/>
        <v>4.223185959</v>
      </c>
      <c r="AD31" s="60">
        <f t="shared" si="30"/>
        <v>7.154871383</v>
      </c>
      <c r="AE31" s="60">
        <f t="shared" si="30"/>
        <v>9.50817926</v>
      </c>
      <c r="AF31" s="60">
        <f>IF(G31&gt;'Scope 3 Ratios'!$B$5,(G31-'Scope 3 Ratios'!$B$5)*('Scope 3 Ratios'!$B$6/'Scope 3 Ratios'!$B$5),0)</f>
        <v>244.0944</v>
      </c>
      <c r="AG31" s="60">
        <f>J31*IF(I31="SSD",'Scope 3 Ratios'!$B$9,'Scope 3 Ratios'!$B$8)</f>
        <v>0</v>
      </c>
      <c r="AH31" s="60">
        <f>IF(K31&lt;&gt;"N/A",K31*'Scope 3 Ratios'!$B$10,0)</f>
        <v>0</v>
      </c>
      <c r="AI31" s="60">
        <f>(VLOOKUP($E31,'AWS Platforms Ratios'!$A$2:$O$25,3,FALSE)-1)*'Scope 3 Ratios'!$B$7</f>
        <v>0</v>
      </c>
      <c r="AJ31" s="60">
        <f>'Scope 3 Ratios'!$B$2+AF31+AG31+AH31+AI31</f>
        <v>1244.0944</v>
      </c>
      <c r="AK31" s="60">
        <f>AJ31*'Scope 3 Ratios'!$B$4*(C31/D31)</f>
        <v>0.7499604552</v>
      </c>
      <c r="AL31" s="61" t="s">
        <v>136</v>
      </c>
    </row>
    <row r="32" ht="15.0" customHeight="1">
      <c r="A32" s="56" t="s">
        <v>137</v>
      </c>
      <c r="B32" s="56" t="s">
        <v>134</v>
      </c>
      <c r="C32" s="56">
        <v>4.0</v>
      </c>
      <c r="D32" s="56">
        <f>VLOOKUP(E32,'AWS Platforms Ratios'!$A$2:$B$25,2,FALSE)</f>
        <v>96</v>
      </c>
      <c r="E32" s="57" t="s">
        <v>135</v>
      </c>
      <c r="F32" s="56">
        <v>8.0</v>
      </c>
      <c r="G32" s="56">
        <v>192.0</v>
      </c>
      <c r="H32" s="57" t="s">
        <v>71</v>
      </c>
      <c r="I32" s="56" t="s">
        <v>72</v>
      </c>
      <c r="J32" s="56">
        <v>0.0</v>
      </c>
      <c r="K32" s="58" t="s">
        <v>73</v>
      </c>
      <c r="L32" s="58" t="s">
        <v>73</v>
      </c>
      <c r="M32" s="58" t="s">
        <v>73</v>
      </c>
      <c r="N32" s="58" t="s">
        <v>73</v>
      </c>
      <c r="O32" s="59">
        <f>($C32/$D32)*VLOOKUP($E32,'AWS Platforms Ratios'!$A$2:$O$25,7,FALSE)</f>
        <v>1.354833869</v>
      </c>
      <c r="P32" s="59">
        <f>($C32/$D32)*VLOOKUP($E32,'AWS Platforms Ratios'!$A$2:$O$25,8,FALSE)</f>
        <v>3.713038585</v>
      </c>
      <c r="Q32" s="59">
        <f>($C32/$D32)*VLOOKUP($E32,'AWS Platforms Ratios'!$A$2:$O$25,9,FALSE)</f>
        <v>8.776409432</v>
      </c>
      <c r="R32" s="59">
        <f>($C32/$D32)*VLOOKUP($E32,'AWS Platforms Ratios'!$A$2:$O$25,10,FALSE)</f>
        <v>11.88302519</v>
      </c>
      <c r="S32" s="59">
        <f>$F32*VLOOKUP($E32,'AWS Platforms Ratios'!$A$2:$O$25,11,FALSE)</f>
        <v>1.6</v>
      </c>
      <c r="T32" s="59">
        <f>$F32*VLOOKUP($E32,'AWS Platforms Ratios'!$A$2:$O$25,12,FALSE)</f>
        <v>2.4</v>
      </c>
      <c r="U32" s="59">
        <f>$F32*VLOOKUP($E32,'AWS Platforms Ratios'!$A$2:$O$25,13,FALSE)</f>
        <v>3.2</v>
      </c>
      <c r="V32" s="59">
        <f>$F32*VLOOKUP($E32,'AWS Platforms Ratios'!$A$2:$O$25,14,FALSE)</f>
        <v>4.8</v>
      </c>
      <c r="W32" s="60">
        <f>IF($K32&lt;&gt;"N/A",$M32*(VLOOKUP($L32,'GPU Specs &amp; Ratios'!$B$2:$I$8,5,FALSE)),0)</f>
        <v>0</v>
      </c>
      <c r="X32" s="60">
        <f>IF($K32&lt;&gt;"N/A",$M32*(VLOOKUP($L32,'GPU Specs &amp; Ratios'!$B$2:$I$8,6,FALSE)),0)</f>
        <v>0</v>
      </c>
      <c r="Y32" s="60">
        <f>IF($K32&lt;&gt;"N/A",$M32*(VLOOKUP($L32,'GPU Specs &amp; Ratios'!$B$2:$I$8,7,FALSE)),0)</f>
        <v>0</v>
      </c>
      <c r="Z32" s="60">
        <f>IF($K32&lt;&gt;"N/A",$M32*(VLOOKUP($L32,'GPU Specs &amp; Ratios'!$B$2:$I$8,8,FALSE)),0)</f>
        <v>0</v>
      </c>
      <c r="AA32" s="60">
        <f>(C32/D32)*VLOOKUP($E32,'AWS Platforms Ratios'!$A$2:$O$25,15,FALSE)</f>
        <v>2.333333333</v>
      </c>
      <c r="AB32" s="60">
        <f t="shared" ref="AB32:AE32" si="31">O32+S32+W32+$AA32</f>
        <v>5.288167203</v>
      </c>
      <c r="AC32" s="60">
        <f t="shared" si="31"/>
        <v>8.446371919</v>
      </c>
      <c r="AD32" s="60">
        <f t="shared" si="31"/>
        <v>14.30974277</v>
      </c>
      <c r="AE32" s="60">
        <f t="shared" si="31"/>
        <v>19.01635852</v>
      </c>
      <c r="AF32" s="60">
        <f>IF(G32&gt;'Scope 3 Ratios'!$B$5,(G32-'Scope 3 Ratios'!$B$5)*('Scope 3 Ratios'!$B$6/'Scope 3 Ratios'!$B$5),0)</f>
        <v>244.0944</v>
      </c>
      <c r="AG32" s="60">
        <f>J32*IF(I32="SSD",'Scope 3 Ratios'!$B$9,'Scope 3 Ratios'!$B$8)</f>
        <v>0</v>
      </c>
      <c r="AH32" s="60">
        <f>IF(K32&lt;&gt;"N/A",K32*'Scope 3 Ratios'!$B$10,0)</f>
        <v>0</v>
      </c>
      <c r="AI32" s="60">
        <f>(VLOOKUP($E32,'AWS Platforms Ratios'!$A$2:$O$25,3,FALSE)-1)*'Scope 3 Ratios'!$B$7</f>
        <v>0</v>
      </c>
      <c r="AJ32" s="60">
        <f>'Scope 3 Ratios'!$B$2+AF32+AG32+AH32+AI32</f>
        <v>1244.0944</v>
      </c>
      <c r="AK32" s="60">
        <f>AJ32*'Scope 3 Ratios'!$B$4*(C32/D32)</f>
        <v>1.49992091</v>
      </c>
      <c r="AL32" s="61" t="s">
        <v>136</v>
      </c>
    </row>
    <row r="33" ht="15.0" customHeight="1">
      <c r="A33" s="56" t="s">
        <v>138</v>
      </c>
      <c r="B33" s="56" t="s">
        <v>134</v>
      </c>
      <c r="C33" s="56">
        <v>8.0</v>
      </c>
      <c r="D33" s="56">
        <f>VLOOKUP(E33,'AWS Platforms Ratios'!$A$2:$B$25,2,FALSE)</f>
        <v>96</v>
      </c>
      <c r="E33" s="57" t="s">
        <v>135</v>
      </c>
      <c r="F33" s="56">
        <v>16.0</v>
      </c>
      <c r="G33" s="56">
        <v>192.0</v>
      </c>
      <c r="H33" s="57" t="s">
        <v>71</v>
      </c>
      <c r="I33" s="56" t="s">
        <v>72</v>
      </c>
      <c r="J33" s="56">
        <v>0.0</v>
      </c>
      <c r="K33" s="58" t="s">
        <v>73</v>
      </c>
      <c r="L33" s="58" t="s">
        <v>73</v>
      </c>
      <c r="M33" s="58" t="s">
        <v>73</v>
      </c>
      <c r="N33" s="58" t="s">
        <v>73</v>
      </c>
      <c r="O33" s="59">
        <f>($C33/$D33)*VLOOKUP($E33,'AWS Platforms Ratios'!$A$2:$O$25,7,FALSE)</f>
        <v>2.709667738</v>
      </c>
      <c r="P33" s="59">
        <f>($C33/$D33)*VLOOKUP($E33,'AWS Platforms Ratios'!$A$2:$O$25,8,FALSE)</f>
        <v>7.42607717</v>
      </c>
      <c r="Q33" s="59">
        <f>($C33/$D33)*VLOOKUP($E33,'AWS Platforms Ratios'!$A$2:$O$25,9,FALSE)</f>
        <v>17.55281886</v>
      </c>
      <c r="R33" s="59">
        <f>($C33/$D33)*VLOOKUP($E33,'AWS Platforms Ratios'!$A$2:$O$25,10,FALSE)</f>
        <v>23.76605038</v>
      </c>
      <c r="S33" s="59">
        <f>$F33*VLOOKUP($E33,'AWS Platforms Ratios'!$A$2:$O$25,11,FALSE)</f>
        <v>3.2</v>
      </c>
      <c r="T33" s="59">
        <f>$F33*VLOOKUP($E33,'AWS Platforms Ratios'!$A$2:$O$25,12,FALSE)</f>
        <v>4.8</v>
      </c>
      <c r="U33" s="59">
        <f>$F33*VLOOKUP($E33,'AWS Platforms Ratios'!$A$2:$O$25,13,FALSE)</f>
        <v>6.4</v>
      </c>
      <c r="V33" s="59">
        <f>$F33*VLOOKUP($E33,'AWS Platforms Ratios'!$A$2:$O$25,14,FALSE)</f>
        <v>9.6</v>
      </c>
      <c r="W33" s="60">
        <f>IF($K33&lt;&gt;"N/A",$M33*(VLOOKUP($L33,'GPU Specs &amp; Ratios'!$B$2:$I$8,5,FALSE)),0)</f>
        <v>0</v>
      </c>
      <c r="X33" s="60">
        <f>IF($K33&lt;&gt;"N/A",$M33*(VLOOKUP($L33,'GPU Specs &amp; Ratios'!$B$2:$I$8,6,FALSE)),0)</f>
        <v>0</v>
      </c>
      <c r="Y33" s="60">
        <f>IF($K33&lt;&gt;"N/A",$M33*(VLOOKUP($L33,'GPU Specs &amp; Ratios'!$B$2:$I$8,7,FALSE)),0)</f>
        <v>0</v>
      </c>
      <c r="Z33" s="60">
        <f>IF($K33&lt;&gt;"N/A",$M33*(VLOOKUP($L33,'GPU Specs &amp; Ratios'!$B$2:$I$8,8,FALSE)),0)</f>
        <v>0</v>
      </c>
      <c r="AA33" s="60">
        <f>(C33/D33)*VLOOKUP($E33,'AWS Platforms Ratios'!$A$2:$O$25,15,FALSE)</f>
        <v>4.666666667</v>
      </c>
      <c r="AB33" s="60">
        <f t="shared" ref="AB33:AE33" si="32">O33+S33+W33+$AA33</f>
        <v>10.57633441</v>
      </c>
      <c r="AC33" s="60">
        <f t="shared" si="32"/>
        <v>16.89274384</v>
      </c>
      <c r="AD33" s="60">
        <f t="shared" si="32"/>
        <v>28.61948553</v>
      </c>
      <c r="AE33" s="60">
        <f t="shared" si="32"/>
        <v>38.03271704</v>
      </c>
      <c r="AF33" s="60">
        <f>IF(G33&gt;'Scope 3 Ratios'!$B$5,(G33-'Scope 3 Ratios'!$B$5)*('Scope 3 Ratios'!$B$6/'Scope 3 Ratios'!$B$5),0)</f>
        <v>244.0944</v>
      </c>
      <c r="AG33" s="60">
        <f>J33*IF(I33="SSD",'Scope 3 Ratios'!$B$9,'Scope 3 Ratios'!$B$8)</f>
        <v>0</v>
      </c>
      <c r="AH33" s="60">
        <f>IF(K33&lt;&gt;"N/A",K33*'Scope 3 Ratios'!$B$10,0)</f>
        <v>0</v>
      </c>
      <c r="AI33" s="60">
        <f>(VLOOKUP($E33,'AWS Platforms Ratios'!$A$2:$O$25,3,FALSE)-1)*'Scope 3 Ratios'!$B$7</f>
        <v>0</v>
      </c>
      <c r="AJ33" s="60">
        <f>'Scope 3 Ratios'!$B$2+AF33+AG33+AH33+AI33</f>
        <v>1244.0944</v>
      </c>
      <c r="AK33" s="60">
        <f>AJ33*'Scope 3 Ratios'!$B$4*(C33/D33)</f>
        <v>2.999841821</v>
      </c>
      <c r="AL33" s="61" t="s">
        <v>136</v>
      </c>
    </row>
    <row r="34" ht="15.0" customHeight="1">
      <c r="A34" s="56" t="s">
        <v>139</v>
      </c>
      <c r="B34" s="56" t="s">
        <v>134</v>
      </c>
      <c r="C34" s="56">
        <v>16.0</v>
      </c>
      <c r="D34" s="56">
        <f>VLOOKUP(E34,'AWS Platforms Ratios'!$A$2:$B$25,2,FALSE)</f>
        <v>96</v>
      </c>
      <c r="E34" s="57" t="s">
        <v>135</v>
      </c>
      <c r="F34" s="56">
        <v>32.0</v>
      </c>
      <c r="G34" s="56">
        <v>192.0</v>
      </c>
      <c r="H34" s="57" t="s">
        <v>71</v>
      </c>
      <c r="I34" s="56" t="s">
        <v>72</v>
      </c>
      <c r="J34" s="56">
        <v>0.0</v>
      </c>
      <c r="K34" s="58" t="s">
        <v>73</v>
      </c>
      <c r="L34" s="58" t="s">
        <v>73</v>
      </c>
      <c r="M34" s="58" t="s">
        <v>73</v>
      </c>
      <c r="N34" s="58" t="s">
        <v>73</v>
      </c>
      <c r="O34" s="59">
        <f>($C34/$D34)*VLOOKUP($E34,'AWS Platforms Ratios'!$A$2:$O$25,7,FALSE)</f>
        <v>5.419335477</v>
      </c>
      <c r="P34" s="59">
        <f>($C34/$D34)*VLOOKUP($E34,'AWS Platforms Ratios'!$A$2:$O$25,8,FALSE)</f>
        <v>14.85215434</v>
      </c>
      <c r="Q34" s="59">
        <f>($C34/$D34)*VLOOKUP($E34,'AWS Platforms Ratios'!$A$2:$O$25,9,FALSE)</f>
        <v>35.10563773</v>
      </c>
      <c r="R34" s="59">
        <f>($C34/$D34)*VLOOKUP($E34,'AWS Platforms Ratios'!$A$2:$O$25,10,FALSE)</f>
        <v>47.53210075</v>
      </c>
      <c r="S34" s="59">
        <f>$F34*VLOOKUP($E34,'AWS Platforms Ratios'!$A$2:$O$25,11,FALSE)</f>
        <v>6.4</v>
      </c>
      <c r="T34" s="59">
        <f>$F34*VLOOKUP($E34,'AWS Platforms Ratios'!$A$2:$O$25,12,FALSE)</f>
        <v>9.6</v>
      </c>
      <c r="U34" s="59">
        <f>$F34*VLOOKUP($E34,'AWS Platforms Ratios'!$A$2:$O$25,13,FALSE)</f>
        <v>12.8</v>
      </c>
      <c r="V34" s="59">
        <f>$F34*VLOOKUP($E34,'AWS Platforms Ratios'!$A$2:$O$25,14,FALSE)</f>
        <v>19.2</v>
      </c>
      <c r="W34" s="60">
        <f>IF($K34&lt;&gt;"N/A",$M34*(VLOOKUP($L34,'GPU Specs &amp; Ratios'!$B$2:$I$8,5,FALSE)),0)</f>
        <v>0</v>
      </c>
      <c r="X34" s="60">
        <f>IF($K34&lt;&gt;"N/A",$M34*(VLOOKUP($L34,'GPU Specs &amp; Ratios'!$B$2:$I$8,6,FALSE)),0)</f>
        <v>0</v>
      </c>
      <c r="Y34" s="60">
        <f>IF($K34&lt;&gt;"N/A",$M34*(VLOOKUP($L34,'GPU Specs &amp; Ratios'!$B$2:$I$8,7,FALSE)),0)</f>
        <v>0</v>
      </c>
      <c r="Z34" s="60">
        <f>IF($K34&lt;&gt;"N/A",$M34*(VLOOKUP($L34,'GPU Specs &amp; Ratios'!$B$2:$I$8,8,FALSE)),0)</f>
        <v>0</v>
      </c>
      <c r="AA34" s="60">
        <f>(C34/D34)*VLOOKUP($E34,'AWS Platforms Ratios'!$A$2:$O$25,15,FALSE)</f>
        <v>9.333333333</v>
      </c>
      <c r="AB34" s="60">
        <f t="shared" ref="AB34:AE34" si="33">O34+S34+W34+$AA34</f>
        <v>21.15266881</v>
      </c>
      <c r="AC34" s="60">
        <f t="shared" si="33"/>
        <v>33.78548767</v>
      </c>
      <c r="AD34" s="60">
        <f t="shared" si="33"/>
        <v>57.23897106</v>
      </c>
      <c r="AE34" s="60">
        <f t="shared" si="33"/>
        <v>76.06543408</v>
      </c>
      <c r="AF34" s="60">
        <f>IF(G34&gt;'Scope 3 Ratios'!$B$5,(G34-'Scope 3 Ratios'!$B$5)*('Scope 3 Ratios'!$B$6/'Scope 3 Ratios'!$B$5),0)</f>
        <v>244.0944</v>
      </c>
      <c r="AG34" s="60">
        <f>J34*IF(I34="SSD",'Scope 3 Ratios'!$B$9,'Scope 3 Ratios'!$B$8)</f>
        <v>0</v>
      </c>
      <c r="AH34" s="60">
        <f>IF(K34&lt;&gt;"N/A",K34*'Scope 3 Ratios'!$B$10,0)</f>
        <v>0</v>
      </c>
      <c r="AI34" s="60">
        <f>(VLOOKUP($E34,'AWS Platforms Ratios'!$A$2:$O$25,3,FALSE)-1)*'Scope 3 Ratios'!$B$7</f>
        <v>0</v>
      </c>
      <c r="AJ34" s="60">
        <f>'Scope 3 Ratios'!$B$2+AF34+AG34+AH34+AI34</f>
        <v>1244.0944</v>
      </c>
      <c r="AK34" s="60">
        <f>AJ34*'Scope 3 Ratios'!$B$4*(C34/D34)</f>
        <v>5.999683642</v>
      </c>
      <c r="AL34" s="61" t="s">
        <v>136</v>
      </c>
    </row>
    <row r="35" ht="15.0" customHeight="1">
      <c r="A35" s="56" t="s">
        <v>140</v>
      </c>
      <c r="B35" s="56" t="s">
        <v>134</v>
      </c>
      <c r="C35" s="56">
        <v>32.0</v>
      </c>
      <c r="D35" s="56">
        <f>VLOOKUP(E35,'AWS Platforms Ratios'!$A$2:$B$25,2,FALSE)</f>
        <v>96</v>
      </c>
      <c r="E35" s="57" t="s">
        <v>135</v>
      </c>
      <c r="F35" s="56">
        <v>64.0</v>
      </c>
      <c r="G35" s="56">
        <v>192.0</v>
      </c>
      <c r="H35" s="57" t="s">
        <v>71</v>
      </c>
      <c r="I35" s="56" t="s">
        <v>72</v>
      </c>
      <c r="J35" s="56">
        <v>0.0</v>
      </c>
      <c r="K35" s="58" t="s">
        <v>73</v>
      </c>
      <c r="L35" s="58" t="s">
        <v>73</v>
      </c>
      <c r="M35" s="58" t="s">
        <v>73</v>
      </c>
      <c r="N35" s="58" t="s">
        <v>73</v>
      </c>
      <c r="O35" s="59">
        <f>($C35/$D35)*VLOOKUP($E35,'AWS Platforms Ratios'!$A$2:$O$25,7,FALSE)</f>
        <v>10.83867095</v>
      </c>
      <c r="P35" s="59">
        <f>($C35/$D35)*VLOOKUP($E35,'AWS Platforms Ratios'!$A$2:$O$25,8,FALSE)</f>
        <v>29.70430868</v>
      </c>
      <c r="Q35" s="59">
        <f>($C35/$D35)*VLOOKUP($E35,'AWS Platforms Ratios'!$A$2:$O$25,9,FALSE)</f>
        <v>70.21127546</v>
      </c>
      <c r="R35" s="59">
        <f>($C35/$D35)*VLOOKUP($E35,'AWS Platforms Ratios'!$A$2:$O$25,10,FALSE)</f>
        <v>95.0642015</v>
      </c>
      <c r="S35" s="59">
        <f>$F35*VLOOKUP($E35,'AWS Platforms Ratios'!$A$2:$O$25,11,FALSE)</f>
        <v>12.8</v>
      </c>
      <c r="T35" s="59">
        <f>$F35*VLOOKUP($E35,'AWS Platforms Ratios'!$A$2:$O$25,12,FALSE)</f>
        <v>19.2</v>
      </c>
      <c r="U35" s="59">
        <f>$F35*VLOOKUP($E35,'AWS Platforms Ratios'!$A$2:$O$25,13,FALSE)</f>
        <v>25.6</v>
      </c>
      <c r="V35" s="59">
        <f>$F35*VLOOKUP($E35,'AWS Platforms Ratios'!$A$2:$O$25,14,FALSE)</f>
        <v>38.4</v>
      </c>
      <c r="W35" s="60">
        <f>IF($K35&lt;&gt;"N/A",$M35*(VLOOKUP($L35,'GPU Specs &amp; Ratios'!$B$2:$I$8,5,FALSE)),0)</f>
        <v>0</v>
      </c>
      <c r="X35" s="60">
        <f>IF($K35&lt;&gt;"N/A",$M35*(VLOOKUP($L35,'GPU Specs &amp; Ratios'!$B$2:$I$8,6,FALSE)),0)</f>
        <v>0</v>
      </c>
      <c r="Y35" s="60">
        <f>IF($K35&lt;&gt;"N/A",$M35*(VLOOKUP($L35,'GPU Specs &amp; Ratios'!$B$2:$I$8,7,FALSE)),0)</f>
        <v>0</v>
      </c>
      <c r="Z35" s="60">
        <f>IF($K35&lt;&gt;"N/A",$M35*(VLOOKUP($L35,'GPU Specs &amp; Ratios'!$B$2:$I$8,8,FALSE)),0)</f>
        <v>0</v>
      </c>
      <c r="AA35" s="60">
        <f>(C35/D35)*VLOOKUP($E35,'AWS Platforms Ratios'!$A$2:$O$25,15,FALSE)</f>
        <v>18.66666667</v>
      </c>
      <c r="AB35" s="60">
        <f t="shared" ref="AB35:AE35" si="34">O35+S35+W35+$AA35</f>
        <v>42.30533762</v>
      </c>
      <c r="AC35" s="60">
        <f t="shared" si="34"/>
        <v>67.57097535</v>
      </c>
      <c r="AD35" s="60">
        <f t="shared" si="34"/>
        <v>114.4779421</v>
      </c>
      <c r="AE35" s="60">
        <f t="shared" si="34"/>
        <v>152.1308682</v>
      </c>
      <c r="AF35" s="60">
        <f>IF(G35&gt;'Scope 3 Ratios'!$B$5,(G35-'Scope 3 Ratios'!$B$5)*('Scope 3 Ratios'!$B$6/'Scope 3 Ratios'!$B$5),0)</f>
        <v>244.0944</v>
      </c>
      <c r="AG35" s="60">
        <f>J35*IF(I35="SSD",'Scope 3 Ratios'!$B$9,'Scope 3 Ratios'!$B$8)</f>
        <v>0</v>
      </c>
      <c r="AH35" s="60">
        <f>IF(K35&lt;&gt;"N/A",K35*'Scope 3 Ratios'!$B$10,0)</f>
        <v>0</v>
      </c>
      <c r="AI35" s="60">
        <f>(VLOOKUP($E35,'AWS Platforms Ratios'!$A$2:$O$25,3,FALSE)-1)*'Scope 3 Ratios'!$B$7</f>
        <v>0</v>
      </c>
      <c r="AJ35" s="60">
        <f>'Scope 3 Ratios'!$B$2+AF35+AG35+AH35+AI35</f>
        <v>1244.0944</v>
      </c>
      <c r="AK35" s="60">
        <f>AJ35*'Scope 3 Ratios'!$B$4*(C35/D35)</f>
        <v>11.99936728</v>
      </c>
      <c r="AL35" s="61" t="s">
        <v>136</v>
      </c>
    </row>
    <row r="36" ht="15.0" customHeight="1">
      <c r="A36" s="56" t="s">
        <v>141</v>
      </c>
      <c r="B36" s="56" t="s">
        <v>134</v>
      </c>
      <c r="C36" s="56">
        <v>48.0</v>
      </c>
      <c r="D36" s="56">
        <f>VLOOKUP(E36,'AWS Platforms Ratios'!$A$2:$B$25,2,FALSE)</f>
        <v>96</v>
      </c>
      <c r="E36" s="57" t="s">
        <v>135</v>
      </c>
      <c r="F36" s="56">
        <v>96.0</v>
      </c>
      <c r="G36" s="56">
        <v>192.0</v>
      </c>
      <c r="H36" s="57" t="s">
        <v>71</v>
      </c>
      <c r="I36" s="56" t="s">
        <v>72</v>
      </c>
      <c r="J36" s="56">
        <v>0.0</v>
      </c>
      <c r="K36" s="58" t="s">
        <v>73</v>
      </c>
      <c r="L36" s="58" t="s">
        <v>73</v>
      </c>
      <c r="M36" s="58" t="s">
        <v>73</v>
      </c>
      <c r="N36" s="58" t="s">
        <v>73</v>
      </c>
      <c r="O36" s="59">
        <f>($C36/$D36)*VLOOKUP($E36,'AWS Platforms Ratios'!$A$2:$O$25,7,FALSE)</f>
        <v>16.25800643</v>
      </c>
      <c r="P36" s="59">
        <f>($C36/$D36)*VLOOKUP($E36,'AWS Platforms Ratios'!$A$2:$O$25,8,FALSE)</f>
        <v>44.55646302</v>
      </c>
      <c r="Q36" s="59">
        <f>($C36/$D36)*VLOOKUP($E36,'AWS Platforms Ratios'!$A$2:$O$25,9,FALSE)</f>
        <v>105.3169132</v>
      </c>
      <c r="R36" s="59">
        <f>($C36/$D36)*VLOOKUP($E36,'AWS Platforms Ratios'!$A$2:$O$25,10,FALSE)</f>
        <v>142.5963023</v>
      </c>
      <c r="S36" s="59">
        <f>$F36*VLOOKUP($E36,'AWS Platforms Ratios'!$A$2:$O$25,11,FALSE)</f>
        <v>19.2</v>
      </c>
      <c r="T36" s="59">
        <f>$F36*VLOOKUP($E36,'AWS Platforms Ratios'!$A$2:$O$25,12,FALSE)</f>
        <v>28.8</v>
      </c>
      <c r="U36" s="59">
        <f>$F36*VLOOKUP($E36,'AWS Platforms Ratios'!$A$2:$O$25,13,FALSE)</f>
        <v>38.4</v>
      </c>
      <c r="V36" s="59">
        <f>$F36*VLOOKUP($E36,'AWS Platforms Ratios'!$A$2:$O$25,14,FALSE)</f>
        <v>57.6</v>
      </c>
      <c r="W36" s="60">
        <f>IF($K36&lt;&gt;"N/A",$M36*(VLOOKUP($L36,'GPU Specs &amp; Ratios'!$B$2:$I$8,5,FALSE)),0)</f>
        <v>0</v>
      </c>
      <c r="X36" s="60">
        <f>IF($K36&lt;&gt;"N/A",$M36*(VLOOKUP($L36,'GPU Specs &amp; Ratios'!$B$2:$I$8,6,FALSE)),0)</f>
        <v>0</v>
      </c>
      <c r="Y36" s="60">
        <f>IF($K36&lt;&gt;"N/A",$M36*(VLOOKUP($L36,'GPU Specs &amp; Ratios'!$B$2:$I$8,7,FALSE)),0)</f>
        <v>0</v>
      </c>
      <c r="Z36" s="60">
        <f>IF($K36&lt;&gt;"N/A",$M36*(VLOOKUP($L36,'GPU Specs &amp; Ratios'!$B$2:$I$8,8,FALSE)),0)</f>
        <v>0</v>
      </c>
      <c r="AA36" s="60">
        <f>(C36/D36)*VLOOKUP($E36,'AWS Platforms Ratios'!$A$2:$O$25,15,FALSE)</f>
        <v>28</v>
      </c>
      <c r="AB36" s="60">
        <f t="shared" ref="AB36:AE36" si="35">O36+S36+W36+$AA36</f>
        <v>63.45800643</v>
      </c>
      <c r="AC36" s="60">
        <f t="shared" si="35"/>
        <v>101.356463</v>
      </c>
      <c r="AD36" s="60">
        <f t="shared" si="35"/>
        <v>171.7169132</v>
      </c>
      <c r="AE36" s="60">
        <f t="shared" si="35"/>
        <v>228.1963023</v>
      </c>
      <c r="AF36" s="60">
        <f>IF(G36&gt;'Scope 3 Ratios'!$B$5,(G36-'Scope 3 Ratios'!$B$5)*('Scope 3 Ratios'!$B$6/'Scope 3 Ratios'!$B$5),0)</f>
        <v>244.0944</v>
      </c>
      <c r="AG36" s="60">
        <f>J36*IF(I36="SSD",'Scope 3 Ratios'!$B$9,'Scope 3 Ratios'!$B$8)</f>
        <v>0</v>
      </c>
      <c r="AH36" s="60">
        <f>IF(K36&lt;&gt;"N/A",K36*'Scope 3 Ratios'!$B$10,0)</f>
        <v>0</v>
      </c>
      <c r="AI36" s="60">
        <f>(VLOOKUP($E36,'AWS Platforms Ratios'!$A$2:$O$25,3,FALSE)-1)*'Scope 3 Ratios'!$B$7</f>
        <v>0</v>
      </c>
      <c r="AJ36" s="60">
        <f>'Scope 3 Ratios'!$B$2+AF36+AG36+AH36+AI36</f>
        <v>1244.0944</v>
      </c>
      <c r="AK36" s="60">
        <f>AJ36*'Scope 3 Ratios'!$B$4*(C36/D36)</f>
        <v>17.99905093</v>
      </c>
      <c r="AL36" s="61" t="s">
        <v>136</v>
      </c>
    </row>
    <row r="37" ht="15.0" customHeight="1">
      <c r="A37" s="56" t="s">
        <v>142</v>
      </c>
      <c r="B37" s="56" t="s">
        <v>134</v>
      </c>
      <c r="C37" s="56">
        <v>64.0</v>
      </c>
      <c r="D37" s="56">
        <f>VLOOKUP(E37,'AWS Platforms Ratios'!$A$2:$B$25,2,FALSE)</f>
        <v>96</v>
      </c>
      <c r="E37" s="57" t="s">
        <v>135</v>
      </c>
      <c r="F37" s="56">
        <v>128.0</v>
      </c>
      <c r="G37" s="56">
        <v>192.0</v>
      </c>
      <c r="H37" s="57" t="s">
        <v>71</v>
      </c>
      <c r="I37" s="56" t="s">
        <v>72</v>
      </c>
      <c r="J37" s="56">
        <v>0.0</v>
      </c>
      <c r="K37" s="58" t="s">
        <v>73</v>
      </c>
      <c r="L37" s="58" t="s">
        <v>73</v>
      </c>
      <c r="M37" s="58" t="s">
        <v>73</v>
      </c>
      <c r="N37" s="58" t="s">
        <v>73</v>
      </c>
      <c r="O37" s="59">
        <f>($C37/$D37)*VLOOKUP($E37,'AWS Platforms Ratios'!$A$2:$O$25,7,FALSE)</f>
        <v>21.67734191</v>
      </c>
      <c r="P37" s="59">
        <f>($C37/$D37)*VLOOKUP($E37,'AWS Platforms Ratios'!$A$2:$O$25,8,FALSE)</f>
        <v>59.40861736</v>
      </c>
      <c r="Q37" s="59">
        <f>($C37/$D37)*VLOOKUP($E37,'AWS Platforms Ratios'!$A$2:$O$25,9,FALSE)</f>
        <v>140.4225509</v>
      </c>
      <c r="R37" s="59">
        <f>($C37/$D37)*VLOOKUP($E37,'AWS Platforms Ratios'!$A$2:$O$25,10,FALSE)</f>
        <v>190.128403</v>
      </c>
      <c r="S37" s="59">
        <f>$F37*VLOOKUP($E37,'AWS Platforms Ratios'!$A$2:$O$25,11,FALSE)</f>
        <v>25.6</v>
      </c>
      <c r="T37" s="59">
        <f>$F37*VLOOKUP($E37,'AWS Platforms Ratios'!$A$2:$O$25,12,FALSE)</f>
        <v>38.4</v>
      </c>
      <c r="U37" s="59">
        <f>$F37*VLOOKUP($E37,'AWS Platforms Ratios'!$A$2:$O$25,13,FALSE)</f>
        <v>51.2</v>
      </c>
      <c r="V37" s="59">
        <f>$F37*VLOOKUP($E37,'AWS Platforms Ratios'!$A$2:$O$25,14,FALSE)</f>
        <v>76.8</v>
      </c>
      <c r="W37" s="60">
        <f>IF($K37&lt;&gt;"N/A",$M37*(VLOOKUP($L37,'GPU Specs &amp; Ratios'!$B$2:$I$8,5,FALSE)),0)</f>
        <v>0</v>
      </c>
      <c r="X37" s="60">
        <f>IF($K37&lt;&gt;"N/A",$M37*(VLOOKUP($L37,'GPU Specs &amp; Ratios'!$B$2:$I$8,6,FALSE)),0)</f>
        <v>0</v>
      </c>
      <c r="Y37" s="60">
        <f>IF($K37&lt;&gt;"N/A",$M37*(VLOOKUP($L37,'GPU Specs &amp; Ratios'!$B$2:$I$8,7,FALSE)),0)</f>
        <v>0</v>
      </c>
      <c r="Z37" s="60">
        <f>IF($K37&lt;&gt;"N/A",$M37*(VLOOKUP($L37,'GPU Specs &amp; Ratios'!$B$2:$I$8,8,FALSE)),0)</f>
        <v>0</v>
      </c>
      <c r="AA37" s="60">
        <f>(C37/D37)*VLOOKUP($E37,'AWS Platforms Ratios'!$A$2:$O$25,15,FALSE)</f>
        <v>37.33333333</v>
      </c>
      <c r="AB37" s="60">
        <f t="shared" ref="AB37:AE37" si="36">O37+S37+W37+$AA37</f>
        <v>84.61067524</v>
      </c>
      <c r="AC37" s="60">
        <f t="shared" si="36"/>
        <v>135.1419507</v>
      </c>
      <c r="AD37" s="60">
        <f t="shared" si="36"/>
        <v>228.9558842</v>
      </c>
      <c r="AE37" s="60">
        <f t="shared" si="36"/>
        <v>304.2617363</v>
      </c>
      <c r="AF37" s="60">
        <f>IF(G37&gt;'Scope 3 Ratios'!$B$5,(G37-'Scope 3 Ratios'!$B$5)*('Scope 3 Ratios'!$B$6/'Scope 3 Ratios'!$B$5),0)</f>
        <v>244.0944</v>
      </c>
      <c r="AG37" s="60">
        <f>J37*IF(I37="SSD",'Scope 3 Ratios'!$B$9,'Scope 3 Ratios'!$B$8)</f>
        <v>0</v>
      </c>
      <c r="AH37" s="60">
        <f>IF(K37&lt;&gt;"N/A",K37*'Scope 3 Ratios'!$B$10,0)</f>
        <v>0</v>
      </c>
      <c r="AI37" s="60">
        <f>(VLOOKUP($E37,'AWS Platforms Ratios'!$A$2:$O$25,3,FALSE)-1)*'Scope 3 Ratios'!$B$7</f>
        <v>0</v>
      </c>
      <c r="AJ37" s="60">
        <f>'Scope 3 Ratios'!$B$2+AF37+AG37+AH37+AI37</f>
        <v>1244.0944</v>
      </c>
      <c r="AK37" s="60">
        <f>AJ37*'Scope 3 Ratios'!$B$4*(C37/D37)</f>
        <v>23.99873457</v>
      </c>
      <c r="AL37" s="61" t="s">
        <v>136</v>
      </c>
    </row>
    <row r="38" ht="15.0" customHeight="1">
      <c r="A38" s="56" t="s">
        <v>143</v>
      </c>
      <c r="B38" s="56" t="s">
        <v>134</v>
      </c>
      <c r="C38" s="56">
        <v>96.0</v>
      </c>
      <c r="D38" s="56">
        <f>VLOOKUP(E38,'AWS Platforms Ratios'!$A$2:$B$25,2,FALSE)</f>
        <v>96</v>
      </c>
      <c r="E38" s="57" t="s">
        <v>135</v>
      </c>
      <c r="F38" s="56">
        <v>192.0</v>
      </c>
      <c r="G38" s="56">
        <v>192.0</v>
      </c>
      <c r="H38" s="57" t="s">
        <v>71</v>
      </c>
      <c r="I38" s="56" t="s">
        <v>72</v>
      </c>
      <c r="J38" s="56">
        <v>0.0</v>
      </c>
      <c r="K38" s="58" t="s">
        <v>73</v>
      </c>
      <c r="L38" s="58" t="s">
        <v>73</v>
      </c>
      <c r="M38" s="58" t="s">
        <v>73</v>
      </c>
      <c r="N38" s="58" t="s">
        <v>73</v>
      </c>
      <c r="O38" s="59">
        <f>($C38/$D38)*VLOOKUP($E38,'AWS Platforms Ratios'!$A$2:$O$25,7,FALSE)</f>
        <v>32.51601286</v>
      </c>
      <c r="P38" s="59">
        <f>($C38/$D38)*VLOOKUP($E38,'AWS Platforms Ratios'!$A$2:$O$25,8,FALSE)</f>
        <v>89.11292605</v>
      </c>
      <c r="Q38" s="59">
        <f>($C38/$D38)*VLOOKUP($E38,'AWS Platforms Ratios'!$A$2:$O$25,9,FALSE)</f>
        <v>210.6338264</v>
      </c>
      <c r="R38" s="59">
        <f>($C38/$D38)*VLOOKUP($E38,'AWS Platforms Ratios'!$A$2:$O$25,10,FALSE)</f>
        <v>285.1926045</v>
      </c>
      <c r="S38" s="59">
        <f>$F38*VLOOKUP($E38,'AWS Platforms Ratios'!$A$2:$O$25,11,FALSE)</f>
        <v>38.4</v>
      </c>
      <c r="T38" s="59">
        <f>$F38*VLOOKUP($E38,'AWS Platforms Ratios'!$A$2:$O$25,12,FALSE)</f>
        <v>57.6</v>
      </c>
      <c r="U38" s="59">
        <f>$F38*VLOOKUP($E38,'AWS Platforms Ratios'!$A$2:$O$25,13,FALSE)</f>
        <v>76.8</v>
      </c>
      <c r="V38" s="59">
        <f>$F38*VLOOKUP($E38,'AWS Platforms Ratios'!$A$2:$O$25,14,FALSE)</f>
        <v>115.2</v>
      </c>
      <c r="W38" s="60">
        <f>IF($K38&lt;&gt;"N/A",$M38*(VLOOKUP($L38,'GPU Specs &amp; Ratios'!$B$2:$I$8,5,FALSE)),0)</f>
        <v>0</v>
      </c>
      <c r="X38" s="60">
        <f>IF($K38&lt;&gt;"N/A",$M38*(VLOOKUP($L38,'GPU Specs &amp; Ratios'!$B$2:$I$8,6,FALSE)),0)</f>
        <v>0</v>
      </c>
      <c r="Y38" s="60">
        <f>IF($K38&lt;&gt;"N/A",$M38*(VLOOKUP($L38,'GPU Specs &amp; Ratios'!$B$2:$I$8,7,FALSE)),0)</f>
        <v>0</v>
      </c>
      <c r="Z38" s="60">
        <f>IF($K38&lt;&gt;"N/A",$M38*(VLOOKUP($L38,'GPU Specs &amp; Ratios'!$B$2:$I$8,8,FALSE)),0)</f>
        <v>0</v>
      </c>
      <c r="AA38" s="60">
        <f>(C38/D38)*VLOOKUP($E38,'AWS Platforms Ratios'!$A$2:$O$25,15,FALSE)</f>
        <v>56</v>
      </c>
      <c r="AB38" s="60">
        <f t="shared" ref="AB38:AE38" si="37">O38+S38+W38+$AA38</f>
        <v>126.9160129</v>
      </c>
      <c r="AC38" s="60">
        <f t="shared" si="37"/>
        <v>202.712926</v>
      </c>
      <c r="AD38" s="60">
        <f t="shared" si="37"/>
        <v>343.4338264</v>
      </c>
      <c r="AE38" s="60">
        <f t="shared" si="37"/>
        <v>456.3926045</v>
      </c>
      <c r="AF38" s="60">
        <f>IF(G38&gt;'Scope 3 Ratios'!$B$5,(G38-'Scope 3 Ratios'!$B$5)*('Scope 3 Ratios'!$B$6/'Scope 3 Ratios'!$B$5),0)</f>
        <v>244.0944</v>
      </c>
      <c r="AG38" s="60">
        <f>J38*IF(I38="SSD",'Scope 3 Ratios'!$B$9,'Scope 3 Ratios'!$B$8)</f>
        <v>0</v>
      </c>
      <c r="AH38" s="60">
        <f>IF(K38&lt;&gt;"N/A",K38*'Scope 3 Ratios'!$B$10,0)</f>
        <v>0</v>
      </c>
      <c r="AI38" s="60">
        <f>(VLOOKUP($E38,'AWS Platforms Ratios'!$A$2:$O$25,3,FALSE)-1)*'Scope 3 Ratios'!$B$7</f>
        <v>0</v>
      </c>
      <c r="AJ38" s="60">
        <f>'Scope 3 Ratios'!$B$2+AF38+AG38+AH38+AI38</f>
        <v>1244.0944</v>
      </c>
      <c r="AK38" s="60">
        <f>AJ38*'Scope 3 Ratios'!$B$4*(C38/D38)</f>
        <v>35.99810185</v>
      </c>
      <c r="AL38" s="61" t="s">
        <v>136</v>
      </c>
    </row>
    <row r="39" ht="15.0" customHeight="1">
      <c r="A39" s="56" t="s">
        <v>144</v>
      </c>
      <c r="B39" s="56" t="s">
        <v>145</v>
      </c>
      <c r="C39" s="56">
        <v>2.0</v>
      </c>
      <c r="D39" s="56">
        <f>VLOOKUP(E39,'AWS Platforms Ratios'!$A$2:$B$25,2,FALSE)</f>
        <v>96</v>
      </c>
      <c r="E39" s="57" t="s">
        <v>135</v>
      </c>
      <c r="F39" s="56">
        <v>4.0</v>
      </c>
      <c r="G39" s="56">
        <v>192.0</v>
      </c>
      <c r="H39" s="57" t="s">
        <v>146</v>
      </c>
      <c r="I39" s="56" t="s">
        <v>85</v>
      </c>
      <c r="J39" s="56">
        <v>2.0</v>
      </c>
      <c r="K39" s="58" t="s">
        <v>73</v>
      </c>
      <c r="L39" s="58" t="s">
        <v>73</v>
      </c>
      <c r="M39" s="58" t="s">
        <v>73</v>
      </c>
      <c r="N39" s="58" t="s">
        <v>73</v>
      </c>
      <c r="O39" s="59">
        <f>($C39/$D39)*VLOOKUP($E39,'AWS Platforms Ratios'!$A$2:$O$25,7,FALSE)</f>
        <v>0.6774169346</v>
      </c>
      <c r="P39" s="59">
        <f>($C39/$D39)*VLOOKUP($E39,'AWS Platforms Ratios'!$A$2:$O$25,8,FALSE)</f>
        <v>1.856519293</v>
      </c>
      <c r="Q39" s="59">
        <f>($C39/$D39)*VLOOKUP($E39,'AWS Platforms Ratios'!$A$2:$O$25,9,FALSE)</f>
        <v>4.388204716</v>
      </c>
      <c r="R39" s="59">
        <f>($C39/$D39)*VLOOKUP($E39,'AWS Platforms Ratios'!$A$2:$O$25,10,FALSE)</f>
        <v>5.941512594</v>
      </c>
      <c r="S39" s="59">
        <f>$F39*VLOOKUP($E39,'AWS Platforms Ratios'!$A$2:$O$25,11,FALSE)</f>
        <v>0.8</v>
      </c>
      <c r="T39" s="59">
        <f>$F39*VLOOKUP($E39,'AWS Platforms Ratios'!$A$2:$O$25,12,FALSE)</f>
        <v>1.2</v>
      </c>
      <c r="U39" s="59">
        <f>$F39*VLOOKUP($E39,'AWS Platforms Ratios'!$A$2:$O$25,13,FALSE)</f>
        <v>1.6</v>
      </c>
      <c r="V39" s="59">
        <f>$F39*VLOOKUP($E39,'AWS Platforms Ratios'!$A$2:$O$25,14,FALSE)</f>
        <v>2.4</v>
      </c>
      <c r="W39" s="60">
        <f>IF($K39&lt;&gt;"N/A",$M39*(VLOOKUP($L39,'GPU Specs &amp; Ratios'!$B$2:$I$8,5,FALSE)),0)</f>
        <v>0</v>
      </c>
      <c r="X39" s="60">
        <f>IF($K39&lt;&gt;"N/A",$M39*(VLOOKUP($L39,'GPU Specs &amp; Ratios'!$B$2:$I$8,6,FALSE)),0)</f>
        <v>0</v>
      </c>
      <c r="Y39" s="60">
        <f>IF($K39&lt;&gt;"N/A",$M39*(VLOOKUP($L39,'GPU Specs &amp; Ratios'!$B$2:$I$8,7,FALSE)),0)</f>
        <v>0</v>
      </c>
      <c r="Z39" s="60">
        <f>IF($K39&lt;&gt;"N/A",$M39*(VLOOKUP($L39,'GPU Specs &amp; Ratios'!$B$2:$I$8,8,FALSE)),0)</f>
        <v>0</v>
      </c>
      <c r="AA39" s="60">
        <f>(C39/D39)*VLOOKUP($E39,'AWS Platforms Ratios'!$A$2:$O$25,15,FALSE)</f>
        <v>1.166666667</v>
      </c>
      <c r="AB39" s="60">
        <f t="shared" ref="AB39:AE39" si="38">O39+S39+W39+$AA39</f>
        <v>2.644083601</v>
      </c>
      <c r="AC39" s="60">
        <f t="shared" si="38"/>
        <v>4.223185959</v>
      </c>
      <c r="AD39" s="60">
        <f t="shared" si="38"/>
        <v>7.154871383</v>
      </c>
      <c r="AE39" s="60">
        <f t="shared" si="38"/>
        <v>9.50817926</v>
      </c>
      <c r="AF39" s="60">
        <f>IF(G39&gt;'Scope 3 Ratios'!$B$5,(G39-'Scope 3 Ratios'!$B$5)*('Scope 3 Ratios'!$B$6/'Scope 3 Ratios'!$B$5),0)</f>
        <v>244.0944</v>
      </c>
      <c r="AG39" s="60">
        <f>J39*IF(I39="SSD",'Scope 3 Ratios'!$B$9,'Scope 3 Ratios'!$B$8)</f>
        <v>200</v>
      </c>
      <c r="AH39" s="60">
        <f>IF(K39&lt;&gt;"N/A",K39*'Scope 3 Ratios'!$B$10,0)</f>
        <v>0</v>
      </c>
      <c r="AI39" s="60">
        <f>(VLOOKUP($E39,'AWS Platforms Ratios'!$A$2:$O$25,3,FALSE)-1)*'Scope 3 Ratios'!$B$7</f>
        <v>0</v>
      </c>
      <c r="AJ39" s="60">
        <f>'Scope 3 Ratios'!$B$2+AF39+AG39+AH39+AI39</f>
        <v>1444.0944</v>
      </c>
      <c r="AK39" s="60">
        <f>AJ39*'Scope 3 Ratios'!$B$4*(C39/D39)</f>
        <v>0.8705237269</v>
      </c>
      <c r="AL39" s="61" t="s">
        <v>136</v>
      </c>
    </row>
    <row r="40" ht="15.0" customHeight="1">
      <c r="A40" s="56" t="s">
        <v>147</v>
      </c>
      <c r="B40" s="56" t="s">
        <v>145</v>
      </c>
      <c r="C40" s="56">
        <v>4.0</v>
      </c>
      <c r="D40" s="56">
        <f>VLOOKUP(E40,'AWS Platforms Ratios'!$A$2:$B$25,2,FALSE)</f>
        <v>96</v>
      </c>
      <c r="E40" s="57" t="s">
        <v>135</v>
      </c>
      <c r="F40" s="56">
        <v>8.0</v>
      </c>
      <c r="G40" s="56">
        <v>192.0</v>
      </c>
      <c r="H40" s="57" t="s">
        <v>148</v>
      </c>
      <c r="I40" s="56" t="s">
        <v>85</v>
      </c>
      <c r="J40" s="56">
        <v>2.0</v>
      </c>
      <c r="K40" s="58" t="s">
        <v>73</v>
      </c>
      <c r="L40" s="58" t="s">
        <v>73</v>
      </c>
      <c r="M40" s="58" t="s">
        <v>73</v>
      </c>
      <c r="N40" s="58" t="s">
        <v>73</v>
      </c>
      <c r="O40" s="59">
        <f>($C40/$D40)*VLOOKUP($E40,'AWS Platforms Ratios'!$A$2:$O$25,7,FALSE)</f>
        <v>1.354833869</v>
      </c>
      <c r="P40" s="59">
        <f>($C40/$D40)*VLOOKUP($E40,'AWS Platforms Ratios'!$A$2:$O$25,8,FALSE)</f>
        <v>3.713038585</v>
      </c>
      <c r="Q40" s="59">
        <f>($C40/$D40)*VLOOKUP($E40,'AWS Platforms Ratios'!$A$2:$O$25,9,FALSE)</f>
        <v>8.776409432</v>
      </c>
      <c r="R40" s="59">
        <f>($C40/$D40)*VLOOKUP($E40,'AWS Platforms Ratios'!$A$2:$O$25,10,FALSE)</f>
        <v>11.88302519</v>
      </c>
      <c r="S40" s="59">
        <f>$F40*VLOOKUP($E40,'AWS Platforms Ratios'!$A$2:$O$25,11,FALSE)</f>
        <v>1.6</v>
      </c>
      <c r="T40" s="59">
        <f>$F40*VLOOKUP($E40,'AWS Platforms Ratios'!$A$2:$O$25,12,FALSE)</f>
        <v>2.4</v>
      </c>
      <c r="U40" s="59">
        <f>$F40*VLOOKUP($E40,'AWS Platforms Ratios'!$A$2:$O$25,13,FALSE)</f>
        <v>3.2</v>
      </c>
      <c r="V40" s="59">
        <f>$F40*VLOOKUP($E40,'AWS Platforms Ratios'!$A$2:$O$25,14,FALSE)</f>
        <v>4.8</v>
      </c>
      <c r="W40" s="60">
        <f>IF($K40&lt;&gt;"N/A",$M40*(VLOOKUP($L40,'GPU Specs &amp; Ratios'!$B$2:$I$8,5,FALSE)),0)</f>
        <v>0</v>
      </c>
      <c r="X40" s="60">
        <f>IF($K40&lt;&gt;"N/A",$M40*(VLOOKUP($L40,'GPU Specs &amp; Ratios'!$B$2:$I$8,6,FALSE)),0)</f>
        <v>0</v>
      </c>
      <c r="Y40" s="60">
        <f>IF($K40&lt;&gt;"N/A",$M40*(VLOOKUP($L40,'GPU Specs &amp; Ratios'!$B$2:$I$8,7,FALSE)),0)</f>
        <v>0</v>
      </c>
      <c r="Z40" s="60">
        <f>IF($K40&lt;&gt;"N/A",$M40*(VLOOKUP($L40,'GPU Specs &amp; Ratios'!$B$2:$I$8,8,FALSE)),0)</f>
        <v>0</v>
      </c>
      <c r="AA40" s="60">
        <f>(C40/D40)*VLOOKUP($E40,'AWS Platforms Ratios'!$A$2:$O$25,15,FALSE)</f>
        <v>2.333333333</v>
      </c>
      <c r="AB40" s="60">
        <f t="shared" ref="AB40:AE40" si="39">O40+S40+W40+$AA40</f>
        <v>5.288167203</v>
      </c>
      <c r="AC40" s="60">
        <f t="shared" si="39"/>
        <v>8.446371919</v>
      </c>
      <c r="AD40" s="60">
        <f t="shared" si="39"/>
        <v>14.30974277</v>
      </c>
      <c r="AE40" s="60">
        <f t="shared" si="39"/>
        <v>19.01635852</v>
      </c>
      <c r="AF40" s="60">
        <f>IF(G40&gt;'Scope 3 Ratios'!$B$5,(G40-'Scope 3 Ratios'!$B$5)*('Scope 3 Ratios'!$B$6/'Scope 3 Ratios'!$B$5),0)</f>
        <v>244.0944</v>
      </c>
      <c r="AG40" s="60">
        <f>J40*IF(I40="SSD",'Scope 3 Ratios'!$B$9,'Scope 3 Ratios'!$B$8)</f>
        <v>200</v>
      </c>
      <c r="AH40" s="60">
        <f>IF(K40&lt;&gt;"N/A",K40*'Scope 3 Ratios'!$B$10,0)</f>
        <v>0</v>
      </c>
      <c r="AI40" s="60">
        <f>(VLOOKUP($E40,'AWS Platforms Ratios'!$A$2:$O$25,3,FALSE)-1)*'Scope 3 Ratios'!$B$7</f>
        <v>0</v>
      </c>
      <c r="AJ40" s="60">
        <f>'Scope 3 Ratios'!$B$2+AF40+AG40+AH40+AI40</f>
        <v>1444.0944</v>
      </c>
      <c r="AK40" s="60">
        <f>AJ40*'Scope 3 Ratios'!$B$4*(C40/D40)</f>
        <v>1.741047454</v>
      </c>
      <c r="AL40" s="61" t="s">
        <v>136</v>
      </c>
    </row>
    <row r="41" ht="15.0" customHeight="1">
      <c r="A41" s="56" t="s">
        <v>149</v>
      </c>
      <c r="B41" s="56" t="s">
        <v>145</v>
      </c>
      <c r="C41" s="56">
        <v>8.0</v>
      </c>
      <c r="D41" s="56">
        <f>VLOOKUP(E41,'AWS Platforms Ratios'!$A$2:$B$25,2,FALSE)</f>
        <v>96</v>
      </c>
      <c r="E41" s="57" t="s">
        <v>135</v>
      </c>
      <c r="F41" s="56">
        <v>16.0</v>
      </c>
      <c r="G41" s="56">
        <v>192.0</v>
      </c>
      <c r="H41" s="57" t="s">
        <v>150</v>
      </c>
      <c r="I41" s="56" t="s">
        <v>85</v>
      </c>
      <c r="J41" s="56">
        <v>2.0</v>
      </c>
      <c r="K41" s="58" t="s">
        <v>73</v>
      </c>
      <c r="L41" s="58" t="s">
        <v>73</v>
      </c>
      <c r="M41" s="58" t="s">
        <v>73</v>
      </c>
      <c r="N41" s="58" t="s">
        <v>73</v>
      </c>
      <c r="O41" s="59">
        <f>($C41/$D41)*VLOOKUP($E41,'AWS Platforms Ratios'!$A$2:$O$25,7,FALSE)</f>
        <v>2.709667738</v>
      </c>
      <c r="P41" s="59">
        <f>($C41/$D41)*VLOOKUP($E41,'AWS Platforms Ratios'!$A$2:$O$25,8,FALSE)</f>
        <v>7.42607717</v>
      </c>
      <c r="Q41" s="59">
        <f>($C41/$D41)*VLOOKUP($E41,'AWS Platforms Ratios'!$A$2:$O$25,9,FALSE)</f>
        <v>17.55281886</v>
      </c>
      <c r="R41" s="59">
        <f>($C41/$D41)*VLOOKUP($E41,'AWS Platforms Ratios'!$A$2:$O$25,10,FALSE)</f>
        <v>23.76605038</v>
      </c>
      <c r="S41" s="59">
        <f>$F41*VLOOKUP($E41,'AWS Platforms Ratios'!$A$2:$O$25,11,FALSE)</f>
        <v>3.2</v>
      </c>
      <c r="T41" s="59">
        <f>$F41*VLOOKUP($E41,'AWS Platforms Ratios'!$A$2:$O$25,12,FALSE)</f>
        <v>4.8</v>
      </c>
      <c r="U41" s="59">
        <f>$F41*VLOOKUP($E41,'AWS Platforms Ratios'!$A$2:$O$25,13,FALSE)</f>
        <v>6.4</v>
      </c>
      <c r="V41" s="59">
        <f>$F41*VLOOKUP($E41,'AWS Platforms Ratios'!$A$2:$O$25,14,FALSE)</f>
        <v>9.6</v>
      </c>
      <c r="W41" s="60">
        <f>IF($K41&lt;&gt;"N/A",$M41*(VLOOKUP($L41,'GPU Specs &amp; Ratios'!$B$2:$I$8,5,FALSE)),0)</f>
        <v>0</v>
      </c>
      <c r="X41" s="60">
        <f>IF($K41&lt;&gt;"N/A",$M41*(VLOOKUP($L41,'GPU Specs &amp; Ratios'!$B$2:$I$8,6,FALSE)),0)</f>
        <v>0</v>
      </c>
      <c r="Y41" s="60">
        <f>IF($K41&lt;&gt;"N/A",$M41*(VLOOKUP($L41,'GPU Specs &amp; Ratios'!$B$2:$I$8,7,FALSE)),0)</f>
        <v>0</v>
      </c>
      <c r="Z41" s="60">
        <f>IF($K41&lt;&gt;"N/A",$M41*(VLOOKUP($L41,'GPU Specs &amp; Ratios'!$B$2:$I$8,8,FALSE)),0)</f>
        <v>0</v>
      </c>
      <c r="AA41" s="60">
        <f>(C41/D41)*VLOOKUP($E41,'AWS Platforms Ratios'!$A$2:$O$25,15,FALSE)</f>
        <v>4.666666667</v>
      </c>
      <c r="AB41" s="60">
        <f t="shared" ref="AB41:AE41" si="40">O41+S41+W41+$AA41</f>
        <v>10.57633441</v>
      </c>
      <c r="AC41" s="60">
        <f t="shared" si="40"/>
        <v>16.89274384</v>
      </c>
      <c r="AD41" s="60">
        <f t="shared" si="40"/>
        <v>28.61948553</v>
      </c>
      <c r="AE41" s="60">
        <f t="shared" si="40"/>
        <v>38.03271704</v>
      </c>
      <c r="AF41" s="60">
        <f>IF(G41&gt;'Scope 3 Ratios'!$B$5,(G41-'Scope 3 Ratios'!$B$5)*('Scope 3 Ratios'!$B$6/'Scope 3 Ratios'!$B$5),0)</f>
        <v>244.0944</v>
      </c>
      <c r="AG41" s="60">
        <f>J41*IF(I41="SSD",'Scope 3 Ratios'!$B$9,'Scope 3 Ratios'!$B$8)</f>
        <v>200</v>
      </c>
      <c r="AH41" s="60">
        <f>IF(K41&lt;&gt;"N/A",K41*'Scope 3 Ratios'!$B$10,0)</f>
        <v>0</v>
      </c>
      <c r="AI41" s="60">
        <f>(VLOOKUP($E41,'AWS Platforms Ratios'!$A$2:$O$25,3,FALSE)-1)*'Scope 3 Ratios'!$B$7</f>
        <v>0</v>
      </c>
      <c r="AJ41" s="60">
        <f>'Scope 3 Ratios'!$B$2+AF41+AG41+AH41+AI41</f>
        <v>1444.0944</v>
      </c>
      <c r="AK41" s="60">
        <f>AJ41*'Scope 3 Ratios'!$B$4*(C41/D41)</f>
        <v>3.482094907</v>
      </c>
      <c r="AL41" s="61" t="s">
        <v>136</v>
      </c>
    </row>
    <row r="42" ht="15.0" customHeight="1">
      <c r="A42" s="56" t="s">
        <v>151</v>
      </c>
      <c r="B42" s="56" t="s">
        <v>145</v>
      </c>
      <c r="C42" s="56">
        <v>16.0</v>
      </c>
      <c r="D42" s="56">
        <f>VLOOKUP(E42,'AWS Platforms Ratios'!$A$2:$B$25,2,FALSE)</f>
        <v>96</v>
      </c>
      <c r="E42" s="57" t="s">
        <v>135</v>
      </c>
      <c r="F42" s="56">
        <v>32.0</v>
      </c>
      <c r="G42" s="56">
        <v>192.0</v>
      </c>
      <c r="H42" s="57" t="s">
        <v>152</v>
      </c>
      <c r="I42" s="56" t="s">
        <v>85</v>
      </c>
      <c r="J42" s="56">
        <v>2.0</v>
      </c>
      <c r="K42" s="58" t="s">
        <v>73</v>
      </c>
      <c r="L42" s="58" t="s">
        <v>73</v>
      </c>
      <c r="M42" s="58" t="s">
        <v>73</v>
      </c>
      <c r="N42" s="58" t="s">
        <v>73</v>
      </c>
      <c r="O42" s="59">
        <f>($C42/$D42)*VLOOKUP($E42,'AWS Platforms Ratios'!$A$2:$O$25,7,FALSE)</f>
        <v>5.419335477</v>
      </c>
      <c r="P42" s="59">
        <f>($C42/$D42)*VLOOKUP($E42,'AWS Platforms Ratios'!$A$2:$O$25,8,FALSE)</f>
        <v>14.85215434</v>
      </c>
      <c r="Q42" s="59">
        <f>($C42/$D42)*VLOOKUP($E42,'AWS Platforms Ratios'!$A$2:$O$25,9,FALSE)</f>
        <v>35.10563773</v>
      </c>
      <c r="R42" s="59">
        <f>($C42/$D42)*VLOOKUP($E42,'AWS Platforms Ratios'!$A$2:$O$25,10,FALSE)</f>
        <v>47.53210075</v>
      </c>
      <c r="S42" s="59">
        <f>$F42*VLOOKUP($E42,'AWS Platforms Ratios'!$A$2:$O$25,11,FALSE)</f>
        <v>6.4</v>
      </c>
      <c r="T42" s="59">
        <f>$F42*VLOOKUP($E42,'AWS Platforms Ratios'!$A$2:$O$25,12,FALSE)</f>
        <v>9.6</v>
      </c>
      <c r="U42" s="59">
        <f>$F42*VLOOKUP($E42,'AWS Platforms Ratios'!$A$2:$O$25,13,FALSE)</f>
        <v>12.8</v>
      </c>
      <c r="V42" s="59">
        <f>$F42*VLOOKUP($E42,'AWS Platforms Ratios'!$A$2:$O$25,14,FALSE)</f>
        <v>19.2</v>
      </c>
      <c r="W42" s="60">
        <f>IF($K42&lt;&gt;"N/A",$M42*(VLOOKUP($L42,'GPU Specs &amp; Ratios'!$B$2:$I$8,5,FALSE)),0)</f>
        <v>0</v>
      </c>
      <c r="X42" s="60">
        <f>IF($K42&lt;&gt;"N/A",$M42*(VLOOKUP($L42,'GPU Specs &amp; Ratios'!$B$2:$I$8,6,FALSE)),0)</f>
        <v>0</v>
      </c>
      <c r="Y42" s="60">
        <f>IF($K42&lt;&gt;"N/A",$M42*(VLOOKUP($L42,'GPU Specs &amp; Ratios'!$B$2:$I$8,7,FALSE)),0)</f>
        <v>0</v>
      </c>
      <c r="Z42" s="60">
        <f>IF($K42&lt;&gt;"N/A",$M42*(VLOOKUP($L42,'GPU Specs &amp; Ratios'!$B$2:$I$8,8,FALSE)),0)</f>
        <v>0</v>
      </c>
      <c r="AA42" s="60">
        <f>(C42/D42)*VLOOKUP($E42,'AWS Platforms Ratios'!$A$2:$O$25,15,FALSE)</f>
        <v>9.333333333</v>
      </c>
      <c r="AB42" s="60">
        <f t="shared" ref="AB42:AE42" si="41">O42+S42+W42+$AA42</f>
        <v>21.15266881</v>
      </c>
      <c r="AC42" s="60">
        <f t="shared" si="41"/>
        <v>33.78548767</v>
      </c>
      <c r="AD42" s="60">
        <f t="shared" si="41"/>
        <v>57.23897106</v>
      </c>
      <c r="AE42" s="60">
        <f t="shared" si="41"/>
        <v>76.06543408</v>
      </c>
      <c r="AF42" s="60">
        <f>IF(G42&gt;'Scope 3 Ratios'!$B$5,(G42-'Scope 3 Ratios'!$B$5)*('Scope 3 Ratios'!$B$6/'Scope 3 Ratios'!$B$5),0)</f>
        <v>244.0944</v>
      </c>
      <c r="AG42" s="60">
        <f>J42*IF(I42="SSD",'Scope 3 Ratios'!$B$9,'Scope 3 Ratios'!$B$8)</f>
        <v>200</v>
      </c>
      <c r="AH42" s="60">
        <f>IF(K42&lt;&gt;"N/A",K42*'Scope 3 Ratios'!$B$10,0)</f>
        <v>0</v>
      </c>
      <c r="AI42" s="60">
        <f>(VLOOKUP($E42,'AWS Platforms Ratios'!$A$2:$O$25,3,FALSE)-1)*'Scope 3 Ratios'!$B$7</f>
        <v>0</v>
      </c>
      <c r="AJ42" s="60">
        <f>'Scope 3 Ratios'!$B$2+AF42+AG42+AH42+AI42</f>
        <v>1444.0944</v>
      </c>
      <c r="AK42" s="60">
        <f>AJ42*'Scope 3 Ratios'!$B$4*(C42/D42)</f>
        <v>6.964189815</v>
      </c>
      <c r="AL42" s="61" t="s">
        <v>136</v>
      </c>
    </row>
    <row r="43" ht="15.0" customHeight="1">
      <c r="A43" s="56" t="s">
        <v>153</v>
      </c>
      <c r="B43" s="56" t="s">
        <v>145</v>
      </c>
      <c r="C43" s="56">
        <v>32.0</v>
      </c>
      <c r="D43" s="56">
        <f>VLOOKUP(E43,'AWS Platforms Ratios'!$A$2:$B$25,2,FALSE)</f>
        <v>96</v>
      </c>
      <c r="E43" s="57" t="s">
        <v>135</v>
      </c>
      <c r="F43" s="56">
        <v>64.0</v>
      </c>
      <c r="G43" s="56">
        <v>192.0</v>
      </c>
      <c r="H43" s="57" t="s">
        <v>154</v>
      </c>
      <c r="I43" s="56" t="s">
        <v>85</v>
      </c>
      <c r="J43" s="56">
        <v>2.0</v>
      </c>
      <c r="K43" s="58" t="s">
        <v>73</v>
      </c>
      <c r="L43" s="58" t="s">
        <v>73</v>
      </c>
      <c r="M43" s="58" t="s">
        <v>73</v>
      </c>
      <c r="N43" s="58" t="s">
        <v>73</v>
      </c>
      <c r="O43" s="59">
        <f>($C43/$D43)*VLOOKUP($E43,'AWS Platforms Ratios'!$A$2:$O$25,7,FALSE)</f>
        <v>10.83867095</v>
      </c>
      <c r="P43" s="59">
        <f>($C43/$D43)*VLOOKUP($E43,'AWS Platforms Ratios'!$A$2:$O$25,8,FALSE)</f>
        <v>29.70430868</v>
      </c>
      <c r="Q43" s="59">
        <f>($C43/$D43)*VLOOKUP($E43,'AWS Platforms Ratios'!$A$2:$O$25,9,FALSE)</f>
        <v>70.21127546</v>
      </c>
      <c r="R43" s="59">
        <f>($C43/$D43)*VLOOKUP($E43,'AWS Platforms Ratios'!$A$2:$O$25,10,FALSE)</f>
        <v>95.0642015</v>
      </c>
      <c r="S43" s="59">
        <f>$F43*VLOOKUP($E43,'AWS Platforms Ratios'!$A$2:$O$25,11,FALSE)</f>
        <v>12.8</v>
      </c>
      <c r="T43" s="59">
        <f>$F43*VLOOKUP($E43,'AWS Platforms Ratios'!$A$2:$O$25,12,FALSE)</f>
        <v>19.2</v>
      </c>
      <c r="U43" s="59">
        <f>$F43*VLOOKUP($E43,'AWS Platforms Ratios'!$A$2:$O$25,13,FALSE)</f>
        <v>25.6</v>
      </c>
      <c r="V43" s="59">
        <f>$F43*VLOOKUP($E43,'AWS Platforms Ratios'!$A$2:$O$25,14,FALSE)</f>
        <v>38.4</v>
      </c>
      <c r="W43" s="60">
        <f>IF($K43&lt;&gt;"N/A",$M43*(VLOOKUP($L43,'GPU Specs &amp; Ratios'!$B$2:$I$8,5,FALSE)),0)</f>
        <v>0</v>
      </c>
      <c r="X43" s="60">
        <f>IF($K43&lt;&gt;"N/A",$M43*(VLOOKUP($L43,'GPU Specs &amp; Ratios'!$B$2:$I$8,6,FALSE)),0)</f>
        <v>0</v>
      </c>
      <c r="Y43" s="60">
        <f>IF($K43&lt;&gt;"N/A",$M43*(VLOOKUP($L43,'GPU Specs &amp; Ratios'!$B$2:$I$8,7,FALSE)),0)</f>
        <v>0</v>
      </c>
      <c r="Z43" s="60">
        <f>IF($K43&lt;&gt;"N/A",$M43*(VLOOKUP($L43,'GPU Specs &amp; Ratios'!$B$2:$I$8,8,FALSE)),0)</f>
        <v>0</v>
      </c>
      <c r="AA43" s="60">
        <f>(C43/D43)*VLOOKUP($E43,'AWS Platforms Ratios'!$A$2:$O$25,15,FALSE)</f>
        <v>18.66666667</v>
      </c>
      <c r="AB43" s="60">
        <f t="shared" ref="AB43:AE43" si="42">O43+S43+W43+$AA43</f>
        <v>42.30533762</v>
      </c>
      <c r="AC43" s="60">
        <f t="shared" si="42"/>
        <v>67.57097535</v>
      </c>
      <c r="AD43" s="60">
        <f t="shared" si="42"/>
        <v>114.4779421</v>
      </c>
      <c r="AE43" s="60">
        <f t="shared" si="42"/>
        <v>152.1308682</v>
      </c>
      <c r="AF43" s="60">
        <f>IF(G43&gt;'Scope 3 Ratios'!$B$5,(G43-'Scope 3 Ratios'!$B$5)*('Scope 3 Ratios'!$B$6/'Scope 3 Ratios'!$B$5),0)</f>
        <v>244.0944</v>
      </c>
      <c r="AG43" s="60">
        <f>J43*IF(I43="SSD",'Scope 3 Ratios'!$B$9,'Scope 3 Ratios'!$B$8)</f>
        <v>200</v>
      </c>
      <c r="AH43" s="60">
        <f>IF(K43&lt;&gt;"N/A",K43*'Scope 3 Ratios'!$B$10,0)</f>
        <v>0</v>
      </c>
      <c r="AI43" s="60">
        <f>(VLOOKUP($E43,'AWS Platforms Ratios'!$A$2:$O$25,3,FALSE)-1)*'Scope 3 Ratios'!$B$7</f>
        <v>0</v>
      </c>
      <c r="AJ43" s="60">
        <f>'Scope 3 Ratios'!$B$2+AF43+AG43+AH43+AI43</f>
        <v>1444.0944</v>
      </c>
      <c r="AK43" s="60">
        <f>AJ43*'Scope 3 Ratios'!$B$4*(C43/D43)</f>
        <v>13.92837963</v>
      </c>
      <c r="AL43" s="61" t="s">
        <v>136</v>
      </c>
    </row>
    <row r="44" ht="15.0" customHeight="1">
      <c r="A44" s="56" t="s">
        <v>155</v>
      </c>
      <c r="B44" s="56" t="s">
        <v>145</v>
      </c>
      <c r="C44" s="56">
        <v>48.0</v>
      </c>
      <c r="D44" s="56">
        <f>VLOOKUP(E44,'AWS Platforms Ratios'!$A$2:$B$25,2,FALSE)</f>
        <v>96</v>
      </c>
      <c r="E44" s="57" t="s">
        <v>135</v>
      </c>
      <c r="F44" s="56">
        <v>96.0</v>
      </c>
      <c r="G44" s="56">
        <v>192.0</v>
      </c>
      <c r="H44" s="57" t="s">
        <v>156</v>
      </c>
      <c r="I44" s="56" t="s">
        <v>85</v>
      </c>
      <c r="J44" s="56">
        <v>2.0</v>
      </c>
      <c r="K44" s="58" t="s">
        <v>73</v>
      </c>
      <c r="L44" s="58" t="s">
        <v>73</v>
      </c>
      <c r="M44" s="58" t="s">
        <v>73</v>
      </c>
      <c r="N44" s="58" t="s">
        <v>73</v>
      </c>
      <c r="O44" s="59">
        <f>($C44/$D44)*VLOOKUP($E44,'AWS Platforms Ratios'!$A$2:$O$25,7,FALSE)</f>
        <v>16.25800643</v>
      </c>
      <c r="P44" s="59">
        <f>($C44/$D44)*VLOOKUP($E44,'AWS Platforms Ratios'!$A$2:$O$25,8,FALSE)</f>
        <v>44.55646302</v>
      </c>
      <c r="Q44" s="59">
        <f>($C44/$D44)*VLOOKUP($E44,'AWS Platforms Ratios'!$A$2:$O$25,9,FALSE)</f>
        <v>105.3169132</v>
      </c>
      <c r="R44" s="59">
        <f>($C44/$D44)*VLOOKUP($E44,'AWS Platforms Ratios'!$A$2:$O$25,10,FALSE)</f>
        <v>142.5963023</v>
      </c>
      <c r="S44" s="59">
        <f>$F44*VLOOKUP($E44,'AWS Platforms Ratios'!$A$2:$O$25,11,FALSE)</f>
        <v>19.2</v>
      </c>
      <c r="T44" s="59">
        <f>$F44*VLOOKUP($E44,'AWS Platforms Ratios'!$A$2:$O$25,12,FALSE)</f>
        <v>28.8</v>
      </c>
      <c r="U44" s="59">
        <f>$F44*VLOOKUP($E44,'AWS Platforms Ratios'!$A$2:$O$25,13,FALSE)</f>
        <v>38.4</v>
      </c>
      <c r="V44" s="59">
        <f>$F44*VLOOKUP($E44,'AWS Platforms Ratios'!$A$2:$O$25,14,FALSE)</f>
        <v>57.6</v>
      </c>
      <c r="W44" s="60">
        <f>IF($K44&lt;&gt;"N/A",$M44*(VLOOKUP($L44,'GPU Specs &amp; Ratios'!$B$2:$I$8,5,FALSE)),0)</f>
        <v>0</v>
      </c>
      <c r="X44" s="60">
        <f>IF($K44&lt;&gt;"N/A",$M44*(VLOOKUP($L44,'GPU Specs &amp; Ratios'!$B$2:$I$8,6,FALSE)),0)</f>
        <v>0</v>
      </c>
      <c r="Y44" s="60">
        <f>IF($K44&lt;&gt;"N/A",$M44*(VLOOKUP($L44,'GPU Specs &amp; Ratios'!$B$2:$I$8,7,FALSE)),0)</f>
        <v>0</v>
      </c>
      <c r="Z44" s="60">
        <f>IF($K44&lt;&gt;"N/A",$M44*(VLOOKUP($L44,'GPU Specs &amp; Ratios'!$B$2:$I$8,8,FALSE)),0)</f>
        <v>0</v>
      </c>
      <c r="AA44" s="60">
        <f>(C44/D44)*VLOOKUP($E44,'AWS Platforms Ratios'!$A$2:$O$25,15,FALSE)</f>
        <v>28</v>
      </c>
      <c r="AB44" s="60">
        <f t="shared" ref="AB44:AE44" si="43">O44+S44+W44+$AA44</f>
        <v>63.45800643</v>
      </c>
      <c r="AC44" s="60">
        <f t="shared" si="43"/>
        <v>101.356463</v>
      </c>
      <c r="AD44" s="60">
        <f t="shared" si="43"/>
        <v>171.7169132</v>
      </c>
      <c r="AE44" s="60">
        <f t="shared" si="43"/>
        <v>228.1963023</v>
      </c>
      <c r="AF44" s="60">
        <f>IF(G44&gt;'Scope 3 Ratios'!$B$5,(G44-'Scope 3 Ratios'!$B$5)*('Scope 3 Ratios'!$B$6/'Scope 3 Ratios'!$B$5),0)</f>
        <v>244.0944</v>
      </c>
      <c r="AG44" s="60">
        <f>J44*IF(I44="SSD",'Scope 3 Ratios'!$B$9,'Scope 3 Ratios'!$B$8)</f>
        <v>200</v>
      </c>
      <c r="AH44" s="60">
        <f>IF(K44&lt;&gt;"N/A",K44*'Scope 3 Ratios'!$B$10,0)</f>
        <v>0</v>
      </c>
      <c r="AI44" s="60">
        <f>(VLOOKUP($E44,'AWS Platforms Ratios'!$A$2:$O$25,3,FALSE)-1)*'Scope 3 Ratios'!$B$7</f>
        <v>0</v>
      </c>
      <c r="AJ44" s="60">
        <f>'Scope 3 Ratios'!$B$2+AF44+AG44+AH44+AI44</f>
        <v>1444.0944</v>
      </c>
      <c r="AK44" s="60">
        <f>AJ44*'Scope 3 Ratios'!$B$4*(C44/D44)</f>
        <v>20.89256944</v>
      </c>
      <c r="AL44" s="61" t="s">
        <v>136</v>
      </c>
    </row>
    <row r="45" ht="15.0" customHeight="1">
      <c r="A45" s="56" t="s">
        <v>157</v>
      </c>
      <c r="B45" s="56" t="s">
        <v>145</v>
      </c>
      <c r="C45" s="56">
        <v>64.0</v>
      </c>
      <c r="D45" s="56">
        <f>VLOOKUP(E45,'AWS Platforms Ratios'!$A$2:$B$25,2,FALSE)</f>
        <v>96</v>
      </c>
      <c r="E45" s="57" t="s">
        <v>135</v>
      </c>
      <c r="F45" s="56">
        <v>128.0</v>
      </c>
      <c r="G45" s="56">
        <v>192.0</v>
      </c>
      <c r="H45" s="57" t="s">
        <v>158</v>
      </c>
      <c r="I45" s="56" t="s">
        <v>85</v>
      </c>
      <c r="J45" s="56">
        <v>2.0</v>
      </c>
      <c r="K45" s="58" t="s">
        <v>73</v>
      </c>
      <c r="L45" s="58" t="s">
        <v>73</v>
      </c>
      <c r="M45" s="58" t="s">
        <v>73</v>
      </c>
      <c r="N45" s="58" t="s">
        <v>73</v>
      </c>
      <c r="O45" s="59">
        <f>($C45/$D45)*VLOOKUP($E45,'AWS Platforms Ratios'!$A$2:$O$25,7,FALSE)</f>
        <v>21.67734191</v>
      </c>
      <c r="P45" s="59">
        <f>($C45/$D45)*VLOOKUP($E45,'AWS Platforms Ratios'!$A$2:$O$25,8,FALSE)</f>
        <v>59.40861736</v>
      </c>
      <c r="Q45" s="59">
        <f>($C45/$D45)*VLOOKUP($E45,'AWS Platforms Ratios'!$A$2:$O$25,9,FALSE)</f>
        <v>140.4225509</v>
      </c>
      <c r="R45" s="59">
        <f>($C45/$D45)*VLOOKUP($E45,'AWS Platforms Ratios'!$A$2:$O$25,10,FALSE)</f>
        <v>190.128403</v>
      </c>
      <c r="S45" s="59">
        <f>$F45*VLOOKUP($E45,'AWS Platforms Ratios'!$A$2:$O$25,11,FALSE)</f>
        <v>25.6</v>
      </c>
      <c r="T45" s="59">
        <f>$F45*VLOOKUP($E45,'AWS Platforms Ratios'!$A$2:$O$25,12,FALSE)</f>
        <v>38.4</v>
      </c>
      <c r="U45" s="59">
        <f>$F45*VLOOKUP($E45,'AWS Platforms Ratios'!$A$2:$O$25,13,FALSE)</f>
        <v>51.2</v>
      </c>
      <c r="V45" s="59">
        <f>$F45*VLOOKUP($E45,'AWS Platforms Ratios'!$A$2:$O$25,14,FALSE)</f>
        <v>76.8</v>
      </c>
      <c r="W45" s="60">
        <f>IF($K45&lt;&gt;"N/A",$M45*(VLOOKUP($L45,'GPU Specs &amp; Ratios'!$B$2:$I$8,5,FALSE)),0)</f>
        <v>0</v>
      </c>
      <c r="X45" s="60">
        <f>IF($K45&lt;&gt;"N/A",$M45*(VLOOKUP($L45,'GPU Specs &amp; Ratios'!$B$2:$I$8,6,FALSE)),0)</f>
        <v>0</v>
      </c>
      <c r="Y45" s="60">
        <f>IF($K45&lt;&gt;"N/A",$M45*(VLOOKUP($L45,'GPU Specs &amp; Ratios'!$B$2:$I$8,7,FALSE)),0)</f>
        <v>0</v>
      </c>
      <c r="Z45" s="60">
        <f>IF($K45&lt;&gt;"N/A",$M45*(VLOOKUP($L45,'GPU Specs &amp; Ratios'!$B$2:$I$8,8,FALSE)),0)</f>
        <v>0</v>
      </c>
      <c r="AA45" s="60">
        <f>(C45/D45)*VLOOKUP($E45,'AWS Platforms Ratios'!$A$2:$O$25,15,FALSE)</f>
        <v>37.33333333</v>
      </c>
      <c r="AB45" s="60">
        <f t="shared" ref="AB45:AE45" si="44">O45+S45+W45+$AA45</f>
        <v>84.61067524</v>
      </c>
      <c r="AC45" s="60">
        <f t="shared" si="44"/>
        <v>135.1419507</v>
      </c>
      <c r="AD45" s="60">
        <f t="shared" si="44"/>
        <v>228.9558842</v>
      </c>
      <c r="AE45" s="60">
        <f t="shared" si="44"/>
        <v>304.2617363</v>
      </c>
      <c r="AF45" s="60">
        <f>IF(G45&gt;'Scope 3 Ratios'!$B$5,(G45-'Scope 3 Ratios'!$B$5)*('Scope 3 Ratios'!$B$6/'Scope 3 Ratios'!$B$5),0)</f>
        <v>244.0944</v>
      </c>
      <c r="AG45" s="60">
        <f>J45*IF(I45="SSD",'Scope 3 Ratios'!$B$9,'Scope 3 Ratios'!$B$8)</f>
        <v>200</v>
      </c>
      <c r="AH45" s="60">
        <f>IF(K45&lt;&gt;"N/A",K45*'Scope 3 Ratios'!$B$10,0)</f>
        <v>0</v>
      </c>
      <c r="AI45" s="60">
        <f>(VLOOKUP($E45,'AWS Platforms Ratios'!$A$2:$O$25,3,FALSE)-1)*'Scope 3 Ratios'!$B$7</f>
        <v>0</v>
      </c>
      <c r="AJ45" s="60">
        <f>'Scope 3 Ratios'!$B$2+AF45+AG45+AH45+AI45</f>
        <v>1444.0944</v>
      </c>
      <c r="AK45" s="60">
        <f>AJ45*'Scope 3 Ratios'!$B$4*(C45/D45)</f>
        <v>27.85675926</v>
      </c>
      <c r="AL45" s="61" t="s">
        <v>136</v>
      </c>
    </row>
    <row r="46" ht="15.0" customHeight="1">
      <c r="A46" s="56" t="s">
        <v>159</v>
      </c>
      <c r="B46" s="56" t="s">
        <v>145</v>
      </c>
      <c r="C46" s="56">
        <v>96.0</v>
      </c>
      <c r="D46" s="56">
        <f>VLOOKUP(E46,'AWS Platforms Ratios'!$A$2:$B$25,2,FALSE)</f>
        <v>96</v>
      </c>
      <c r="E46" s="57" t="s">
        <v>135</v>
      </c>
      <c r="F46" s="56">
        <v>192.0</v>
      </c>
      <c r="G46" s="56">
        <v>192.0</v>
      </c>
      <c r="H46" s="57" t="s">
        <v>160</v>
      </c>
      <c r="I46" s="56" t="s">
        <v>85</v>
      </c>
      <c r="J46" s="56">
        <v>2.0</v>
      </c>
      <c r="K46" s="58" t="s">
        <v>73</v>
      </c>
      <c r="L46" s="58" t="s">
        <v>73</v>
      </c>
      <c r="M46" s="58" t="s">
        <v>73</v>
      </c>
      <c r="N46" s="58" t="s">
        <v>73</v>
      </c>
      <c r="O46" s="59">
        <f>($C46/$D46)*VLOOKUP($E46,'AWS Platforms Ratios'!$A$2:$O$25,7,FALSE)</f>
        <v>32.51601286</v>
      </c>
      <c r="P46" s="59">
        <f>($C46/$D46)*VLOOKUP($E46,'AWS Platforms Ratios'!$A$2:$O$25,8,FALSE)</f>
        <v>89.11292605</v>
      </c>
      <c r="Q46" s="59">
        <f>($C46/$D46)*VLOOKUP($E46,'AWS Platforms Ratios'!$A$2:$O$25,9,FALSE)</f>
        <v>210.6338264</v>
      </c>
      <c r="R46" s="59">
        <f>($C46/$D46)*VLOOKUP($E46,'AWS Platforms Ratios'!$A$2:$O$25,10,FALSE)</f>
        <v>285.1926045</v>
      </c>
      <c r="S46" s="59">
        <f>$F46*VLOOKUP($E46,'AWS Platforms Ratios'!$A$2:$O$25,11,FALSE)</f>
        <v>38.4</v>
      </c>
      <c r="T46" s="59">
        <f>$F46*VLOOKUP($E46,'AWS Platforms Ratios'!$A$2:$O$25,12,FALSE)</f>
        <v>57.6</v>
      </c>
      <c r="U46" s="59">
        <f>$F46*VLOOKUP($E46,'AWS Platforms Ratios'!$A$2:$O$25,13,FALSE)</f>
        <v>76.8</v>
      </c>
      <c r="V46" s="59">
        <f>$F46*VLOOKUP($E46,'AWS Platforms Ratios'!$A$2:$O$25,14,FALSE)</f>
        <v>115.2</v>
      </c>
      <c r="W46" s="60">
        <f>IF($K46&lt;&gt;"N/A",$M46*(VLOOKUP($L46,'GPU Specs &amp; Ratios'!$B$2:$I$8,5,FALSE)),0)</f>
        <v>0</v>
      </c>
      <c r="X46" s="60">
        <f>IF($K46&lt;&gt;"N/A",$M46*(VLOOKUP($L46,'GPU Specs &amp; Ratios'!$B$2:$I$8,6,FALSE)),0)</f>
        <v>0</v>
      </c>
      <c r="Y46" s="60">
        <f>IF($K46&lt;&gt;"N/A",$M46*(VLOOKUP($L46,'GPU Specs &amp; Ratios'!$B$2:$I$8,7,FALSE)),0)</f>
        <v>0</v>
      </c>
      <c r="Z46" s="60">
        <f>IF($K46&lt;&gt;"N/A",$M46*(VLOOKUP($L46,'GPU Specs &amp; Ratios'!$B$2:$I$8,8,FALSE)),0)</f>
        <v>0</v>
      </c>
      <c r="AA46" s="60">
        <f>(C46/D46)*VLOOKUP($E46,'AWS Platforms Ratios'!$A$2:$O$25,15,FALSE)</f>
        <v>56</v>
      </c>
      <c r="AB46" s="60">
        <f t="shared" ref="AB46:AE46" si="45">O46+S46+W46+$AA46</f>
        <v>126.9160129</v>
      </c>
      <c r="AC46" s="60">
        <f t="shared" si="45"/>
        <v>202.712926</v>
      </c>
      <c r="AD46" s="60">
        <f t="shared" si="45"/>
        <v>343.4338264</v>
      </c>
      <c r="AE46" s="60">
        <f t="shared" si="45"/>
        <v>456.3926045</v>
      </c>
      <c r="AF46" s="60">
        <f>IF(G46&gt;'Scope 3 Ratios'!$B$5,(G46-'Scope 3 Ratios'!$B$5)*('Scope 3 Ratios'!$B$6/'Scope 3 Ratios'!$B$5),0)</f>
        <v>244.0944</v>
      </c>
      <c r="AG46" s="60">
        <f>J46*IF(I46="SSD",'Scope 3 Ratios'!$B$9,'Scope 3 Ratios'!$B$8)</f>
        <v>200</v>
      </c>
      <c r="AH46" s="60">
        <f>IF(K46&lt;&gt;"N/A",K46*'Scope 3 Ratios'!$B$10,0)</f>
        <v>0</v>
      </c>
      <c r="AI46" s="60">
        <f>(VLOOKUP($E46,'AWS Platforms Ratios'!$A$2:$O$25,3,FALSE)-1)*'Scope 3 Ratios'!$B$7</f>
        <v>0</v>
      </c>
      <c r="AJ46" s="60">
        <f>'Scope 3 Ratios'!$B$2+AF46+AG46+AH46+AI46</f>
        <v>1444.0944</v>
      </c>
      <c r="AK46" s="60">
        <f>AJ46*'Scope 3 Ratios'!$B$4*(C46/D46)</f>
        <v>41.78513889</v>
      </c>
      <c r="AL46" s="61" t="s">
        <v>136</v>
      </c>
    </row>
    <row r="47" ht="15.0" customHeight="1">
      <c r="A47" s="56" t="s">
        <v>161</v>
      </c>
      <c r="B47" s="56" t="s">
        <v>162</v>
      </c>
      <c r="C47" s="56">
        <v>2.0</v>
      </c>
      <c r="D47" s="56">
        <f>VLOOKUP(E47,'AWS Platforms Ratios'!$A$2:$B$25,2,FALSE)</f>
        <v>72</v>
      </c>
      <c r="E47" s="57" t="s">
        <v>120</v>
      </c>
      <c r="F47" s="56">
        <v>4.0</v>
      </c>
      <c r="G47" s="56">
        <v>192.0</v>
      </c>
      <c r="H47" s="57" t="s">
        <v>163</v>
      </c>
      <c r="I47" s="56" t="s">
        <v>85</v>
      </c>
      <c r="J47" s="56">
        <v>2.0</v>
      </c>
      <c r="K47" s="58" t="s">
        <v>73</v>
      </c>
      <c r="L47" s="58" t="s">
        <v>73</v>
      </c>
      <c r="M47" s="58" t="s">
        <v>73</v>
      </c>
      <c r="N47" s="58" t="s">
        <v>73</v>
      </c>
      <c r="O47" s="59">
        <f>($C47/$D47)*VLOOKUP($E47,'AWS Platforms Ratios'!$A$2:$O$25,7,FALSE)</f>
        <v>1.407222222</v>
      </c>
      <c r="P47" s="59">
        <f>($C47/$D47)*VLOOKUP($E47,'AWS Platforms Ratios'!$A$2:$O$25,8,FALSE)</f>
        <v>3.745833333</v>
      </c>
      <c r="Q47" s="59">
        <f>($C47/$D47)*VLOOKUP($E47,'AWS Platforms Ratios'!$A$2:$O$25,9,FALSE)</f>
        <v>8.144722222</v>
      </c>
      <c r="R47" s="59">
        <f>($C47/$D47)*VLOOKUP($E47,'AWS Platforms Ratios'!$A$2:$O$25,10,FALSE)</f>
        <v>11.76888889</v>
      </c>
      <c r="S47" s="59">
        <f>$F47*VLOOKUP($E47,'AWS Platforms Ratios'!$A$2:$O$25,11,FALSE)</f>
        <v>0.7779166667</v>
      </c>
      <c r="T47" s="59">
        <f>$F47*VLOOKUP($E47,'AWS Platforms Ratios'!$A$2:$O$25,12,FALSE)</f>
        <v>1.405208333</v>
      </c>
      <c r="U47" s="59">
        <f>$F47*VLOOKUP($E47,'AWS Platforms Ratios'!$A$2:$O$25,13,FALSE)</f>
        <v>2.4675</v>
      </c>
      <c r="V47" s="59">
        <f>$F47*VLOOKUP($E47,'AWS Platforms Ratios'!$A$2:$O$25,14,FALSE)</f>
        <v>3.529791667</v>
      </c>
      <c r="W47" s="60">
        <f>IF($K47&lt;&gt;"N/A",$M47*(VLOOKUP($L47,'GPU Specs &amp; Ratios'!$B$2:$I$8,5,FALSE)),0)</f>
        <v>0</v>
      </c>
      <c r="X47" s="60">
        <f>IF($K47&lt;&gt;"N/A",$M47*(VLOOKUP($L47,'GPU Specs &amp; Ratios'!$B$2:$I$8,6,FALSE)),0)</f>
        <v>0</v>
      </c>
      <c r="Y47" s="60">
        <f>IF($K47&lt;&gt;"N/A",$M47*(VLOOKUP($L47,'GPU Specs &amp; Ratios'!$B$2:$I$8,7,FALSE)),0)</f>
        <v>0</v>
      </c>
      <c r="Z47" s="60">
        <f>IF($K47&lt;&gt;"N/A",$M47*(VLOOKUP($L47,'GPU Specs &amp; Ratios'!$B$2:$I$8,8,FALSE)),0)</f>
        <v>0</v>
      </c>
      <c r="AA47" s="60">
        <f>(C47/D47)*VLOOKUP($E47,'AWS Platforms Ratios'!$A$2:$O$25,15,FALSE)</f>
        <v>2.666666667</v>
      </c>
      <c r="AB47" s="60">
        <f t="shared" ref="AB47:AE47" si="46">O47+S47+W47+$AA47</f>
        <v>4.851805556</v>
      </c>
      <c r="AC47" s="60">
        <f t="shared" si="46"/>
        <v>7.817708333</v>
      </c>
      <c r="AD47" s="60">
        <f t="shared" si="46"/>
        <v>13.27888889</v>
      </c>
      <c r="AE47" s="60">
        <f t="shared" si="46"/>
        <v>17.96534722</v>
      </c>
      <c r="AF47" s="60">
        <f>IF(G47&gt;'Scope 3 Ratios'!$B$5,(G47-'Scope 3 Ratios'!$B$5)*('Scope 3 Ratios'!$B$6/'Scope 3 Ratios'!$B$5),0)</f>
        <v>244.0944</v>
      </c>
      <c r="AG47" s="60">
        <f>J47*IF(I47="SSD",'Scope 3 Ratios'!$B$9,'Scope 3 Ratios'!$B$8)</f>
        <v>200</v>
      </c>
      <c r="AH47" s="60">
        <f>IF(K47&lt;&gt;"N/A",K47*'Scope 3 Ratios'!$B$10,0)</f>
        <v>0</v>
      </c>
      <c r="AI47" s="60">
        <f>(VLOOKUP($E47,'AWS Platforms Ratios'!$A$2:$O$25,3,FALSE)-1)*'Scope 3 Ratios'!$B$7</f>
        <v>100</v>
      </c>
      <c r="AJ47" s="60">
        <f>'Scope 3 Ratios'!$B$2+AF47+AG47+AH47+AI47</f>
        <v>1544.0944</v>
      </c>
      <c r="AK47" s="60">
        <f>AJ47*'Scope 3 Ratios'!$B$4*(C47/D47)</f>
        <v>1.241073817</v>
      </c>
      <c r="AL47" s="61" t="s">
        <v>164</v>
      </c>
    </row>
    <row r="48" ht="15.0" customHeight="1">
      <c r="A48" s="56" t="s">
        <v>165</v>
      </c>
      <c r="B48" s="56" t="s">
        <v>162</v>
      </c>
      <c r="C48" s="56">
        <v>4.0</v>
      </c>
      <c r="D48" s="56">
        <f>VLOOKUP(E48,'AWS Platforms Ratios'!$A$2:$B$25,2,FALSE)</f>
        <v>72</v>
      </c>
      <c r="E48" s="57" t="s">
        <v>120</v>
      </c>
      <c r="F48" s="56">
        <v>8.0</v>
      </c>
      <c r="G48" s="56">
        <v>192.0</v>
      </c>
      <c r="H48" s="57" t="s">
        <v>166</v>
      </c>
      <c r="I48" s="56" t="s">
        <v>85</v>
      </c>
      <c r="J48" s="56">
        <v>2.0</v>
      </c>
      <c r="K48" s="58" t="s">
        <v>73</v>
      </c>
      <c r="L48" s="58" t="s">
        <v>73</v>
      </c>
      <c r="M48" s="58" t="s">
        <v>73</v>
      </c>
      <c r="N48" s="58" t="s">
        <v>73</v>
      </c>
      <c r="O48" s="59">
        <f>($C48/$D48)*VLOOKUP($E48,'AWS Platforms Ratios'!$A$2:$O$25,7,FALSE)</f>
        <v>2.814444444</v>
      </c>
      <c r="P48" s="59">
        <f>($C48/$D48)*VLOOKUP($E48,'AWS Platforms Ratios'!$A$2:$O$25,8,FALSE)</f>
        <v>7.491666667</v>
      </c>
      <c r="Q48" s="59">
        <f>($C48/$D48)*VLOOKUP($E48,'AWS Platforms Ratios'!$A$2:$O$25,9,FALSE)</f>
        <v>16.28944444</v>
      </c>
      <c r="R48" s="59">
        <f>($C48/$D48)*VLOOKUP($E48,'AWS Platforms Ratios'!$A$2:$O$25,10,FALSE)</f>
        <v>23.53777778</v>
      </c>
      <c r="S48" s="59">
        <f>$F48*VLOOKUP($E48,'AWS Platforms Ratios'!$A$2:$O$25,11,FALSE)</f>
        <v>1.555833333</v>
      </c>
      <c r="T48" s="59">
        <f>$F48*VLOOKUP($E48,'AWS Platforms Ratios'!$A$2:$O$25,12,FALSE)</f>
        <v>2.810416667</v>
      </c>
      <c r="U48" s="59">
        <f>$F48*VLOOKUP($E48,'AWS Platforms Ratios'!$A$2:$O$25,13,FALSE)</f>
        <v>4.935</v>
      </c>
      <c r="V48" s="59">
        <f>$F48*VLOOKUP($E48,'AWS Platforms Ratios'!$A$2:$O$25,14,FALSE)</f>
        <v>7.059583333</v>
      </c>
      <c r="W48" s="60">
        <f>IF($K48&lt;&gt;"N/A",$M48*(VLOOKUP($L48,'GPU Specs &amp; Ratios'!$B$2:$I$8,5,FALSE)),0)</f>
        <v>0</v>
      </c>
      <c r="X48" s="60">
        <f>IF($K48&lt;&gt;"N/A",$M48*(VLOOKUP($L48,'GPU Specs &amp; Ratios'!$B$2:$I$8,6,FALSE)),0)</f>
        <v>0</v>
      </c>
      <c r="Y48" s="60">
        <f>IF($K48&lt;&gt;"N/A",$M48*(VLOOKUP($L48,'GPU Specs &amp; Ratios'!$B$2:$I$8,7,FALSE)),0)</f>
        <v>0</v>
      </c>
      <c r="Z48" s="60">
        <f>IF($K48&lt;&gt;"N/A",$M48*(VLOOKUP($L48,'GPU Specs &amp; Ratios'!$B$2:$I$8,8,FALSE)),0)</f>
        <v>0</v>
      </c>
      <c r="AA48" s="60">
        <f>(C48/D48)*VLOOKUP($E48,'AWS Platforms Ratios'!$A$2:$O$25,15,FALSE)</f>
        <v>5.333333333</v>
      </c>
      <c r="AB48" s="60">
        <f t="shared" ref="AB48:AE48" si="47">O48+S48+W48+$AA48</f>
        <v>9.703611111</v>
      </c>
      <c r="AC48" s="60">
        <f t="shared" si="47"/>
        <v>15.63541667</v>
      </c>
      <c r="AD48" s="60">
        <f t="shared" si="47"/>
        <v>26.55777778</v>
      </c>
      <c r="AE48" s="60">
        <f t="shared" si="47"/>
        <v>35.93069444</v>
      </c>
      <c r="AF48" s="60">
        <f>IF(G48&gt;'Scope 3 Ratios'!$B$5,(G48-'Scope 3 Ratios'!$B$5)*('Scope 3 Ratios'!$B$6/'Scope 3 Ratios'!$B$5),0)</f>
        <v>244.0944</v>
      </c>
      <c r="AG48" s="60">
        <f>J48*IF(I48="SSD",'Scope 3 Ratios'!$B$9,'Scope 3 Ratios'!$B$8)</f>
        <v>200</v>
      </c>
      <c r="AH48" s="60">
        <f>IF(K48&lt;&gt;"N/A",K48*'Scope 3 Ratios'!$B$10,0)</f>
        <v>0</v>
      </c>
      <c r="AI48" s="60">
        <f>(VLOOKUP($E48,'AWS Platforms Ratios'!$A$2:$O$25,3,FALSE)-1)*'Scope 3 Ratios'!$B$7</f>
        <v>100</v>
      </c>
      <c r="AJ48" s="60">
        <f>'Scope 3 Ratios'!$B$2+AF48+AG48+AH48+AI48</f>
        <v>1544.0944</v>
      </c>
      <c r="AK48" s="60">
        <f>AJ48*'Scope 3 Ratios'!$B$4*(C48/D48)</f>
        <v>2.482147634</v>
      </c>
      <c r="AL48" s="61" t="s">
        <v>164</v>
      </c>
    </row>
    <row r="49" ht="15.0" customHeight="1">
      <c r="A49" s="56" t="s">
        <v>167</v>
      </c>
      <c r="B49" s="56" t="s">
        <v>162</v>
      </c>
      <c r="C49" s="56">
        <v>8.0</v>
      </c>
      <c r="D49" s="56">
        <f>VLOOKUP(E49,'AWS Platforms Ratios'!$A$2:$B$25,2,FALSE)</f>
        <v>72</v>
      </c>
      <c r="E49" s="57" t="s">
        <v>120</v>
      </c>
      <c r="F49" s="56">
        <v>16.0</v>
      </c>
      <c r="G49" s="56">
        <v>192.0</v>
      </c>
      <c r="H49" s="57" t="s">
        <v>168</v>
      </c>
      <c r="I49" s="56" t="s">
        <v>85</v>
      </c>
      <c r="J49" s="56">
        <v>2.0</v>
      </c>
      <c r="K49" s="58" t="s">
        <v>73</v>
      </c>
      <c r="L49" s="58" t="s">
        <v>73</v>
      </c>
      <c r="M49" s="58" t="s">
        <v>73</v>
      </c>
      <c r="N49" s="58" t="s">
        <v>73</v>
      </c>
      <c r="O49" s="59">
        <f>($C49/$D49)*VLOOKUP($E49,'AWS Platforms Ratios'!$A$2:$O$25,7,FALSE)</f>
        <v>5.628888889</v>
      </c>
      <c r="P49" s="59">
        <f>($C49/$D49)*VLOOKUP($E49,'AWS Platforms Ratios'!$A$2:$O$25,8,FALSE)</f>
        <v>14.98333333</v>
      </c>
      <c r="Q49" s="59">
        <f>($C49/$D49)*VLOOKUP($E49,'AWS Platforms Ratios'!$A$2:$O$25,9,FALSE)</f>
        <v>32.57888889</v>
      </c>
      <c r="R49" s="59">
        <f>($C49/$D49)*VLOOKUP($E49,'AWS Platforms Ratios'!$A$2:$O$25,10,FALSE)</f>
        <v>47.07555556</v>
      </c>
      <c r="S49" s="59">
        <f>$F49*VLOOKUP($E49,'AWS Platforms Ratios'!$A$2:$O$25,11,FALSE)</f>
        <v>3.111666667</v>
      </c>
      <c r="T49" s="59">
        <f>$F49*VLOOKUP($E49,'AWS Platforms Ratios'!$A$2:$O$25,12,FALSE)</f>
        <v>5.620833333</v>
      </c>
      <c r="U49" s="59">
        <f>$F49*VLOOKUP($E49,'AWS Platforms Ratios'!$A$2:$O$25,13,FALSE)</f>
        <v>9.87</v>
      </c>
      <c r="V49" s="59">
        <f>$F49*VLOOKUP($E49,'AWS Platforms Ratios'!$A$2:$O$25,14,FALSE)</f>
        <v>14.11916667</v>
      </c>
      <c r="W49" s="60">
        <f>IF($K49&lt;&gt;"N/A",$M49*(VLOOKUP($L49,'GPU Specs &amp; Ratios'!$B$2:$I$8,5,FALSE)),0)</f>
        <v>0</v>
      </c>
      <c r="X49" s="60">
        <f>IF($K49&lt;&gt;"N/A",$M49*(VLOOKUP($L49,'GPU Specs &amp; Ratios'!$B$2:$I$8,6,FALSE)),0)</f>
        <v>0</v>
      </c>
      <c r="Y49" s="60">
        <f>IF($K49&lt;&gt;"N/A",$M49*(VLOOKUP($L49,'GPU Specs &amp; Ratios'!$B$2:$I$8,7,FALSE)),0)</f>
        <v>0</v>
      </c>
      <c r="Z49" s="60">
        <f>IF($K49&lt;&gt;"N/A",$M49*(VLOOKUP($L49,'GPU Specs &amp; Ratios'!$B$2:$I$8,8,FALSE)),0)</f>
        <v>0</v>
      </c>
      <c r="AA49" s="60">
        <f>(C49/D49)*VLOOKUP($E49,'AWS Platforms Ratios'!$A$2:$O$25,15,FALSE)</f>
        <v>10.66666667</v>
      </c>
      <c r="AB49" s="60">
        <f t="shared" ref="AB49:AE49" si="48">O49+S49+W49+$AA49</f>
        <v>19.40722222</v>
      </c>
      <c r="AC49" s="60">
        <f t="shared" si="48"/>
        <v>31.27083333</v>
      </c>
      <c r="AD49" s="60">
        <f t="shared" si="48"/>
        <v>53.11555556</v>
      </c>
      <c r="AE49" s="60">
        <f t="shared" si="48"/>
        <v>71.86138889</v>
      </c>
      <c r="AF49" s="60">
        <f>IF(G49&gt;'Scope 3 Ratios'!$B$5,(G49-'Scope 3 Ratios'!$B$5)*('Scope 3 Ratios'!$B$6/'Scope 3 Ratios'!$B$5),0)</f>
        <v>244.0944</v>
      </c>
      <c r="AG49" s="60">
        <f>J49*IF(I49="SSD",'Scope 3 Ratios'!$B$9,'Scope 3 Ratios'!$B$8)</f>
        <v>200</v>
      </c>
      <c r="AH49" s="60">
        <f>IF(K49&lt;&gt;"N/A",K49*'Scope 3 Ratios'!$B$10,0)</f>
        <v>0</v>
      </c>
      <c r="AI49" s="60">
        <f>(VLOOKUP($E49,'AWS Platforms Ratios'!$A$2:$O$25,3,FALSE)-1)*'Scope 3 Ratios'!$B$7</f>
        <v>100</v>
      </c>
      <c r="AJ49" s="60">
        <f>'Scope 3 Ratios'!$B$2+AF49+AG49+AH49+AI49</f>
        <v>1544.0944</v>
      </c>
      <c r="AK49" s="60">
        <f>AJ49*'Scope 3 Ratios'!$B$4*(C49/D49)</f>
        <v>4.964295267</v>
      </c>
      <c r="AL49" s="61" t="s">
        <v>164</v>
      </c>
    </row>
    <row r="50" ht="15.0" customHeight="1">
      <c r="A50" s="56" t="s">
        <v>169</v>
      </c>
      <c r="B50" s="56" t="s">
        <v>162</v>
      </c>
      <c r="C50" s="56">
        <v>16.0</v>
      </c>
      <c r="D50" s="56">
        <f>VLOOKUP(E50,'AWS Platforms Ratios'!$A$2:$B$25,2,FALSE)</f>
        <v>72</v>
      </c>
      <c r="E50" s="57" t="s">
        <v>120</v>
      </c>
      <c r="F50" s="56">
        <v>32.0</v>
      </c>
      <c r="G50" s="56">
        <v>192.0</v>
      </c>
      <c r="H50" s="57" t="s">
        <v>170</v>
      </c>
      <c r="I50" s="56" t="s">
        <v>85</v>
      </c>
      <c r="J50" s="56">
        <v>2.0</v>
      </c>
      <c r="K50" s="58" t="s">
        <v>73</v>
      </c>
      <c r="L50" s="58" t="s">
        <v>73</v>
      </c>
      <c r="M50" s="58" t="s">
        <v>73</v>
      </c>
      <c r="N50" s="58" t="s">
        <v>73</v>
      </c>
      <c r="O50" s="59">
        <f>($C50/$D50)*VLOOKUP($E50,'AWS Platforms Ratios'!$A$2:$O$25,7,FALSE)</f>
        <v>11.25777778</v>
      </c>
      <c r="P50" s="59">
        <f>($C50/$D50)*VLOOKUP($E50,'AWS Platforms Ratios'!$A$2:$O$25,8,FALSE)</f>
        <v>29.96666667</v>
      </c>
      <c r="Q50" s="59">
        <f>($C50/$D50)*VLOOKUP($E50,'AWS Platforms Ratios'!$A$2:$O$25,9,FALSE)</f>
        <v>65.15777778</v>
      </c>
      <c r="R50" s="59">
        <f>($C50/$D50)*VLOOKUP($E50,'AWS Platforms Ratios'!$A$2:$O$25,10,FALSE)</f>
        <v>94.15111111</v>
      </c>
      <c r="S50" s="59">
        <f>$F50*VLOOKUP($E50,'AWS Platforms Ratios'!$A$2:$O$25,11,FALSE)</f>
        <v>6.223333333</v>
      </c>
      <c r="T50" s="59">
        <f>$F50*VLOOKUP($E50,'AWS Platforms Ratios'!$A$2:$O$25,12,FALSE)</f>
        <v>11.24166667</v>
      </c>
      <c r="U50" s="59">
        <f>$F50*VLOOKUP($E50,'AWS Platforms Ratios'!$A$2:$O$25,13,FALSE)</f>
        <v>19.74</v>
      </c>
      <c r="V50" s="59">
        <f>$F50*VLOOKUP($E50,'AWS Platforms Ratios'!$A$2:$O$25,14,FALSE)</f>
        <v>28.23833333</v>
      </c>
      <c r="W50" s="60">
        <f>IF($K50&lt;&gt;"N/A",$M50*(VLOOKUP($L50,'GPU Specs &amp; Ratios'!$B$2:$I$8,5,FALSE)),0)</f>
        <v>0</v>
      </c>
      <c r="X50" s="60">
        <f>IF($K50&lt;&gt;"N/A",$M50*(VLOOKUP($L50,'GPU Specs &amp; Ratios'!$B$2:$I$8,6,FALSE)),0)</f>
        <v>0</v>
      </c>
      <c r="Y50" s="60">
        <f>IF($K50&lt;&gt;"N/A",$M50*(VLOOKUP($L50,'GPU Specs &amp; Ratios'!$B$2:$I$8,7,FALSE)),0)</f>
        <v>0</v>
      </c>
      <c r="Z50" s="60">
        <f>IF($K50&lt;&gt;"N/A",$M50*(VLOOKUP($L50,'GPU Specs &amp; Ratios'!$B$2:$I$8,8,FALSE)),0)</f>
        <v>0</v>
      </c>
      <c r="AA50" s="60">
        <f>(C50/D50)*VLOOKUP($E50,'AWS Platforms Ratios'!$A$2:$O$25,15,FALSE)</f>
        <v>21.33333333</v>
      </c>
      <c r="AB50" s="60">
        <f t="shared" ref="AB50:AE50" si="49">O50+S50+W50+$AA50</f>
        <v>38.81444444</v>
      </c>
      <c r="AC50" s="60">
        <f t="shared" si="49"/>
        <v>62.54166667</v>
      </c>
      <c r="AD50" s="60">
        <f t="shared" si="49"/>
        <v>106.2311111</v>
      </c>
      <c r="AE50" s="60">
        <f t="shared" si="49"/>
        <v>143.7227778</v>
      </c>
      <c r="AF50" s="60">
        <f>IF(G50&gt;'Scope 3 Ratios'!$B$5,(G50-'Scope 3 Ratios'!$B$5)*('Scope 3 Ratios'!$B$6/'Scope 3 Ratios'!$B$5),0)</f>
        <v>244.0944</v>
      </c>
      <c r="AG50" s="60">
        <f>J50*IF(I50="SSD",'Scope 3 Ratios'!$B$9,'Scope 3 Ratios'!$B$8)</f>
        <v>200</v>
      </c>
      <c r="AH50" s="60">
        <f>IF(K50&lt;&gt;"N/A",K50*'Scope 3 Ratios'!$B$10,0)</f>
        <v>0</v>
      </c>
      <c r="AI50" s="60">
        <f>(VLOOKUP($E50,'AWS Platforms Ratios'!$A$2:$O$25,3,FALSE)-1)*'Scope 3 Ratios'!$B$7</f>
        <v>100</v>
      </c>
      <c r="AJ50" s="60">
        <f>'Scope 3 Ratios'!$B$2+AF50+AG50+AH50+AI50</f>
        <v>1544.0944</v>
      </c>
      <c r="AK50" s="60">
        <f>AJ50*'Scope 3 Ratios'!$B$4*(C50/D50)</f>
        <v>9.928590535</v>
      </c>
      <c r="AL50" s="61" t="s">
        <v>164</v>
      </c>
    </row>
    <row r="51" ht="15.0" customHeight="1">
      <c r="A51" s="56" t="s">
        <v>171</v>
      </c>
      <c r="B51" s="56" t="s">
        <v>162</v>
      </c>
      <c r="C51" s="56">
        <v>36.0</v>
      </c>
      <c r="D51" s="56">
        <f>VLOOKUP(E51,'AWS Platforms Ratios'!$A$2:$B$25,2,FALSE)</f>
        <v>72</v>
      </c>
      <c r="E51" s="57" t="s">
        <v>120</v>
      </c>
      <c r="F51" s="56">
        <v>72.0</v>
      </c>
      <c r="G51" s="56">
        <v>192.0</v>
      </c>
      <c r="H51" s="57" t="s">
        <v>172</v>
      </c>
      <c r="I51" s="56" t="s">
        <v>85</v>
      </c>
      <c r="J51" s="56">
        <v>2.0</v>
      </c>
      <c r="K51" s="58" t="s">
        <v>73</v>
      </c>
      <c r="L51" s="58" t="s">
        <v>73</v>
      </c>
      <c r="M51" s="58" t="s">
        <v>73</v>
      </c>
      <c r="N51" s="58" t="s">
        <v>73</v>
      </c>
      <c r="O51" s="59">
        <f>($C51/$D51)*VLOOKUP($E51,'AWS Platforms Ratios'!$A$2:$O$25,7,FALSE)</f>
        <v>25.33</v>
      </c>
      <c r="P51" s="59">
        <f>($C51/$D51)*VLOOKUP($E51,'AWS Platforms Ratios'!$A$2:$O$25,8,FALSE)</f>
        <v>67.425</v>
      </c>
      <c r="Q51" s="59">
        <f>($C51/$D51)*VLOOKUP($E51,'AWS Platforms Ratios'!$A$2:$O$25,9,FALSE)</f>
        <v>146.605</v>
      </c>
      <c r="R51" s="59">
        <f>($C51/$D51)*VLOOKUP($E51,'AWS Platforms Ratios'!$A$2:$O$25,10,FALSE)</f>
        <v>211.84</v>
      </c>
      <c r="S51" s="59">
        <f>$F51*VLOOKUP($E51,'AWS Platforms Ratios'!$A$2:$O$25,11,FALSE)</f>
        <v>14.0025</v>
      </c>
      <c r="T51" s="59">
        <f>$F51*VLOOKUP($E51,'AWS Platforms Ratios'!$A$2:$O$25,12,FALSE)</f>
        <v>25.29375</v>
      </c>
      <c r="U51" s="59">
        <f>$F51*VLOOKUP($E51,'AWS Platforms Ratios'!$A$2:$O$25,13,FALSE)</f>
        <v>44.415</v>
      </c>
      <c r="V51" s="59">
        <f>$F51*VLOOKUP($E51,'AWS Platforms Ratios'!$A$2:$O$25,14,FALSE)</f>
        <v>63.53625</v>
      </c>
      <c r="W51" s="60">
        <f>IF($K51&lt;&gt;"N/A",$M51*(VLOOKUP($L51,'GPU Specs &amp; Ratios'!$B$2:$I$8,5,FALSE)),0)</f>
        <v>0</v>
      </c>
      <c r="X51" s="60">
        <f>IF($K51&lt;&gt;"N/A",$M51*(VLOOKUP($L51,'GPU Specs &amp; Ratios'!$B$2:$I$8,6,FALSE)),0)</f>
        <v>0</v>
      </c>
      <c r="Y51" s="60">
        <f>IF($K51&lt;&gt;"N/A",$M51*(VLOOKUP($L51,'GPU Specs &amp; Ratios'!$B$2:$I$8,7,FALSE)),0)</f>
        <v>0</v>
      </c>
      <c r="Z51" s="60">
        <f>IF($K51&lt;&gt;"N/A",$M51*(VLOOKUP($L51,'GPU Specs &amp; Ratios'!$B$2:$I$8,8,FALSE)),0)</f>
        <v>0</v>
      </c>
      <c r="AA51" s="60">
        <f>(C51/D51)*VLOOKUP($E51,'AWS Platforms Ratios'!$A$2:$O$25,15,FALSE)</f>
        <v>48</v>
      </c>
      <c r="AB51" s="60">
        <f t="shared" ref="AB51:AE51" si="50">O51+S51+W51+$AA51</f>
        <v>87.3325</v>
      </c>
      <c r="AC51" s="60">
        <f t="shared" si="50"/>
        <v>140.71875</v>
      </c>
      <c r="AD51" s="60">
        <f t="shared" si="50"/>
        <v>239.02</v>
      </c>
      <c r="AE51" s="60">
        <f t="shared" si="50"/>
        <v>323.37625</v>
      </c>
      <c r="AF51" s="60">
        <f>IF(G51&gt;'Scope 3 Ratios'!$B$5,(G51-'Scope 3 Ratios'!$B$5)*('Scope 3 Ratios'!$B$6/'Scope 3 Ratios'!$B$5),0)</f>
        <v>244.0944</v>
      </c>
      <c r="AG51" s="60">
        <f>J51*IF(I51="SSD",'Scope 3 Ratios'!$B$9,'Scope 3 Ratios'!$B$8)</f>
        <v>200</v>
      </c>
      <c r="AH51" s="60">
        <f>IF(K51&lt;&gt;"N/A",K51*'Scope 3 Ratios'!$B$10,0)</f>
        <v>0</v>
      </c>
      <c r="AI51" s="60">
        <f>(VLOOKUP($E51,'AWS Platforms Ratios'!$A$2:$O$25,3,FALSE)-1)*'Scope 3 Ratios'!$B$7</f>
        <v>100</v>
      </c>
      <c r="AJ51" s="60">
        <f>'Scope 3 Ratios'!$B$2+AF51+AG51+AH51+AI51</f>
        <v>1544.0944</v>
      </c>
      <c r="AK51" s="60">
        <f>AJ51*'Scope 3 Ratios'!$B$4*(C51/D51)</f>
        <v>22.3393287</v>
      </c>
      <c r="AL51" s="61" t="s">
        <v>164</v>
      </c>
    </row>
    <row r="52" ht="15.0" customHeight="1">
      <c r="A52" s="56" t="s">
        <v>173</v>
      </c>
      <c r="B52" s="56" t="s">
        <v>126</v>
      </c>
      <c r="C52" s="56">
        <v>48.0</v>
      </c>
      <c r="D52" s="56">
        <f>VLOOKUP(E52,'AWS Platforms Ratios'!$A$2:$B$25,2,FALSE)</f>
        <v>96</v>
      </c>
      <c r="E52" s="57" t="s">
        <v>129</v>
      </c>
      <c r="F52" s="56">
        <v>96.0</v>
      </c>
      <c r="G52" s="56">
        <v>192.0</v>
      </c>
      <c r="H52" s="57" t="s">
        <v>156</v>
      </c>
      <c r="I52" s="56" t="s">
        <v>85</v>
      </c>
      <c r="J52" s="56">
        <v>4.0</v>
      </c>
      <c r="K52" s="58" t="s">
        <v>73</v>
      </c>
      <c r="L52" s="58" t="s">
        <v>73</v>
      </c>
      <c r="M52" s="58" t="s">
        <v>73</v>
      </c>
      <c r="N52" s="58" t="s">
        <v>73</v>
      </c>
      <c r="O52" s="59">
        <f>($C52/$D52)*VLOOKUP($E52,'AWS Platforms Ratios'!$A$2:$O$25,7,FALSE)</f>
        <v>28.965</v>
      </c>
      <c r="P52" s="59">
        <f>($C52/$D52)*VLOOKUP($E52,'AWS Platforms Ratios'!$A$2:$O$25,8,FALSE)</f>
        <v>87.765</v>
      </c>
      <c r="Q52" s="59">
        <f>($C52/$D52)*VLOOKUP($E52,'AWS Platforms Ratios'!$A$2:$O$25,9,FALSE)</f>
        <v>224.155</v>
      </c>
      <c r="R52" s="59">
        <f>($C52/$D52)*VLOOKUP($E52,'AWS Platforms Ratios'!$A$2:$O$25,10,FALSE)</f>
        <v>313.3775</v>
      </c>
      <c r="S52" s="59">
        <f>$F52*VLOOKUP($E52,'AWS Platforms Ratios'!$A$2:$O$25,11,FALSE)</f>
        <v>18.275</v>
      </c>
      <c r="T52" s="59">
        <f>$F52*VLOOKUP($E52,'AWS Platforms Ratios'!$A$2:$O$25,12,FALSE)</f>
        <v>33.13</v>
      </c>
      <c r="U52" s="59">
        <f>$F52*VLOOKUP($E52,'AWS Platforms Ratios'!$A$2:$O$25,13,FALSE)</f>
        <v>69.185</v>
      </c>
      <c r="V52" s="59">
        <f>$F52*VLOOKUP($E52,'AWS Platforms Ratios'!$A$2:$O$25,14,FALSE)</f>
        <v>105.24</v>
      </c>
      <c r="W52" s="60">
        <f>IF($K52&lt;&gt;"N/A",$M52*(VLOOKUP($L52,'GPU Specs &amp; Ratios'!$B$2:$I$8,5,FALSE)),0)</f>
        <v>0</v>
      </c>
      <c r="X52" s="60">
        <f>IF($K52&lt;&gt;"N/A",$M52*(VLOOKUP($L52,'GPU Specs &amp; Ratios'!$B$2:$I$8,6,FALSE)),0)</f>
        <v>0</v>
      </c>
      <c r="Y52" s="60">
        <f>IF($K52&lt;&gt;"N/A",$M52*(VLOOKUP($L52,'GPU Specs &amp; Ratios'!$B$2:$I$8,7,FALSE)),0)</f>
        <v>0</v>
      </c>
      <c r="Z52" s="60">
        <f>IF($K52&lt;&gt;"N/A",$M52*(VLOOKUP($L52,'GPU Specs &amp; Ratios'!$B$2:$I$8,8,FALSE)),0)</f>
        <v>0</v>
      </c>
      <c r="AA52" s="60">
        <f>(C52/D52)*VLOOKUP($E52,'AWS Platforms Ratios'!$A$2:$O$25,15,FALSE)</f>
        <v>48</v>
      </c>
      <c r="AB52" s="60">
        <f t="shared" ref="AB52:AE52" si="51">O52+S52+W52+$AA52</f>
        <v>95.24</v>
      </c>
      <c r="AC52" s="60">
        <f t="shared" si="51"/>
        <v>168.895</v>
      </c>
      <c r="AD52" s="60">
        <f t="shared" si="51"/>
        <v>341.34</v>
      </c>
      <c r="AE52" s="60">
        <f t="shared" si="51"/>
        <v>466.6175</v>
      </c>
      <c r="AF52" s="60">
        <f>IF(G52&gt;'Scope 3 Ratios'!$B$5,(G52-'Scope 3 Ratios'!$B$5)*('Scope 3 Ratios'!$B$6/'Scope 3 Ratios'!$B$5),0)</f>
        <v>244.0944</v>
      </c>
      <c r="AG52" s="60">
        <f>J52*IF(I52="SSD",'Scope 3 Ratios'!$B$9,'Scope 3 Ratios'!$B$8)</f>
        <v>400</v>
      </c>
      <c r="AH52" s="60">
        <f>IF(K52&lt;&gt;"N/A",K52*'Scope 3 Ratios'!$B$10,0)</f>
        <v>0</v>
      </c>
      <c r="AI52" s="60">
        <f>(VLOOKUP($E52,'AWS Platforms Ratios'!$A$2:$O$25,3,FALSE)-1)*'Scope 3 Ratios'!$B$7</f>
        <v>100</v>
      </c>
      <c r="AJ52" s="60">
        <f>'Scope 3 Ratios'!$B$2+AF52+AG52+AH52+AI52</f>
        <v>1744.0944</v>
      </c>
      <c r="AK52" s="60">
        <f>AJ52*'Scope 3 Ratios'!$B$4*(C52/D52)</f>
        <v>25.23284722</v>
      </c>
      <c r="AL52" s="61" t="s">
        <v>130</v>
      </c>
    </row>
    <row r="53" ht="15.0" customHeight="1">
      <c r="A53" s="56" t="s">
        <v>174</v>
      </c>
      <c r="B53" s="56" t="s">
        <v>162</v>
      </c>
      <c r="C53" s="56">
        <v>72.0</v>
      </c>
      <c r="D53" s="56">
        <f>VLOOKUP(E53,'AWS Platforms Ratios'!$A$2:$B$25,2,FALSE)</f>
        <v>72</v>
      </c>
      <c r="E53" s="57" t="s">
        <v>120</v>
      </c>
      <c r="F53" s="56">
        <v>144.0</v>
      </c>
      <c r="G53" s="56">
        <v>192.0</v>
      </c>
      <c r="H53" s="57" t="s">
        <v>156</v>
      </c>
      <c r="I53" s="56" t="s">
        <v>85</v>
      </c>
      <c r="J53" s="56">
        <v>2.0</v>
      </c>
      <c r="K53" s="58" t="s">
        <v>73</v>
      </c>
      <c r="L53" s="58" t="s">
        <v>73</v>
      </c>
      <c r="M53" s="58" t="s">
        <v>73</v>
      </c>
      <c r="N53" s="58" t="s">
        <v>73</v>
      </c>
      <c r="O53" s="59">
        <f>($C53/$D53)*VLOOKUP($E53,'AWS Platforms Ratios'!$A$2:$O$25,7,FALSE)</f>
        <v>50.66</v>
      </c>
      <c r="P53" s="59">
        <f>($C53/$D53)*VLOOKUP($E53,'AWS Platforms Ratios'!$A$2:$O$25,8,FALSE)</f>
        <v>134.85</v>
      </c>
      <c r="Q53" s="59">
        <f>($C53/$D53)*VLOOKUP($E53,'AWS Platforms Ratios'!$A$2:$O$25,9,FALSE)</f>
        <v>293.21</v>
      </c>
      <c r="R53" s="59">
        <f>($C53/$D53)*VLOOKUP($E53,'AWS Platforms Ratios'!$A$2:$O$25,10,FALSE)</f>
        <v>423.68</v>
      </c>
      <c r="S53" s="59">
        <f>$F53*VLOOKUP($E53,'AWS Platforms Ratios'!$A$2:$O$25,11,FALSE)</f>
        <v>28.005</v>
      </c>
      <c r="T53" s="59">
        <f>$F53*VLOOKUP($E53,'AWS Platforms Ratios'!$A$2:$O$25,12,FALSE)</f>
        <v>50.5875</v>
      </c>
      <c r="U53" s="59">
        <f>$F53*VLOOKUP($E53,'AWS Platforms Ratios'!$A$2:$O$25,13,FALSE)</f>
        <v>88.83</v>
      </c>
      <c r="V53" s="59">
        <f>$F53*VLOOKUP($E53,'AWS Platforms Ratios'!$A$2:$O$25,14,FALSE)</f>
        <v>127.0725</v>
      </c>
      <c r="W53" s="60">
        <f>IF($K53&lt;&gt;"N/A",$M53*(VLOOKUP($L53,'GPU Specs &amp; Ratios'!$B$2:$I$8,5,FALSE)),0)</f>
        <v>0</v>
      </c>
      <c r="X53" s="60">
        <f>IF($K53&lt;&gt;"N/A",$M53*(VLOOKUP($L53,'GPU Specs &amp; Ratios'!$B$2:$I$8,6,FALSE)),0)</f>
        <v>0</v>
      </c>
      <c r="Y53" s="60">
        <f>IF($K53&lt;&gt;"N/A",$M53*(VLOOKUP($L53,'GPU Specs &amp; Ratios'!$B$2:$I$8,7,FALSE)),0)</f>
        <v>0</v>
      </c>
      <c r="Z53" s="60">
        <f>IF($K53&lt;&gt;"N/A",$M53*(VLOOKUP($L53,'GPU Specs &amp; Ratios'!$B$2:$I$8,8,FALSE)),0)</f>
        <v>0</v>
      </c>
      <c r="AA53" s="60">
        <f>(C53/D53)*VLOOKUP($E53,'AWS Platforms Ratios'!$A$2:$O$25,15,FALSE)</f>
        <v>96</v>
      </c>
      <c r="AB53" s="60">
        <f t="shared" ref="AB53:AE53" si="52">O53+S53+W53+$AA53</f>
        <v>174.665</v>
      </c>
      <c r="AC53" s="60">
        <f t="shared" si="52"/>
        <v>281.4375</v>
      </c>
      <c r="AD53" s="60">
        <f t="shared" si="52"/>
        <v>478.04</v>
      </c>
      <c r="AE53" s="60">
        <f t="shared" si="52"/>
        <v>646.7525</v>
      </c>
      <c r="AF53" s="60">
        <f>IF(G53&gt;'Scope 3 Ratios'!$B$5,(G53-'Scope 3 Ratios'!$B$5)*('Scope 3 Ratios'!$B$6/'Scope 3 Ratios'!$B$5),0)</f>
        <v>244.0944</v>
      </c>
      <c r="AG53" s="60">
        <f>J53*IF(I53="SSD",'Scope 3 Ratios'!$B$9,'Scope 3 Ratios'!$B$8)</f>
        <v>200</v>
      </c>
      <c r="AH53" s="60">
        <f>IF(K53&lt;&gt;"N/A",K53*'Scope 3 Ratios'!$B$10,0)</f>
        <v>0</v>
      </c>
      <c r="AI53" s="60">
        <f>(VLOOKUP($E53,'AWS Platforms Ratios'!$A$2:$O$25,3,FALSE)-1)*'Scope 3 Ratios'!$B$7</f>
        <v>100</v>
      </c>
      <c r="AJ53" s="60">
        <f>'Scope 3 Ratios'!$B$2+AF53+AG53+AH53+AI53</f>
        <v>1544.0944</v>
      </c>
      <c r="AK53" s="60">
        <f>AJ53*'Scope 3 Ratios'!$B$4*(C53/D53)</f>
        <v>44.67865741</v>
      </c>
      <c r="AL53" s="61" t="s">
        <v>164</v>
      </c>
    </row>
    <row r="54" ht="15.0" customHeight="1">
      <c r="A54" s="56" t="s">
        <v>175</v>
      </c>
      <c r="B54" s="56" t="s">
        <v>126</v>
      </c>
      <c r="C54" s="56">
        <v>96.0</v>
      </c>
      <c r="D54" s="56">
        <f>VLOOKUP(E54,'AWS Platforms Ratios'!$A$2:$B$25,2,FALSE)</f>
        <v>96</v>
      </c>
      <c r="E54" s="57" t="s">
        <v>129</v>
      </c>
      <c r="F54" s="56">
        <v>192.0</v>
      </c>
      <c r="G54" s="56">
        <v>192.0</v>
      </c>
      <c r="H54" s="57" t="s">
        <v>176</v>
      </c>
      <c r="I54" s="56" t="s">
        <v>85</v>
      </c>
      <c r="J54" s="56">
        <v>4.0</v>
      </c>
      <c r="K54" s="58" t="s">
        <v>73</v>
      </c>
      <c r="L54" s="58" t="s">
        <v>73</v>
      </c>
      <c r="M54" s="58" t="s">
        <v>73</v>
      </c>
      <c r="N54" s="58" t="s">
        <v>73</v>
      </c>
      <c r="O54" s="59">
        <f>($C54/$D54)*VLOOKUP($E54,'AWS Platforms Ratios'!$A$2:$O$25,7,FALSE)</f>
        <v>57.93</v>
      </c>
      <c r="P54" s="59">
        <f>($C54/$D54)*VLOOKUP($E54,'AWS Platforms Ratios'!$A$2:$O$25,8,FALSE)</f>
        <v>175.53</v>
      </c>
      <c r="Q54" s="59">
        <f>($C54/$D54)*VLOOKUP($E54,'AWS Platforms Ratios'!$A$2:$O$25,9,FALSE)</f>
        <v>448.31</v>
      </c>
      <c r="R54" s="59">
        <f>($C54/$D54)*VLOOKUP($E54,'AWS Platforms Ratios'!$A$2:$O$25,10,FALSE)</f>
        <v>626.755</v>
      </c>
      <c r="S54" s="59">
        <f>$F54*VLOOKUP($E54,'AWS Platforms Ratios'!$A$2:$O$25,11,FALSE)</f>
        <v>36.55</v>
      </c>
      <c r="T54" s="59">
        <f>$F54*VLOOKUP($E54,'AWS Platforms Ratios'!$A$2:$O$25,12,FALSE)</f>
        <v>66.26</v>
      </c>
      <c r="U54" s="59">
        <f>$F54*VLOOKUP($E54,'AWS Platforms Ratios'!$A$2:$O$25,13,FALSE)</f>
        <v>138.37</v>
      </c>
      <c r="V54" s="59">
        <f>$F54*VLOOKUP($E54,'AWS Platforms Ratios'!$A$2:$O$25,14,FALSE)</f>
        <v>210.48</v>
      </c>
      <c r="W54" s="60">
        <f>IF($K54&lt;&gt;"N/A",$M54*(VLOOKUP($L54,'GPU Specs &amp; Ratios'!$B$2:$I$8,5,FALSE)),0)</f>
        <v>0</v>
      </c>
      <c r="X54" s="60">
        <f>IF($K54&lt;&gt;"N/A",$M54*(VLOOKUP($L54,'GPU Specs &amp; Ratios'!$B$2:$I$8,6,FALSE)),0)</f>
        <v>0</v>
      </c>
      <c r="Y54" s="60">
        <f>IF($K54&lt;&gt;"N/A",$M54*(VLOOKUP($L54,'GPU Specs &amp; Ratios'!$B$2:$I$8,7,FALSE)),0)</f>
        <v>0</v>
      </c>
      <c r="Z54" s="60">
        <f>IF($K54&lt;&gt;"N/A",$M54*(VLOOKUP($L54,'GPU Specs &amp; Ratios'!$B$2:$I$8,8,FALSE)),0)</f>
        <v>0</v>
      </c>
      <c r="AA54" s="60">
        <f>(C54/D54)*VLOOKUP($E54,'AWS Platforms Ratios'!$A$2:$O$25,15,FALSE)</f>
        <v>96</v>
      </c>
      <c r="AB54" s="60">
        <f t="shared" ref="AB54:AE54" si="53">O54+S54+W54+$AA54</f>
        <v>190.48</v>
      </c>
      <c r="AC54" s="60">
        <f t="shared" si="53"/>
        <v>337.79</v>
      </c>
      <c r="AD54" s="60">
        <f t="shared" si="53"/>
        <v>682.68</v>
      </c>
      <c r="AE54" s="60">
        <f t="shared" si="53"/>
        <v>933.235</v>
      </c>
      <c r="AF54" s="60">
        <f>IF(G54&gt;'Scope 3 Ratios'!$B$5,(G54-'Scope 3 Ratios'!$B$5)*('Scope 3 Ratios'!$B$6/'Scope 3 Ratios'!$B$5),0)</f>
        <v>244.0944</v>
      </c>
      <c r="AG54" s="60">
        <f>J54*IF(I54="SSD",'Scope 3 Ratios'!$B$9,'Scope 3 Ratios'!$B$8)</f>
        <v>400</v>
      </c>
      <c r="AH54" s="60">
        <f>IF(K54&lt;&gt;"N/A",K54*'Scope 3 Ratios'!$B$10,0)</f>
        <v>0</v>
      </c>
      <c r="AI54" s="60">
        <f>(VLOOKUP($E54,'AWS Platforms Ratios'!$A$2:$O$25,3,FALSE)-1)*'Scope 3 Ratios'!$B$7</f>
        <v>100</v>
      </c>
      <c r="AJ54" s="60">
        <f>'Scope 3 Ratios'!$B$2+AF54+AG54+AH54+AI54</f>
        <v>1744.0944</v>
      </c>
      <c r="AK54" s="60">
        <f>AJ54*'Scope 3 Ratios'!$B$4*(C54/D54)</f>
        <v>50.46569444</v>
      </c>
      <c r="AL54" s="61" t="s">
        <v>130</v>
      </c>
    </row>
    <row r="55" ht="15.0" customHeight="1">
      <c r="A55" s="56" t="s">
        <v>177</v>
      </c>
      <c r="B55" s="56" t="s">
        <v>126</v>
      </c>
      <c r="C55" s="56">
        <v>96.0</v>
      </c>
      <c r="D55" s="56">
        <f>VLOOKUP(E55,'AWS Platforms Ratios'!$A$2:$B$25,2,FALSE)</f>
        <v>96</v>
      </c>
      <c r="E55" s="57" t="s">
        <v>129</v>
      </c>
      <c r="F55" s="56">
        <v>192.0</v>
      </c>
      <c r="G55" s="56">
        <v>192.0</v>
      </c>
      <c r="H55" s="57" t="s">
        <v>176</v>
      </c>
      <c r="I55" s="56" t="s">
        <v>85</v>
      </c>
      <c r="J55" s="56">
        <v>4.0</v>
      </c>
      <c r="K55" s="58" t="s">
        <v>73</v>
      </c>
      <c r="L55" s="58" t="s">
        <v>73</v>
      </c>
      <c r="M55" s="58" t="s">
        <v>73</v>
      </c>
      <c r="N55" s="58" t="s">
        <v>73</v>
      </c>
      <c r="O55" s="59">
        <f>($C55/$D55)*VLOOKUP($E55,'AWS Platforms Ratios'!$A$2:$O$25,7,FALSE)</f>
        <v>57.93</v>
      </c>
      <c r="P55" s="59">
        <f>($C55/$D55)*VLOOKUP($E55,'AWS Platforms Ratios'!$A$2:$O$25,8,FALSE)</f>
        <v>175.53</v>
      </c>
      <c r="Q55" s="59">
        <f>($C55/$D55)*VLOOKUP($E55,'AWS Platforms Ratios'!$A$2:$O$25,9,FALSE)</f>
        <v>448.31</v>
      </c>
      <c r="R55" s="59">
        <f>($C55/$D55)*VLOOKUP($E55,'AWS Platforms Ratios'!$A$2:$O$25,10,FALSE)</f>
        <v>626.755</v>
      </c>
      <c r="S55" s="59">
        <f>$F55*VLOOKUP($E55,'AWS Platforms Ratios'!$A$2:$O$25,11,FALSE)</f>
        <v>36.55</v>
      </c>
      <c r="T55" s="59">
        <f>$F55*VLOOKUP($E55,'AWS Platforms Ratios'!$A$2:$O$25,12,FALSE)</f>
        <v>66.26</v>
      </c>
      <c r="U55" s="59">
        <f>$F55*VLOOKUP($E55,'AWS Platforms Ratios'!$A$2:$O$25,13,FALSE)</f>
        <v>138.37</v>
      </c>
      <c r="V55" s="59">
        <f>$F55*VLOOKUP($E55,'AWS Platforms Ratios'!$A$2:$O$25,14,FALSE)</f>
        <v>210.48</v>
      </c>
      <c r="W55" s="60">
        <f>IF($K55&lt;&gt;"N/A",$M55*(VLOOKUP($L55,'GPU Specs &amp; Ratios'!$B$2:$I$8,5,FALSE)),0)</f>
        <v>0</v>
      </c>
      <c r="X55" s="60">
        <f>IF($K55&lt;&gt;"N/A",$M55*(VLOOKUP($L55,'GPU Specs &amp; Ratios'!$B$2:$I$8,6,FALSE)),0)</f>
        <v>0</v>
      </c>
      <c r="Y55" s="60">
        <f>IF($K55&lt;&gt;"N/A",$M55*(VLOOKUP($L55,'GPU Specs &amp; Ratios'!$B$2:$I$8,7,FALSE)),0)</f>
        <v>0</v>
      </c>
      <c r="Z55" s="60">
        <f>IF($K55&lt;&gt;"N/A",$M55*(VLOOKUP($L55,'GPU Specs &amp; Ratios'!$B$2:$I$8,8,FALSE)),0)</f>
        <v>0</v>
      </c>
      <c r="AA55" s="60">
        <f>(C55/D55)*VLOOKUP($E55,'AWS Platforms Ratios'!$A$2:$O$25,15,FALSE)</f>
        <v>96</v>
      </c>
      <c r="AB55" s="60">
        <f t="shared" ref="AB55:AE55" si="54">O55+S55+W55+$AA55</f>
        <v>190.48</v>
      </c>
      <c r="AC55" s="60">
        <f t="shared" si="54"/>
        <v>337.79</v>
      </c>
      <c r="AD55" s="60">
        <f t="shared" si="54"/>
        <v>682.68</v>
      </c>
      <c r="AE55" s="60">
        <f t="shared" si="54"/>
        <v>933.235</v>
      </c>
      <c r="AF55" s="60">
        <f>IF(G55&gt;'Scope 3 Ratios'!$B$5,(G55-'Scope 3 Ratios'!$B$5)*('Scope 3 Ratios'!$B$6/'Scope 3 Ratios'!$B$5),0)</f>
        <v>244.0944</v>
      </c>
      <c r="AG55" s="60">
        <f>J55*IF(I55="SSD",'Scope 3 Ratios'!$B$9,'Scope 3 Ratios'!$B$8)</f>
        <v>400</v>
      </c>
      <c r="AH55" s="60">
        <f>IF(K55&lt;&gt;"N/A",K55*'Scope 3 Ratios'!$B$10,0)</f>
        <v>0</v>
      </c>
      <c r="AI55" s="60">
        <f>(VLOOKUP($E55,'AWS Platforms Ratios'!$A$2:$O$25,3,FALSE)-1)*'Scope 3 Ratios'!$B$7</f>
        <v>100</v>
      </c>
      <c r="AJ55" s="60">
        <f>'Scope 3 Ratios'!$B$2+AF55+AG55+AH55+AI55</f>
        <v>1744.0944</v>
      </c>
      <c r="AK55" s="60">
        <f>AJ55*'Scope 3 Ratios'!$B$4*(C55/D55)</f>
        <v>50.46569444</v>
      </c>
      <c r="AL55" s="61" t="s">
        <v>130</v>
      </c>
    </row>
    <row r="56" ht="15.0" customHeight="1">
      <c r="A56" s="56" t="s">
        <v>178</v>
      </c>
      <c r="B56" s="56" t="s">
        <v>69</v>
      </c>
      <c r="C56" s="56">
        <v>2.0</v>
      </c>
      <c r="D56" s="56">
        <f>VLOOKUP(E56,'AWS Platforms Ratios'!$A$2:$B$25,2,FALSE)</f>
        <v>72</v>
      </c>
      <c r="E56" s="57" t="s">
        <v>120</v>
      </c>
      <c r="F56" s="56">
        <v>5.25</v>
      </c>
      <c r="G56" s="56">
        <v>192.0</v>
      </c>
      <c r="H56" s="57" t="s">
        <v>71</v>
      </c>
      <c r="I56" s="56" t="s">
        <v>72</v>
      </c>
      <c r="J56" s="56">
        <v>0.0</v>
      </c>
      <c r="K56" s="58" t="s">
        <v>73</v>
      </c>
      <c r="L56" s="58" t="s">
        <v>73</v>
      </c>
      <c r="M56" s="58" t="s">
        <v>73</v>
      </c>
      <c r="N56" s="58" t="s">
        <v>73</v>
      </c>
      <c r="O56" s="59">
        <f>($C56/$D56)*VLOOKUP($E56,'AWS Platforms Ratios'!$A$2:$O$25,7,FALSE)</f>
        <v>1.407222222</v>
      </c>
      <c r="P56" s="59">
        <f>($C56/$D56)*VLOOKUP($E56,'AWS Platforms Ratios'!$A$2:$O$25,8,FALSE)</f>
        <v>3.745833333</v>
      </c>
      <c r="Q56" s="59">
        <f>($C56/$D56)*VLOOKUP($E56,'AWS Platforms Ratios'!$A$2:$O$25,9,FALSE)</f>
        <v>8.144722222</v>
      </c>
      <c r="R56" s="59">
        <f>($C56/$D56)*VLOOKUP($E56,'AWS Platforms Ratios'!$A$2:$O$25,10,FALSE)</f>
        <v>11.76888889</v>
      </c>
      <c r="S56" s="59">
        <f>$F56*VLOOKUP($E56,'AWS Platforms Ratios'!$A$2:$O$25,11,FALSE)</f>
        <v>1.021015625</v>
      </c>
      <c r="T56" s="59">
        <f>$F56*VLOOKUP($E56,'AWS Platforms Ratios'!$A$2:$O$25,12,FALSE)</f>
        <v>1.844335938</v>
      </c>
      <c r="U56" s="59">
        <f>$F56*VLOOKUP($E56,'AWS Platforms Ratios'!$A$2:$O$25,13,FALSE)</f>
        <v>3.23859375</v>
      </c>
      <c r="V56" s="59">
        <f>$F56*VLOOKUP($E56,'AWS Platforms Ratios'!$A$2:$O$25,14,FALSE)</f>
        <v>4.632851563</v>
      </c>
      <c r="W56" s="60">
        <f>IF($K56&lt;&gt;"N/A",$M56*(VLOOKUP($L56,'GPU Specs &amp; Ratios'!$B$2:$I$8,5,FALSE)),0)</f>
        <v>0</v>
      </c>
      <c r="X56" s="60">
        <f>IF($K56&lt;&gt;"N/A",$M56*(VLOOKUP($L56,'GPU Specs &amp; Ratios'!$B$2:$I$8,6,FALSE)),0)</f>
        <v>0</v>
      </c>
      <c r="Y56" s="60">
        <f>IF($K56&lt;&gt;"N/A",$M56*(VLOOKUP($L56,'GPU Specs &amp; Ratios'!$B$2:$I$8,7,FALSE)),0)</f>
        <v>0</v>
      </c>
      <c r="Z56" s="60">
        <f>IF($K56&lt;&gt;"N/A",$M56*(VLOOKUP($L56,'GPU Specs &amp; Ratios'!$B$2:$I$8,8,FALSE)),0)</f>
        <v>0</v>
      </c>
      <c r="AA56" s="60">
        <f>(C56/D56)*VLOOKUP($E56,'AWS Platforms Ratios'!$A$2:$O$25,15,FALSE)</f>
        <v>2.666666667</v>
      </c>
      <c r="AB56" s="60">
        <f t="shared" ref="AB56:AE56" si="55">O56+S56+W56+$AA56</f>
        <v>5.094904514</v>
      </c>
      <c r="AC56" s="60">
        <f t="shared" si="55"/>
        <v>8.256835938</v>
      </c>
      <c r="AD56" s="60">
        <f t="shared" si="55"/>
        <v>14.04998264</v>
      </c>
      <c r="AE56" s="60">
        <f t="shared" si="55"/>
        <v>19.06840712</v>
      </c>
      <c r="AF56" s="60">
        <f>IF(G56&gt;'Scope 3 Ratios'!$B$5,(G56-'Scope 3 Ratios'!$B$5)*('Scope 3 Ratios'!$B$6/'Scope 3 Ratios'!$B$5),0)</f>
        <v>244.0944</v>
      </c>
      <c r="AG56" s="60">
        <f>J56*IF(I56="SSD",'Scope 3 Ratios'!$B$9,'Scope 3 Ratios'!$B$8)</f>
        <v>0</v>
      </c>
      <c r="AH56" s="60">
        <f>IF(K56&lt;&gt;"N/A",K56*'Scope 3 Ratios'!$B$10,0)</f>
        <v>0</v>
      </c>
      <c r="AI56" s="60">
        <f>(VLOOKUP($E56,'AWS Platforms Ratios'!$A$2:$O$25,3,FALSE)-1)*'Scope 3 Ratios'!$B$7</f>
        <v>100</v>
      </c>
      <c r="AJ56" s="60">
        <f>'Scope 3 Ratios'!$B$2+AF56+AG56+AH56+AI56</f>
        <v>1344.0944</v>
      </c>
      <c r="AK56" s="60">
        <f>AJ56*'Scope 3 Ratios'!$B$4*(C56/D56)</f>
        <v>1.080322788</v>
      </c>
      <c r="AL56" s="61" t="s">
        <v>179</v>
      </c>
    </row>
    <row r="57" ht="15.0" customHeight="1">
      <c r="A57" s="56" t="s">
        <v>180</v>
      </c>
      <c r="B57" s="56" t="s">
        <v>69</v>
      </c>
      <c r="C57" s="56">
        <v>4.0</v>
      </c>
      <c r="D57" s="56">
        <f>VLOOKUP(E57,'AWS Platforms Ratios'!$A$2:$B$25,2,FALSE)</f>
        <v>72</v>
      </c>
      <c r="E57" s="57" t="s">
        <v>120</v>
      </c>
      <c r="F57" s="56">
        <v>10.5</v>
      </c>
      <c r="G57" s="56">
        <v>192.0</v>
      </c>
      <c r="H57" s="57" t="s">
        <v>71</v>
      </c>
      <c r="I57" s="56" t="s">
        <v>72</v>
      </c>
      <c r="J57" s="56">
        <v>0.0</v>
      </c>
      <c r="K57" s="58" t="s">
        <v>73</v>
      </c>
      <c r="L57" s="58" t="s">
        <v>73</v>
      </c>
      <c r="M57" s="58" t="s">
        <v>73</v>
      </c>
      <c r="N57" s="58" t="s">
        <v>73</v>
      </c>
      <c r="O57" s="59">
        <f>($C57/$D57)*VLOOKUP($E57,'AWS Platforms Ratios'!$A$2:$O$25,7,FALSE)</f>
        <v>2.814444444</v>
      </c>
      <c r="P57" s="59">
        <f>($C57/$D57)*VLOOKUP($E57,'AWS Platforms Ratios'!$A$2:$O$25,8,FALSE)</f>
        <v>7.491666667</v>
      </c>
      <c r="Q57" s="59">
        <f>($C57/$D57)*VLOOKUP($E57,'AWS Platforms Ratios'!$A$2:$O$25,9,FALSE)</f>
        <v>16.28944444</v>
      </c>
      <c r="R57" s="59">
        <f>($C57/$D57)*VLOOKUP($E57,'AWS Platforms Ratios'!$A$2:$O$25,10,FALSE)</f>
        <v>23.53777778</v>
      </c>
      <c r="S57" s="59">
        <f>$F57*VLOOKUP($E57,'AWS Platforms Ratios'!$A$2:$O$25,11,FALSE)</f>
        <v>2.04203125</v>
      </c>
      <c r="T57" s="59">
        <f>$F57*VLOOKUP($E57,'AWS Platforms Ratios'!$A$2:$O$25,12,FALSE)</f>
        <v>3.688671875</v>
      </c>
      <c r="U57" s="59">
        <f>$F57*VLOOKUP($E57,'AWS Platforms Ratios'!$A$2:$O$25,13,FALSE)</f>
        <v>6.4771875</v>
      </c>
      <c r="V57" s="59">
        <f>$F57*VLOOKUP($E57,'AWS Platforms Ratios'!$A$2:$O$25,14,FALSE)</f>
        <v>9.265703125</v>
      </c>
      <c r="W57" s="60">
        <f>IF($K57&lt;&gt;"N/A",$M57*(VLOOKUP($L57,'GPU Specs &amp; Ratios'!$B$2:$I$8,5,FALSE)),0)</f>
        <v>0</v>
      </c>
      <c r="X57" s="60">
        <f>IF($K57&lt;&gt;"N/A",$M57*(VLOOKUP($L57,'GPU Specs &amp; Ratios'!$B$2:$I$8,6,FALSE)),0)</f>
        <v>0</v>
      </c>
      <c r="Y57" s="60">
        <f>IF($K57&lt;&gt;"N/A",$M57*(VLOOKUP($L57,'GPU Specs &amp; Ratios'!$B$2:$I$8,7,FALSE)),0)</f>
        <v>0</v>
      </c>
      <c r="Z57" s="60">
        <f>IF($K57&lt;&gt;"N/A",$M57*(VLOOKUP($L57,'GPU Specs &amp; Ratios'!$B$2:$I$8,8,FALSE)),0)</f>
        <v>0</v>
      </c>
      <c r="AA57" s="60">
        <f>(C57/D57)*VLOOKUP($E57,'AWS Platforms Ratios'!$A$2:$O$25,15,FALSE)</f>
        <v>5.333333333</v>
      </c>
      <c r="AB57" s="60">
        <f t="shared" ref="AB57:AE57" si="56">O57+S57+W57+$AA57</f>
        <v>10.18980903</v>
      </c>
      <c r="AC57" s="60">
        <f t="shared" si="56"/>
        <v>16.51367188</v>
      </c>
      <c r="AD57" s="60">
        <f t="shared" si="56"/>
        <v>28.09996528</v>
      </c>
      <c r="AE57" s="60">
        <f t="shared" si="56"/>
        <v>38.13681424</v>
      </c>
      <c r="AF57" s="60">
        <f>IF(G57&gt;'Scope 3 Ratios'!$B$5,(G57-'Scope 3 Ratios'!$B$5)*('Scope 3 Ratios'!$B$6/'Scope 3 Ratios'!$B$5),0)</f>
        <v>244.0944</v>
      </c>
      <c r="AG57" s="60">
        <f>J57*IF(I57="SSD",'Scope 3 Ratios'!$B$9,'Scope 3 Ratios'!$B$8)</f>
        <v>0</v>
      </c>
      <c r="AH57" s="60">
        <f>IF(K57&lt;&gt;"N/A",K57*'Scope 3 Ratios'!$B$10,0)</f>
        <v>0</v>
      </c>
      <c r="AI57" s="60">
        <f>(VLOOKUP($E57,'AWS Platforms Ratios'!$A$2:$O$25,3,FALSE)-1)*'Scope 3 Ratios'!$B$7</f>
        <v>100</v>
      </c>
      <c r="AJ57" s="60">
        <f>'Scope 3 Ratios'!$B$2+AF57+AG57+AH57+AI57</f>
        <v>1344.0944</v>
      </c>
      <c r="AK57" s="60">
        <f>AJ57*'Scope 3 Ratios'!$B$4*(C57/D57)</f>
        <v>2.160645576</v>
      </c>
      <c r="AL57" s="61" t="s">
        <v>179</v>
      </c>
    </row>
    <row r="58" ht="15.0" customHeight="1">
      <c r="A58" s="56" t="s">
        <v>181</v>
      </c>
      <c r="B58" s="56" t="s">
        <v>69</v>
      </c>
      <c r="C58" s="56">
        <v>8.0</v>
      </c>
      <c r="D58" s="56">
        <f>VLOOKUP(E58,'AWS Platforms Ratios'!$A$2:$B$25,2,FALSE)</f>
        <v>72</v>
      </c>
      <c r="E58" s="57" t="s">
        <v>120</v>
      </c>
      <c r="F58" s="56">
        <v>21.0</v>
      </c>
      <c r="G58" s="56">
        <v>192.0</v>
      </c>
      <c r="H58" s="57" t="s">
        <v>71</v>
      </c>
      <c r="I58" s="56" t="s">
        <v>72</v>
      </c>
      <c r="J58" s="56">
        <v>0.0</v>
      </c>
      <c r="K58" s="58" t="s">
        <v>73</v>
      </c>
      <c r="L58" s="58" t="s">
        <v>73</v>
      </c>
      <c r="M58" s="58" t="s">
        <v>73</v>
      </c>
      <c r="N58" s="58" t="s">
        <v>73</v>
      </c>
      <c r="O58" s="59">
        <f>($C58/$D58)*VLOOKUP($E58,'AWS Platforms Ratios'!$A$2:$O$25,7,FALSE)</f>
        <v>5.628888889</v>
      </c>
      <c r="P58" s="59">
        <f>($C58/$D58)*VLOOKUP($E58,'AWS Platforms Ratios'!$A$2:$O$25,8,FALSE)</f>
        <v>14.98333333</v>
      </c>
      <c r="Q58" s="59">
        <f>($C58/$D58)*VLOOKUP($E58,'AWS Platforms Ratios'!$A$2:$O$25,9,FALSE)</f>
        <v>32.57888889</v>
      </c>
      <c r="R58" s="59">
        <f>($C58/$D58)*VLOOKUP($E58,'AWS Platforms Ratios'!$A$2:$O$25,10,FALSE)</f>
        <v>47.07555556</v>
      </c>
      <c r="S58" s="59">
        <f>$F58*VLOOKUP($E58,'AWS Platforms Ratios'!$A$2:$O$25,11,FALSE)</f>
        <v>4.0840625</v>
      </c>
      <c r="T58" s="59">
        <f>$F58*VLOOKUP($E58,'AWS Platforms Ratios'!$A$2:$O$25,12,FALSE)</f>
        <v>7.37734375</v>
      </c>
      <c r="U58" s="59">
        <f>$F58*VLOOKUP($E58,'AWS Platforms Ratios'!$A$2:$O$25,13,FALSE)</f>
        <v>12.954375</v>
      </c>
      <c r="V58" s="59">
        <f>$F58*VLOOKUP($E58,'AWS Platforms Ratios'!$A$2:$O$25,14,FALSE)</f>
        <v>18.53140625</v>
      </c>
      <c r="W58" s="60">
        <f>IF($K58&lt;&gt;"N/A",$M58*(VLOOKUP($L58,'GPU Specs &amp; Ratios'!$B$2:$I$8,5,FALSE)),0)</f>
        <v>0</v>
      </c>
      <c r="X58" s="60">
        <f>IF($K58&lt;&gt;"N/A",$M58*(VLOOKUP($L58,'GPU Specs &amp; Ratios'!$B$2:$I$8,6,FALSE)),0)</f>
        <v>0</v>
      </c>
      <c r="Y58" s="60">
        <f>IF($K58&lt;&gt;"N/A",$M58*(VLOOKUP($L58,'GPU Specs &amp; Ratios'!$B$2:$I$8,7,FALSE)),0)</f>
        <v>0</v>
      </c>
      <c r="Z58" s="60">
        <f>IF($K58&lt;&gt;"N/A",$M58*(VLOOKUP($L58,'GPU Specs &amp; Ratios'!$B$2:$I$8,8,FALSE)),0)</f>
        <v>0</v>
      </c>
      <c r="AA58" s="60">
        <f>(C58/D58)*VLOOKUP($E58,'AWS Platforms Ratios'!$A$2:$O$25,15,FALSE)</f>
        <v>10.66666667</v>
      </c>
      <c r="AB58" s="60">
        <f t="shared" ref="AB58:AE58" si="57">O58+S58+W58+$AA58</f>
        <v>20.37961806</v>
      </c>
      <c r="AC58" s="60">
        <f t="shared" si="57"/>
        <v>33.02734375</v>
      </c>
      <c r="AD58" s="60">
        <f t="shared" si="57"/>
        <v>56.19993056</v>
      </c>
      <c r="AE58" s="60">
        <f t="shared" si="57"/>
        <v>76.27362847</v>
      </c>
      <c r="AF58" s="60">
        <f>IF(G58&gt;'Scope 3 Ratios'!$B$5,(G58-'Scope 3 Ratios'!$B$5)*('Scope 3 Ratios'!$B$6/'Scope 3 Ratios'!$B$5),0)</f>
        <v>244.0944</v>
      </c>
      <c r="AG58" s="60">
        <f>J58*IF(I58="SSD",'Scope 3 Ratios'!$B$9,'Scope 3 Ratios'!$B$8)</f>
        <v>0</v>
      </c>
      <c r="AH58" s="60">
        <f>IF(K58&lt;&gt;"N/A",K58*'Scope 3 Ratios'!$B$10,0)</f>
        <v>0</v>
      </c>
      <c r="AI58" s="60">
        <f>(VLOOKUP($E58,'AWS Platforms Ratios'!$A$2:$O$25,3,FALSE)-1)*'Scope 3 Ratios'!$B$7</f>
        <v>100</v>
      </c>
      <c r="AJ58" s="60">
        <f>'Scope 3 Ratios'!$B$2+AF58+AG58+AH58+AI58</f>
        <v>1344.0944</v>
      </c>
      <c r="AK58" s="60">
        <f>AJ58*'Scope 3 Ratios'!$B$4*(C58/D58)</f>
        <v>4.321291152</v>
      </c>
      <c r="AL58" s="61" t="s">
        <v>179</v>
      </c>
    </row>
    <row r="59" ht="15.0" customHeight="1">
      <c r="A59" s="56" t="s">
        <v>182</v>
      </c>
      <c r="B59" s="56" t="s">
        <v>69</v>
      </c>
      <c r="C59" s="56">
        <v>16.0</v>
      </c>
      <c r="D59" s="56">
        <f>VLOOKUP(E59,'AWS Platforms Ratios'!$A$2:$B$25,2,FALSE)</f>
        <v>72</v>
      </c>
      <c r="E59" s="57" t="s">
        <v>120</v>
      </c>
      <c r="F59" s="56">
        <v>42.0</v>
      </c>
      <c r="G59" s="56">
        <v>192.0</v>
      </c>
      <c r="H59" s="57" t="s">
        <v>71</v>
      </c>
      <c r="I59" s="56" t="s">
        <v>72</v>
      </c>
      <c r="J59" s="56">
        <v>0.0</v>
      </c>
      <c r="K59" s="58" t="s">
        <v>73</v>
      </c>
      <c r="L59" s="58" t="s">
        <v>73</v>
      </c>
      <c r="M59" s="58" t="s">
        <v>73</v>
      </c>
      <c r="N59" s="58" t="s">
        <v>73</v>
      </c>
      <c r="O59" s="59">
        <f>($C59/$D59)*VLOOKUP($E59,'AWS Platforms Ratios'!$A$2:$O$25,7,FALSE)</f>
        <v>11.25777778</v>
      </c>
      <c r="P59" s="59">
        <f>($C59/$D59)*VLOOKUP($E59,'AWS Platforms Ratios'!$A$2:$O$25,8,FALSE)</f>
        <v>29.96666667</v>
      </c>
      <c r="Q59" s="59">
        <f>($C59/$D59)*VLOOKUP($E59,'AWS Platforms Ratios'!$A$2:$O$25,9,FALSE)</f>
        <v>65.15777778</v>
      </c>
      <c r="R59" s="59">
        <f>($C59/$D59)*VLOOKUP($E59,'AWS Platforms Ratios'!$A$2:$O$25,10,FALSE)</f>
        <v>94.15111111</v>
      </c>
      <c r="S59" s="59">
        <f>$F59*VLOOKUP($E59,'AWS Platforms Ratios'!$A$2:$O$25,11,FALSE)</f>
        <v>8.168125</v>
      </c>
      <c r="T59" s="59">
        <f>$F59*VLOOKUP($E59,'AWS Platforms Ratios'!$A$2:$O$25,12,FALSE)</f>
        <v>14.7546875</v>
      </c>
      <c r="U59" s="59">
        <f>$F59*VLOOKUP($E59,'AWS Platforms Ratios'!$A$2:$O$25,13,FALSE)</f>
        <v>25.90875</v>
      </c>
      <c r="V59" s="59">
        <f>$F59*VLOOKUP($E59,'AWS Platforms Ratios'!$A$2:$O$25,14,FALSE)</f>
        <v>37.0628125</v>
      </c>
      <c r="W59" s="60">
        <f>IF($K59&lt;&gt;"N/A",$M59*(VLOOKUP($L59,'GPU Specs &amp; Ratios'!$B$2:$I$8,5,FALSE)),0)</f>
        <v>0</v>
      </c>
      <c r="X59" s="60">
        <f>IF($K59&lt;&gt;"N/A",$M59*(VLOOKUP($L59,'GPU Specs &amp; Ratios'!$B$2:$I$8,6,FALSE)),0)</f>
        <v>0</v>
      </c>
      <c r="Y59" s="60">
        <f>IF($K59&lt;&gt;"N/A",$M59*(VLOOKUP($L59,'GPU Specs &amp; Ratios'!$B$2:$I$8,7,FALSE)),0)</f>
        <v>0</v>
      </c>
      <c r="Z59" s="60">
        <f>IF($K59&lt;&gt;"N/A",$M59*(VLOOKUP($L59,'GPU Specs &amp; Ratios'!$B$2:$I$8,8,FALSE)),0)</f>
        <v>0</v>
      </c>
      <c r="AA59" s="60">
        <f>(C59/D59)*VLOOKUP($E59,'AWS Platforms Ratios'!$A$2:$O$25,15,FALSE)</f>
        <v>21.33333333</v>
      </c>
      <c r="AB59" s="60">
        <f t="shared" ref="AB59:AE59" si="58">O59+S59+W59+$AA59</f>
        <v>40.75923611</v>
      </c>
      <c r="AC59" s="60">
        <f t="shared" si="58"/>
        <v>66.0546875</v>
      </c>
      <c r="AD59" s="60">
        <f t="shared" si="58"/>
        <v>112.3998611</v>
      </c>
      <c r="AE59" s="60">
        <f t="shared" si="58"/>
        <v>152.5472569</v>
      </c>
      <c r="AF59" s="60">
        <f>IF(G59&gt;'Scope 3 Ratios'!$B$5,(G59-'Scope 3 Ratios'!$B$5)*('Scope 3 Ratios'!$B$6/'Scope 3 Ratios'!$B$5),0)</f>
        <v>244.0944</v>
      </c>
      <c r="AG59" s="60">
        <f>J59*IF(I59="SSD",'Scope 3 Ratios'!$B$9,'Scope 3 Ratios'!$B$8)</f>
        <v>0</v>
      </c>
      <c r="AH59" s="60">
        <f>IF(K59&lt;&gt;"N/A",K59*'Scope 3 Ratios'!$B$10,0)</f>
        <v>0</v>
      </c>
      <c r="AI59" s="60">
        <f>(VLOOKUP($E59,'AWS Platforms Ratios'!$A$2:$O$25,3,FALSE)-1)*'Scope 3 Ratios'!$B$7</f>
        <v>100</v>
      </c>
      <c r="AJ59" s="60">
        <f>'Scope 3 Ratios'!$B$2+AF59+AG59+AH59+AI59</f>
        <v>1344.0944</v>
      </c>
      <c r="AK59" s="60">
        <f>AJ59*'Scope 3 Ratios'!$B$4*(C59/D59)</f>
        <v>8.642582305</v>
      </c>
      <c r="AL59" s="61" t="s">
        <v>179</v>
      </c>
    </row>
    <row r="60" ht="15.0" customHeight="1">
      <c r="A60" s="56" t="s">
        <v>183</v>
      </c>
      <c r="B60" s="56" t="s">
        <v>69</v>
      </c>
      <c r="C60" s="56">
        <v>36.0</v>
      </c>
      <c r="D60" s="56">
        <f>VLOOKUP(E60,'AWS Platforms Ratios'!$A$2:$B$25,2,FALSE)</f>
        <v>72</v>
      </c>
      <c r="E60" s="57" t="s">
        <v>120</v>
      </c>
      <c r="F60" s="56">
        <v>96.0</v>
      </c>
      <c r="G60" s="56">
        <v>192.0</v>
      </c>
      <c r="H60" s="57" t="s">
        <v>71</v>
      </c>
      <c r="I60" s="56" t="s">
        <v>72</v>
      </c>
      <c r="J60" s="56">
        <v>0.0</v>
      </c>
      <c r="K60" s="58" t="s">
        <v>73</v>
      </c>
      <c r="L60" s="58" t="s">
        <v>73</v>
      </c>
      <c r="M60" s="58" t="s">
        <v>73</v>
      </c>
      <c r="N60" s="58" t="s">
        <v>73</v>
      </c>
      <c r="O60" s="59">
        <f>($C60/$D60)*VLOOKUP($E60,'AWS Platforms Ratios'!$A$2:$O$25,7,FALSE)</f>
        <v>25.33</v>
      </c>
      <c r="P60" s="59">
        <f>($C60/$D60)*VLOOKUP($E60,'AWS Platforms Ratios'!$A$2:$O$25,8,FALSE)</f>
        <v>67.425</v>
      </c>
      <c r="Q60" s="59">
        <f>($C60/$D60)*VLOOKUP($E60,'AWS Platforms Ratios'!$A$2:$O$25,9,FALSE)</f>
        <v>146.605</v>
      </c>
      <c r="R60" s="59">
        <f>($C60/$D60)*VLOOKUP($E60,'AWS Platforms Ratios'!$A$2:$O$25,10,FALSE)</f>
        <v>211.84</v>
      </c>
      <c r="S60" s="59">
        <f>$F60*VLOOKUP($E60,'AWS Platforms Ratios'!$A$2:$O$25,11,FALSE)</f>
        <v>18.67</v>
      </c>
      <c r="T60" s="59">
        <f>$F60*VLOOKUP($E60,'AWS Platforms Ratios'!$A$2:$O$25,12,FALSE)</f>
        <v>33.725</v>
      </c>
      <c r="U60" s="59">
        <f>$F60*VLOOKUP($E60,'AWS Platforms Ratios'!$A$2:$O$25,13,FALSE)</f>
        <v>59.22</v>
      </c>
      <c r="V60" s="59">
        <f>$F60*VLOOKUP($E60,'AWS Platforms Ratios'!$A$2:$O$25,14,FALSE)</f>
        <v>84.715</v>
      </c>
      <c r="W60" s="60">
        <f>IF($K60&lt;&gt;"N/A",$M60*(VLOOKUP($L60,'GPU Specs &amp; Ratios'!$B$2:$I$8,5,FALSE)),0)</f>
        <v>0</v>
      </c>
      <c r="X60" s="60">
        <f>IF($K60&lt;&gt;"N/A",$M60*(VLOOKUP($L60,'GPU Specs &amp; Ratios'!$B$2:$I$8,6,FALSE)),0)</f>
        <v>0</v>
      </c>
      <c r="Y60" s="60">
        <f>IF($K60&lt;&gt;"N/A",$M60*(VLOOKUP($L60,'GPU Specs &amp; Ratios'!$B$2:$I$8,7,FALSE)),0)</f>
        <v>0</v>
      </c>
      <c r="Z60" s="60">
        <f>IF($K60&lt;&gt;"N/A",$M60*(VLOOKUP($L60,'GPU Specs &amp; Ratios'!$B$2:$I$8,8,FALSE)),0)</f>
        <v>0</v>
      </c>
      <c r="AA60" s="60">
        <f>(C60/D60)*VLOOKUP($E60,'AWS Platforms Ratios'!$A$2:$O$25,15,FALSE)</f>
        <v>48</v>
      </c>
      <c r="AB60" s="60">
        <f t="shared" ref="AB60:AE60" si="59">O60+S60+W60+$AA60</f>
        <v>92</v>
      </c>
      <c r="AC60" s="60">
        <f t="shared" si="59"/>
        <v>149.15</v>
      </c>
      <c r="AD60" s="60">
        <f t="shared" si="59"/>
        <v>253.825</v>
      </c>
      <c r="AE60" s="60">
        <f t="shared" si="59"/>
        <v>344.555</v>
      </c>
      <c r="AF60" s="60">
        <f>IF(G60&gt;'Scope 3 Ratios'!$B$5,(G60-'Scope 3 Ratios'!$B$5)*('Scope 3 Ratios'!$B$6/'Scope 3 Ratios'!$B$5),0)</f>
        <v>244.0944</v>
      </c>
      <c r="AG60" s="60">
        <f>J60*IF(I60="SSD",'Scope 3 Ratios'!$B$9,'Scope 3 Ratios'!$B$8)</f>
        <v>0</v>
      </c>
      <c r="AH60" s="60">
        <f>IF(K60&lt;&gt;"N/A",K60*'Scope 3 Ratios'!$B$10,0)</f>
        <v>0</v>
      </c>
      <c r="AI60" s="60">
        <f>(VLOOKUP($E60,'AWS Platforms Ratios'!$A$2:$O$25,3,FALSE)-1)*'Scope 3 Ratios'!$B$7</f>
        <v>100</v>
      </c>
      <c r="AJ60" s="60">
        <f>'Scope 3 Ratios'!$B$2+AF60+AG60+AH60+AI60</f>
        <v>1344.0944</v>
      </c>
      <c r="AK60" s="60">
        <f>AJ60*'Scope 3 Ratios'!$B$4*(C60/D60)</f>
        <v>19.44581019</v>
      </c>
      <c r="AL60" s="61" t="s">
        <v>179</v>
      </c>
    </row>
    <row r="61" ht="15.0" customHeight="1">
      <c r="A61" s="56" t="s">
        <v>184</v>
      </c>
      <c r="B61" s="56" t="s">
        <v>69</v>
      </c>
      <c r="C61" s="56">
        <v>72.0</v>
      </c>
      <c r="D61" s="56">
        <f>VLOOKUP(E61,'AWS Platforms Ratios'!$A$2:$B$25,2,FALSE)</f>
        <v>72</v>
      </c>
      <c r="E61" s="57" t="s">
        <v>120</v>
      </c>
      <c r="F61" s="56">
        <v>192.0</v>
      </c>
      <c r="G61" s="56">
        <v>192.0</v>
      </c>
      <c r="H61" s="57" t="s">
        <v>71</v>
      </c>
      <c r="I61" s="56" t="s">
        <v>72</v>
      </c>
      <c r="J61" s="56">
        <v>0.0</v>
      </c>
      <c r="K61" s="58" t="s">
        <v>73</v>
      </c>
      <c r="L61" s="58" t="s">
        <v>73</v>
      </c>
      <c r="M61" s="58" t="s">
        <v>73</v>
      </c>
      <c r="N61" s="58" t="s">
        <v>73</v>
      </c>
      <c r="O61" s="59">
        <f>($C61/$D61)*VLOOKUP($E61,'AWS Platforms Ratios'!$A$2:$O$25,7,FALSE)</f>
        <v>50.66</v>
      </c>
      <c r="P61" s="59">
        <f>($C61/$D61)*VLOOKUP($E61,'AWS Platforms Ratios'!$A$2:$O$25,8,FALSE)</f>
        <v>134.85</v>
      </c>
      <c r="Q61" s="59">
        <f>($C61/$D61)*VLOOKUP($E61,'AWS Platforms Ratios'!$A$2:$O$25,9,FALSE)</f>
        <v>293.21</v>
      </c>
      <c r="R61" s="59">
        <f>($C61/$D61)*VLOOKUP($E61,'AWS Platforms Ratios'!$A$2:$O$25,10,FALSE)</f>
        <v>423.68</v>
      </c>
      <c r="S61" s="59">
        <f>$F61*VLOOKUP($E61,'AWS Platforms Ratios'!$A$2:$O$25,11,FALSE)</f>
        <v>37.34</v>
      </c>
      <c r="T61" s="59">
        <f>$F61*VLOOKUP($E61,'AWS Platforms Ratios'!$A$2:$O$25,12,FALSE)</f>
        <v>67.45</v>
      </c>
      <c r="U61" s="59">
        <f>$F61*VLOOKUP($E61,'AWS Platforms Ratios'!$A$2:$O$25,13,FALSE)</f>
        <v>118.44</v>
      </c>
      <c r="V61" s="59">
        <f>$F61*VLOOKUP($E61,'AWS Platforms Ratios'!$A$2:$O$25,14,FALSE)</f>
        <v>169.43</v>
      </c>
      <c r="W61" s="60">
        <f>IF($K61&lt;&gt;"N/A",$M61*(VLOOKUP($L61,'GPU Specs &amp; Ratios'!$B$2:$I$8,5,FALSE)),0)</f>
        <v>0</v>
      </c>
      <c r="X61" s="60">
        <f>IF($K61&lt;&gt;"N/A",$M61*(VLOOKUP($L61,'GPU Specs &amp; Ratios'!$B$2:$I$8,6,FALSE)),0)</f>
        <v>0</v>
      </c>
      <c r="Y61" s="60">
        <f>IF($K61&lt;&gt;"N/A",$M61*(VLOOKUP($L61,'GPU Specs &amp; Ratios'!$B$2:$I$8,7,FALSE)),0)</f>
        <v>0</v>
      </c>
      <c r="Z61" s="60">
        <f>IF($K61&lt;&gt;"N/A",$M61*(VLOOKUP($L61,'GPU Specs &amp; Ratios'!$B$2:$I$8,8,FALSE)),0)</f>
        <v>0</v>
      </c>
      <c r="AA61" s="60">
        <f>(C61/D61)*VLOOKUP($E61,'AWS Platforms Ratios'!$A$2:$O$25,15,FALSE)</f>
        <v>96</v>
      </c>
      <c r="AB61" s="60">
        <f t="shared" ref="AB61:AE61" si="60">O61+S61+W61+$AA61</f>
        <v>184</v>
      </c>
      <c r="AC61" s="60">
        <f t="shared" si="60"/>
        <v>298.3</v>
      </c>
      <c r="AD61" s="60">
        <f t="shared" si="60"/>
        <v>507.65</v>
      </c>
      <c r="AE61" s="60">
        <f t="shared" si="60"/>
        <v>689.11</v>
      </c>
      <c r="AF61" s="60">
        <f>IF(G61&gt;'Scope 3 Ratios'!$B$5,(G61-'Scope 3 Ratios'!$B$5)*('Scope 3 Ratios'!$B$6/'Scope 3 Ratios'!$B$5),0)</f>
        <v>244.0944</v>
      </c>
      <c r="AG61" s="60">
        <f>J61*IF(I61="SSD",'Scope 3 Ratios'!$B$9,'Scope 3 Ratios'!$B$8)</f>
        <v>0</v>
      </c>
      <c r="AH61" s="60">
        <f>IF(K61&lt;&gt;"N/A",K61*'Scope 3 Ratios'!$B$10,0)</f>
        <v>0</v>
      </c>
      <c r="AI61" s="60">
        <f>(VLOOKUP($E61,'AWS Platforms Ratios'!$A$2:$O$25,3,FALSE)-1)*'Scope 3 Ratios'!$B$7</f>
        <v>100</v>
      </c>
      <c r="AJ61" s="60">
        <f>'Scope 3 Ratios'!$B$2+AF61+AG61+AH61+AI61</f>
        <v>1344.0944</v>
      </c>
      <c r="AK61" s="60">
        <f>AJ61*'Scope 3 Ratios'!$B$4*(C61/D61)</f>
        <v>38.89162037</v>
      </c>
      <c r="AL61" s="61" t="s">
        <v>179</v>
      </c>
    </row>
    <row r="62" ht="15.0" customHeight="1">
      <c r="A62" s="56" t="s">
        <v>185</v>
      </c>
      <c r="B62" s="56" t="s">
        <v>186</v>
      </c>
      <c r="C62" s="56">
        <v>72.0</v>
      </c>
      <c r="D62" s="56">
        <f>VLOOKUP(E62,'AWS Platforms Ratios'!$A$2:$B$25,2,FALSE)</f>
        <v>72</v>
      </c>
      <c r="E62" s="57" t="s">
        <v>120</v>
      </c>
      <c r="F62" s="56">
        <v>192.0</v>
      </c>
      <c r="G62" s="56">
        <v>192.0</v>
      </c>
      <c r="H62" s="57" t="s">
        <v>71</v>
      </c>
      <c r="I62" s="56" t="s">
        <v>72</v>
      </c>
      <c r="J62" s="56">
        <v>0.0</v>
      </c>
      <c r="K62" s="58" t="s">
        <v>73</v>
      </c>
      <c r="L62" s="58" t="s">
        <v>73</v>
      </c>
      <c r="M62" s="58" t="s">
        <v>73</v>
      </c>
      <c r="N62" s="58" t="s">
        <v>73</v>
      </c>
      <c r="O62" s="59">
        <f>($C62/$D62)*VLOOKUP($E62,'AWS Platforms Ratios'!$A$2:$O$25,7,FALSE)</f>
        <v>50.66</v>
      </c>
      <c r="P62" s="59">
        <f>($C62/$D62)*VLOOKUP($E62,'AWS Platforms Ratios'!$A$2:$O$25,8,FALSE)</f>
        <v>134.85</v>
      </c>
      <c r="Q62" s="59">
        <f>($C62/$D62)*VLOOKUP($E62,'AWS Platforms Ratios'!$A$2:$O$25,9,FALSE)</f>
        <v>293.21</v>
      </c>
      <c r="R62" s="59">
        <f>($C62/$D62)*VLOOKUP($E62,'AWS Platforms Ratios'!$A$2:$O$25,10,FALSE)</f>
        <v>423.68</v>
      </c>
      <c r="S62" s="59">
        <f>$F62*VLOOKUP($E62,'AWS Platforms Ratios'!$A$2:$O$25,11,FALSE)</f>
        <v>37.34</v>
      </c>
      <c r="T62" s="59">
        <f>$F62*VLOOKUP($E62,'AWS Platforms Ratios'!$A$2:$O$25,12,FALSE)</f>
        <v>67.45</v>
      </c>
      <c r="U62" s="59">
        <f>$F62*VLOOKUP($E62,'AWS Platforms Ratios'!$A$2:$O$25,13,FALSE)</f>
        <v>118.44</v>
      </c>
      <c r="V62" s="59">
        <f>$F62*VLOOKUP($E62,'AWS Platforms Ratios'!$A$2:$O$25,14,FALSE)</f>
        <v>169.43</v>
      </c>
      <c r="W62" s="60">
        <f>IF($K62&lt;&gt;"N/A",$M62*(VLOOKUP($L62,'GPU Specs &amp; Ratios'!$B$2:$I$8,5,FALSE)),0)</f>
        <v>0</v>
      </c>
      <c r="X62" s="60">
        <f>IF($K62&lt;&gt;"N/A",$M62*(VLOOKUP($L62,'GPU Specs &amp; Ratios'!$B$2:$I$8,6,FALSE)),0)</f>
        <v>0</v>
      </c>
      <c r="Y62" s="60">
        <f>IF($K62&lt;&gt;"N/A",$M62*(VLOOKUP($L62,'GPU Specs &amp; Ratios'!$B$2:$I$8,7,FALSE)),0)</f>
        <v>0</v>
      </c>
      <c r="Z62" s="60">
        <f>IF($K62&lt;&gt;"N/A",$M62*(VLOOKUP($L62,'GPU Specs &amp; Ratios'!$B$2:$I$8,8,FALSE)),0)</f>
        <v>0</v>
      </c>
      <c r="AA62" s="60">
        <f>(C62/D62)*VLOOKUP($E62,'AWS Platforms Ratios'!$A$2:$O$25,15,FALSE)</f>
        <v>96</v>
      </c>
      <c r="AB62" s="60">
        <f t="shared" ref="AB62:AE62" si="61">O62+S62+W62+$AA62</f>
        <v>184</v>
      </c>
      <c r="AC62" s="60">
        <f t="shared" si="61"/>
        <v>298.3</v>
      </c>
      <c r="AD62" s="60">
        <f t="shared" si="61"/>
        <v>507.65</v>
      </c>
      <c r="AE62" s="60">
        <f t="shared" si="61"/>
        <v>689.11</v>
      </c>
      <c r="AF62" s="60">
        <f>IF(G62&gt;'Scope 3 Ratios'!$B$5,(G62-'Scope 3 Ratios'!$B$5)*('Scope 3 Ratios'!$B$6/'Scope 3 Ratios'!$B$5),0)</f>
        <v>244.0944</v>
      </c>
      <c r="AG62" s="60">
        <f>J62*IF(I62="SSD",'Scope 3 Ratios'!$B$9,'Scope 3 Ratios'!$B$8)</f>
        <v>0</v>
      </c>
      <c r="AH62" s="60">
        <f>IF(K62&lt;&gt;"N/A",K62*'Scope 3 Ratios'!$B$10,0)</f>
        <v>0</v>
      </c>
      <c r="AI62" s="60">
        <f>(VLOOKUP($E62,'AWS Platforms Ratios'!$A$2:$O$25,3,FALSE)-1)*'Scope 3 Ratios'!$B$7</f>
        <v>100</v>
      </c>
      <c r="AJ62" s="60">
        <f>'Scope 3 Ratios'!$B$2+AF62+AG62+AH62+AI62</f>
        <v>1344.0944</v>
      </c>
      <c r="AK62" s="60">
        <f>AJ62*'Scope 3 Ratios'!$B$4*(C62/D62)</f>
        <v>38.89162037</v>
      </c>
      <c r="AL62" s="61" t="s">
        <v>179</v>
      </c>
    </row>
    <row r="63" ht="15.0" customHeight="1">
      <c r="A63" s="63" t="s">
        <v>187</v>
      </c>
      <c r="B63" s="56" t="s">
        <v>188</v>
      </c>
      <c r="C63" s="63">
        <v>1.0</v>
      </c>
      <c r="D63" s="56">
        <f>VLOOKUP(E63,'AWS Platforms Ratios'!$A$2:$B$25,2,FALSE)</f>
        <v>64</v>
      </c>
      <c r="E63" s="63" t="s">
        <v>189</v>
      </c>
      <c r="F63" s="63">
        <v>2.0</v>
      </c>
      <c r="G63" s="63">
        <v>128.0</v>
      </c>
      <c r="H63" s="64" t="s">
        <v>71</v>
      </c>
      <c r="I63" s="56" t="s">
        <v>72</v>
      </c>
      <c r="J63" s="56">
        <v>0.0</v>
      </c>
      <c r="K63" s="58" t="s">
        <v>73</v>
      </c>
      <c r="L63" s="58" t="s">
        <v>73</v>
      </c>
      <c r="M63" s="58" t="s">
        <v>73</v>
      </c>
      <c r="N63" s="58" t="s">
        <v>73</v>
      </c>
      <c r="O63" s="59">
        <f>($C63/$D63)*VLOOKUP($E63,'AWS Platforms Ratios'!$A$2:$O$25,7,FALSE)</f>
        <v>0.2721764469</v>
      </c>
      <c r="P63" s="59">
        <f>($C63/$D63)*VLOOKUP($E63,'AWS Platforms Ratios'!$A$2:$O$25,8,FALSE)</f>
        <v>0.7459229301</v>
      </c>
      <c r="Q63" s="59">
        <f>($C63/$D63)*VLOOKUP($E63,'AWS Platforms Ratios'!$A$2:$O$25,9,FALSE)</f>
        <v>1.763117966</v>
      </c>
      <c r="R63" s="59">
        <f>($C63/$D63)*VLOOKUP($E63,'AWS Platforms Ratios'!$A$2:$O$25,10,FALSE)</f>
        <v>2.387214881</v>
      </c>
      <c r="S63" s="59">
        <f>$F63*VLOOKUP($E63,'AWS Platforms Ratios'!$A$2:$O$25,11,FALSE)</f>
        <v>0.4</v>
      </c>
      <c r="T63" s="59">
        <f>$F63*VLOOKUP($E63,'AWS Platforms Ratios'!$A$2:$O$25,12,FALSE)</f>
        <v>0.6</v>
      </c>
      <c r="U63" s="59">
        <f>$F63*VLOOKUP($E63,'AWS Platforms Ratios'!$A$2:$O$25,13,FALSE)</f>
        <v>0.8</v>
      </c>
      <c r="V63" s="59">
        <f>$F63*VLOOKUP($E63,'AWS Platforms Ratios'!$A$2:$O$25,14,FALSE)</f>
        <v>1.2</v>
      </c>
      <c r="W63" s="60">
        <f>IF($K63&lt;&gt;"N/A",$M63*(VLOOKUP($L63,'GPU Specs &amp; Ratios'!$B$2:$I$8,5,FALSE)),0)</f>
        <v>0</v>
      </c>
      <c r="X63" s="60">
        <f>IF($K63&lt;&gt;"N/A",$M63*(VLOOKUP($L63,'GPU Specs &amp; Ratios'!$B$2:$I$8,6,FALSE)),0)</f>
        <v>0</v>
      </c>
      <c r="Y63" s="60">
        <f>IF($K63&lt;&gt;"N/A",$M63*(VLOOKUP($L63,'GPU Specs &amp; Ratios'!$B$2:$I$8,7,FALSE)),0)</f>
        <v>0</v>
      </c>
      <c r="Z63" s="60">
        <f>IF($K63&lt;&gt;"N/A",$M63*(VLOOKUP($L63,'GPU Specs &amp; Ratios'!$B$2:$I$8,8,FALSE)),0)</f>
        <v>0</v>
      </c>
      <c r="AA63" s="60">
        <f>(C63/D63)*VLOOKUP($E63,'AWS Platforms Ratios'!$A$2:$O$25,15,FALSE)</f>
        <v>0.46875</v>
      </c>
      <c r="AB63" s="60">
        <f t="shared" ref="AB63:AE63" si="62">O63+S63+W63+$AA63</f>
        <v>1.140926447</v>
      </c>
      <c r="AC63" s="60">
        <f t="shared" si="62"/>
        <v>1.81467293</v>
      </c>
      <c r="AD63" s="60">
        <f t="shared" si="62"/>
        <v>3.031867966</v>
      </c>
      <c r="AE63" s="60">
        <f t="shared" si="62"/>
        <v>4.055964881</v>
      </c>
      <c r="AF63" s="60">
        <f>IF(G63&gt;'Scope 3 Ratios'!$B$5,(G63-'Scope 3 Ratios'!$B$5)*('Scope 3 Ratios'!$B$6/'Scope 3 Ratios'!$B$5),0)</f>
        <v>155.3328</v>
      </c>
      <c r="AG63" s="60">
        <f>J63*IF(I63="SSD",'Scope 3 Ratios'!$B$9,'Scope 3 Ratios'!$B$8)</f>
        <v>0</v>
      </c>
      <c r="AH63" s="60">
        <f>IF(K63&lt;&gt;"N/A",K63*'Scope 3 Ratios'!$B$10,0)</f>
        <v>0</v>
      </c>
      <c r="AI63" s="60">
        <f>(VLOOKUP($E63,'AWS Platforms Ratios'!$A$2:$O$25,3,FALSE)-1)*'Scope 3 Ratios'!$B$7</f>
        <v>0</v>
      </c>
      <c r="AJ63" s="60">
        <f>'Scope 3 Ratios'!$B$2+AF63+AG63+AH63+AI63</f>
        <v>1155.3328</v>
      </c>
      <c r="AK63" s="60">
        <f>AJ63*'Scope 3 Ratios'!$B$4*(C63/D63)</f>
        <v>0.5223401331</v>
      </c>
      <c r="AL63" s="61" t="s">
        <v>190</v>
      </c>
    </row>
    <row r="64" ht="15.0" customHeight="1">
      <c r="A64" s="63" t="s">
        <v>191</v>
      </c>
      <c r="B64" s="56" t="s">
        <v>188</v>
      </c>
      <c r="C64" s="63">
        <v>2.0</v>
      </c>
      <c r="D64" s="56">
        <f>VLOOKUP(E64,'AWS Platforms Ratios'!$A$2:$B$25,2,FALSE)</f>
        <v>64</v>
      </c>
      <c r="E64" s="63" t="s">
        <v>189</v>
      </c>
      <c r="F64" s="63">
        <v>4.0</v>
      </c>
      <c r="G64" s="63">
        <v>128.0</v>
      </c>
      <c r="H64" s="64" t="s">
        <v>71</v>
      </c>
      <c r="I64" s="56" t="s">
        <v>72</v>
      </c>
      <c r="J64" s="56">
        <v>0.0</v>
      </c>
      <c r="K64" s="58" t="s">
        <v>73</v>
      </c>
      <c r="L64" s="58" t="s">
        <v>73</v>
      </c>
      <c r="M64" s="58" t="s">
        <v>73</v>
      </c>
      <c r="N64" s="58" t="s">
        <v>73</v>
      </c>
      <c r="O64" s="59">
        <f>($C64/$D64)*VLOOKUP($E64,'AWS Platforms Ratios'!$A$2:$O$25,7,FALSE)</f>
        <v>0.5443528939</v>
      </c>
      <c r="P64" s="59">
        <f>($C64/$D64)*VLOOKUP($E64,'AWS Platforms Ratios'!$A$2:$O$25,8,FALSE)</f>
        <v>1.49184586</v>
      </c>
      <c r="Q64" s="59">
        <f>($C64/$D64)*VLOOKUP($E64,'AWS Platforms Ratios'!$A$2:$O$25,9,FALSE)</f>
        <v>3.526235932</v>
      </c>
      <c r="R64" s="59">
        <f>($C64/$D64)*VLOOKUP($E64,'AWS Platforms Ratios'!$A$2:$O$25,10,FALSE)</f>
        <v>4.774429763</v>
      </c>
      <c r="S64" s="59">
        <f>$F64*VLOOKUP($E64,'AWS Platforms Ratios'!$A$2:$O$25,11,FALSE)</f>
        <v>0.8</v>
      </c>
      <c r="T64" s="59">
        <f>$F64*VLOOKUP($E64,'AWS Platforms Ratios'!$A$2:$O$25,12,FALSE)</f>
        <v>1.2</v>
      </c>
      <c r="U64" s="59">
        <f>$F64*VLOOKUP($E64,'AWS Platforms Ratios'!$A$2:$O$25,13,FALSE)</f>
        <v>1.6</v>
      </c>
      <c r="V64" s="59">
        <f>$F64*VLOOKUP($E64,'AWS Platforms Ratios'!$A$2:$O$25,14,FALSE)</f>
        <v>2.4</v>
      </c>
      <c r="W64" s="60">
        <f>IF($K64&lt;&gt;"N/A",$M64*(VLOOKUP($L64,'GPU Specs &amp; Ratios'!$B$2:$I$8,5,FALSE)),0)</f>
        <v>0</v>
      </c>
      <c r="X64" s="60">
        <f>IF($K64&lt;&gt;"N/A",$M64*(VLOOKUP($L64,'GPU Specs &amp; Ratios'!$B$2:$I$8,6,FALSE)),0)</f>
        <v>0</v>
      </c>
      <c r="Y64" s="60">
        <f>IF($K64&lt;&gt;"N/A",$M64*(VLOOKUP($L64,'GPU Specs &amp; Ratios'!$B$2:$I$8,7,FALSE)),0)</f>
        <v>0</v>
      </c>
      <c r="Z64" s="60">
        <f>IF($K64&lt;&gt;"N/A",$M64*(VLOOKUP($L64,'GPU Specs &amp; Ratios'!$B$2:$I$8,8,FALSE)),0)</f>
        <v>0</v>
      </c>
      <c r="AA64" s="60">
        <f>(C64/D64)*VLOOKUP($E64,'AWS Platforms Ratios'!$A$2:$O$25,15,FALSE)</f>
        <v>0.9375</v>
      </c>
      <c r="AB64" s="60">
        <f t="shared" ref="AB64:AE64" si="63">O64+S64+W64+$AA64</f>
        <v>2.281852894</v>
      </c>
      <c r="AC64" s="60">
        <f t="shared" si="63"/>
        <v>3.62934586</v>
      </c>
      <c r="AD64" s="60">
        <f t="shared" si="63"/>
        <v>6.063735932</v>
      </c>
      <c r="AE64" s="60">
        <f t="shared" si="63"/>
        <v>8.111929763</v>
      </c>
      <c r="AF64" s="60">
        <f>IF(G64&gt;'Scope 3 Ratios'!$B$5,(G64-'Scope 3 Ratios'!$B$5)*('Scope 3 Ratios'!$B$6/'Scope 3 Ratios'!$B$5),0)</f>
        <v>155.3328</v>
      </c>
      <c r="AG64" s="60">
        <f>J64*IF(I64="SSD",'Scope 3 Ratios'!$B$9,'Scope 3 Ratios'!$B$8)</f>
        <v>0</v>
      </c>
      <c r="AH64" s="60">
        <f>IF(K64&lt;&gt;"N/A",K64*'Scope 3 Ratios'!$B$10,0)</f>
        <v>0</v>
      </c>
      <c r="AI64" s="60">
        <f>(VLOOKUP($E64,'AWS Platforms Ratios'!$A$2:$O$25,3,FALSE)-1)*'Scope 3 Ratios'!$B$7</f>
        <v>0</v>
      </c>
      <c r="AJ64" s="60">
        <f>'Scope 3 Ratios'!$B$2+AF64+AG64+AH64+AI64</f>
        <v>1155.3328</v>
      </c>
      <c r="AK64" s="60">
        <f>AJ64*'Scope 3 Ratios'!$B$4*(C64/D64)</f>
        <v>1.044680266</v>
      </c>
      <c r="AL64" s="61" t="s">
        <v>190</v>
      </c>
    </row>
    <row r="65" ht="15.0" customHeight="1">
      <c r="A65" s="63" t="s">
        <v>192</v>
      </c>
      <c r="B65" s="56" t="s">
        <v>188</v>
      </c>
      <c r="C65" s="63">
        <v>4.0</v>
      </c>
      <c r="D65" s="56">
        <f>VLOOKUP(E65,'AWS Platforms Ratios'!$A$2:$B$25,2,FALSE)</f>
        <v>64</v>
      </c>
      <c r="E65" s="63" t="s">
        <v>189</v>
      </c>
      <c r="F65" s="63">
        <v>8.0</v>
      </c>
      <c r="G65" s="63">
        <v>128.0</v>
      </c>
      <c r="H65" s="64" t="s">
        <v>71</v>
      </c>
      <c r="I65" s="56" t="s">
        <v>72</v>
      </c>
      <c r="J65" s="56">
        <v>0.0</v>
      </c>
      <c r="K65" s="58" t="s">
        <v>73</v>
      </c>
      <c r="L65" s="58" t="s">
        <v>73</v>
      </c>
      <c r="M65" s="58" t="s">
        <v>73</v>
      </c>
      <c r="N65" s="58" t="s">
        <v>73</v>
      </c>
      <c r="O65" s="59">
        <f>($C65/$D65)*VLOOKUP($E65,'AWS Platforms Ratios'!$A$2:$O$25,7,FALSE)</f>
        <v>1.088705788</v>
      </c>
      <c r="P65" s="59">
        <f>($C65/$D65)*VLOOKUP($E65,'AWS Platforms Ratios'!$A$2:$O$25,8,FALSE)</f>
        <v>2.98369172</v>
      </c>
      <c r="Q65" s="59">
        <f>($C65/$D65)*VLOOKUP($E65,'AWS Platforms Ratios'!$A$2:$O$25,9,FALSE)</f>
        <v>7.052471865</v>
      </c>
      <c r="R65" s="59">
        <f>($C65/$D65)*VLOOKUP($E65,'AWS Platforms Ratios'!$A$2:$O$25,10,FALSE)</f>
        <v>9.548859526</v>
      </c>
      <c r="S65" s="59">
        <f>$F65*VLOOKUP($E65,'AWS Platforms Ratios'!$A$2:$O$25,11,FALSE)</f>
        <v>1.6</v>
      </c>
      <c r="T65" s="59">
        <f>$F65*VLOOKUP($E65,'AWS Platforms Ratios'!$A$2:$O$25,12,FALSE)</f>
        <v>2.4</v>
      </c>
      <c r="U65" s="59">
        <f>$F65*VLOOKUP($E65,'AWS Platforms Ratios'!$A$2:$O$25,13,FALSE)</f>
        <v>3.2</v>
      </c>
      <c r="V65" s="59">
        <f>$F65*VLOOKUP($E65,'AWS Platforms Ratios'!$A$2:$O$25,14,FALSE)</f>
        <v>4.8</v>
      </c>
      <c r="W65" s="60">
        <f>IF($K65&lt;&gt;"N/A",$M65*(VLOOKUP($L65,'GPU Specs &amp; Ratios'!$B$2:$I$8,5,FALSE)),0)</f>
        <v>0</v>
      </c>
      <c r="X65" s="60">
        <f>IF($K65&lt;&gt;"N/A",$M65*(VLOOKUP($L65,'GPU Specs &amp; Ratios'!$B$2:$I$8,6,FALSE)),0)</f>
        <v>0</v>
      </c>
      <c r="Y65" s="60">
        <f>IF($K65&lt;&gt;"N/A",$M65*(VLOOKUP($L65,'GPU Specs &amp; Ratios'!$B$2:$I$8,7,FALSE)),0)</f>
        <v>0</v>
      </c>
      <c r="Z65" s="60">
        <f>IF($K65&lt;&gt;"N/A",$M65*(VLOOKUP($L65,'GPU Specs &amp; Ratios'!$B$2:$I$8,8,FALSE)),0)</f>
        <v>0</v>
      </c>
      <c r="AA65" s="60">
        <f>(C65/D65)*VLOOKUP($E65,'AWS Platforms Ratios'!$A$2:$O$25,15,FALSE)</f>
        <v>1.875</v>
      </c>
      <c r="AB65" s="60">
        <f t="shared" ref="AB65:AE65" si="64">O65+S65+W65+$AA65</f>
        <v>4.563705788</v>
      </c>
      <c r="AC65" s="60">
        <f t="shared" si="64"/>
        <v>7.25869172</v>
      </c>
      <c r="AD65" s="60">
        <f t="shared" si="64"/>
        <v>12.12747186</v>
      </c>
      <c r="AE65" s="60">
        <f t="shared" si="64"/>
        <v>16.22385953</v>
      </c>
      <c r="AF65" s="60">
        <f>IF(G65&gt;'Scope 3 Ratios'!$B$5,(G65-'Scope 3 Ratios'!$B$5)*('Scope 3 Ratios'!$B$6/'Scope 3 Ratios'!$B$5),0)</f>
        <v>155.3328</v>
      </c>
      <c r="AG65" s="60">
        <f>J65*IF(I65="SSD",'Scope 3 Ratios'!$B$9,'Scope 3 Ratios'!$B$8)</f>
        <v>0</v>
      </c>
      <c r="AH65" s="60">
        <f>IF(K65&lt;&gt;"N/A",K65*'Scope 3 Ratios'!$B$10,0)</f>
        <v>0</v>
      </c>
      <c r="AI65" s="60">
        <f>(VLOOKUP($E65,'AWS Platforms Ratios'!$A$2:$O$25,3,FALSE)-1)*'Scope 3 Ratios'!$B$7</f>
        <v>0</v>
      </c>
      <c r="AJ65" s="60">
        <f>'Scope 3 Ratios'!$B$2+AF65+AG65+AH65+AI65</f>
        <v>1155.3328</v>
      </c>
      <c r="AK65" s="60">
        <f>AJ65*'Scope 3 Ratios'!$B$4*(C65/D65)</f>
        <v>2.089360532</v>
      </c>
      <c r="AL65" s="61" t="s">
        <v>190</v>
      </c>
    </row>
    <row r="66" ht="15.0" customHeight="1">
      <c r="A66" s="63" t="s">
        <v>193</v>
      </c>
      <c r="B66" s="56" t="s">
        <v>188</v>
      </c>
      <c r="C66" s="63">
        <v>8.0</v>
      </c>
      <c r="D66" s="56">
        <f>VLOOKUP(E66,'AWS Platforms Ratios'!$A$2:$B$25,2,FALSE)</f>
        <v>64</v>
      </c>
      <c r="E66" s="63" t="s">
        <v>189</v>
      </c>
      <c r="F66" s="63">
        <v>16.0</v>
      </c>
      <c r="G66" s="63">
        <v>128.0</v>
      </c>
      <c r="H66" s="64" t="s">
        <v>71</v>
      </c>
      <c r="I66" s="56" t="s">
        <v>72</v>
      </c>
      <c r="J66" s="56">
        <v>0.0</v>
      </c>
      <c r="K66" s="58" t="s">
        <v>73</v>
      </c>
      <c r="L66" s="58" t="s">
        <v>73</v>
      </c>
      <c r="M66" s="58" t="s">
        <v>73</v>
      </c>
      <c r="N66" s="58" t="s">
        <v>73</v>
      </c>
      <c r="O66" s="59">
        <f>($C66/$D66)*VLOOKUP($E66,'AWS Platforms Ratios'!$A$2:$O$25,7,FALSE)</f>
        <v>2.177411576</v>
      </c>
      <c r="P66" s="59">
        <f>($C66/$D66)*VLOOKUP($E66,'AWS Platforms Ratios'!$A$2:$O$25,8,FALSE)</f>
        <v>5.967383441</v>
      </c>
      <c r="Q66" s="59">
        <f>($C66/$D66)*VLOOKUP($E66,'AWS Platforms Ratios'!$A$2:$O$25,9,FALSE)</f>
        <v>14.10494373</v>
      </c>
      <c r="R66" s="59">
        <f>($C66/$D66)*VLOOKUP($E66,'AWS Platforms Ratios'!$A$2:$O$25,10,FALSE)</f>
        <v>19.09771905</v>
      </c>
      <c r="S66" s="59">
        <f>$F66*VLOOKUP($E66,'AWS Platforms Ratios'!$A$2:$O$25,11,FALSE)</f>
        <v>3.2</v>
      </c>
      <c r="T66" s="59">
        <f>$F66*VLOOKUP($E66,'AWS Platforms Ratios'!$A$2:$O$25,12,FALSE)</f>
        <v>4.8</v>
      </c>
      <c r="U66" s="59">
        <f>$F66*VLOOKUP($E66,'AWS Platforms Ratios'!$A$2:$O$25,13,FALSE)</f>
        <v>6.4</v>
      </c>
      <c r="V66" s="59">
        <f>$F66*VLOOKUP($E66,'AWS Platforms Ratios'!$A$2:$O$25,14,FALSE)</f>
        <v>9.6</v>
      </c>
      <c r="W66" s="60">
        <f>IF($K66&lt;&gt;"N/A",$M66*(VLOOKUP($L66,'GPU Specs &amp; Ratios'!$B$2:$I$8,5,FALSE)),0)</f>
        <v>0</v>
      </c>
      <c r="X66" s="60">
        <f>IF($K66&lt;&gt;"N/A",$M66*(VLOOKUP($L66,'GPU Specs &amp; Ratios'!$B$2:$I$8,6,FALSE)),0)</f>
        <v>0</v>
      </c>
      <c r="Y66" s="60">
        <f>IF($K66&lt;&gt;"N/A",$M66*(VLOOKUP($L66,'GPU Specs &amp; Ratios'!$B$2:$I$8,7,FALSE)),0)</f>
        <v>0</v>
      </c>
      <c r="Z66" s="60">
        <f>IF($K66&lt;&gt;"N/A",$M66*(VLOOKUP($L66,'GPU Specs &amp; Ratios'!$B$2:$I$8,8,FALSE)),0)</f>
        <v>0</v>
      </c>
      <c r="AA66" s="60">
        <f>(C66/D66)*VLOOKUP($E66,'AWS Platforms Ratios'!$A$2:$O$25,15,FALSE)</f>
        <v>3.75</v>
      </c>
      <c r="AB66" s="60">
        <f t="shared" ref="AB66:AE66" si="65">O66+S66+W66+$AA66</f>
        <v>9.127411576</v>
      </c>
      <c r="AC66" s="60">
        <f t="shared" si="65"/>
        <v>14.51738344</v>
      </c>
      <c r="AD66" s="60">
        <f t="shared" si="65"/>
        <v>24.25494373</v>
      </c>
      <c r="AE66" s="60">
        <f t="shared" si="65"/>
        <v>32.44771905</v>
      </c>
      <c r="AF66" s="60">
        <f>IF(G66&gt;'Scope 3 Ratios'!$B$5,(G66-'Scope 3 Ratios'!$B$5)*('Scope 3 Ratios'!$B$6/'Scope 3 Ratios'!$B$5),0)</f>
        <v>155.3328</v>
      </c>
      <c r="AG66" s="60">
        <f>J66*IF(I66="SSD",'Scope 3 Ratios'!$B$9,'Scope 3 Ratios'!$B$8)</f>
        <v>0</v>
      </c>
      <c r="AH66" s="60">
        <f>IF(K66&lt;&gt;"N/A",K66*'Scope 3 Ratios'!$B$10,0)</f>
        <v>0</v>
      </c>
      <c r="AI66" s="60">
        <f>(VLOOKUP($E66,'AWS Platforms Ratios'!$A$2:$O$25,3,FALSE)-1)*'Scope 3 Ratios'!$B$7</f>
        <v>0</v>
      </c>
      <c r="AJ66" s="60">
        <f>'Scope 3 Ratios'!$B$2+AF66+AG66+AH66+AI66</f>
        <v>1155.3328</v>
      </c>
      <c r="AK66" s="60">
        <f>AJ66*'Scope 3 Ratios'!$B$4*(C66/D66)</f>
        <v>4.178721065</v>
      </c>
      <c r="AL66" s="61" t="s">
        <v>190</v>
      </c>
    </row>
    <row r="67" ht="15.0" customHeight="1">
      <c r="A67" s="63" t="s">
        <v>194</v>
      </c>
      <c r="B67" s="56" t="s">
        <v>188</v>
      </c>
      <c r="C67" s="63">
        <v>16.0</v>
      </c>
      <c r="D67" s="56">
        <f>VLOOKUP(E67,'AWS Platforms Ratios'!$A$2:$B$25,2,FALSE)</f>
        <v>64</v>
      </c>
      <c r="E67" s="63" t="s">
        <v>189</v>
      </c>
      <c r="F67" s="63">
        <v>32.0</v>
      </c>
      <c r="G67" s="63">
        <v>128.0</v>
      </c>
      <c r="H67" s="64" t="s">
        <v>71</v>
      </c>
      <c r="I67" s="56" t="s">
        <v>72</v>
      </c>
      <c r="J67" s="56">
        <v>0.0</v>
      </c>
      <c r="K67" s="58" t="s">
        <v>73</v>
      </c>
      <c r="L67" s="58" t="s">
        <v>73</v>
      </c>
      <c r="M67" s="58" t="s">
        <v>73</v>
      </c>
      <c r="N67" s="58" t="s">
        <v>73</v>
      </c>
      <c r="O67" s="59">
        <f>($C67/$D67)*VLOOKUP($E67,'AWS Platforms Ratios'!$A$2:$O$25,7,FALSE)</f>
        <v>4.354823151</v>
      </c>
      <c r="P67" s="59">
        <f>($C67/$D67)*VLOOKUP($E67,'AWS Platforms Ratios'!$A$2:$O$25,8,FALSE)</f>
        <v>11.93476688</v>
      </c>
      <c r="Q67" s="59">
        <f>($C67/$D67)*VLOOKUP($E67,'AWS Platforms Ratios'!$A$2:$O$25,9,FALSE)</f>
        <v>28.20988746</v>
      </c>
      <c r="R67" s="59">
        <f>($C67/$D67)*VLOOKUP($E67,'AWS Platforms Ratios'!$A$2:$O$25,10,FALSE)</f>
        <v>38.1954381</v>
      </c>
      <c r="S67" s="59">
        <f>$F67*VLOOKUP($E67,'AWS Platforms Ratios'!$A$2:$O$25,11,FALSE)</f>
        <v>6.4</v>
      </c>
      <c r="T67" s="59">
        <f>$F67*VLOOKUP($E67,'AWS Platforms Ratios'!$A$2:$O$25,12,FALSE)</f>
        <v>9.6</v>
      </c>
      <c r="U67" s="59">
        <f>$F67*VLOOKUP($E67,'AWS Platforms Ratios'!$A$2:$O$25,13,FALSE)</f>
        <v>12.8</v>
      </c>
      <c r="V67" s="59">
        <f>$F67*VLOOKUP($E67,'AWS Platforms Ratios'!$A$2:$O$25,14,FALSE)</f>
        <v>19.2</v>
      </c>
      <c r="W67" s="60">
        <f>IF($K67&lt;&gt;"N/A",$M67*(VLOOKUP($L67,'GPU Specs &amp; Ratios'!$B$2:$I$8,5,FALSE)),0)</f>
        <v>0</v>
      </c>
      <c r="X67" s="60">
        <f>IF($K67&lt;&gt;"N/A",$M67*(VLOOKUP($L67,'GPU Specs &amp; Ratios'!$B$2:$I$8,6,FALSE)),0)</f>
        <v>0</v>
      </c>
      <c r="Y67" s="60">
        <f>IF($K67&lt;&gt;"N/A",$M67*(VLOOKUP($L67,'GPU Specs &amp; Ratios'!$B$2:$I$8,7,FALSE)),0)</f>
        <v>0</v>
      </c>
      <c r="Z67" s="60">
        <f>IF($K67&lt;&gt;"N/A",$M67*(VLOOKUP($L67,'GPU Specs &amp; Ratios'!$B$2:$I$8,8,FALSE)),0)</f>
        <v>0</v>
      </c>
      <c r="AA67" s="60">
        <f>(C67/D67)*VLOOKUP($E67,'AWS Platforms Ratios'!$A$2:$O$25,15,FALSE)</f>
        <v>7.5</v>
      </c>
      <c r="AB67" s="60">
        <f t="shared" ref="AB67:AE67" si="66">O67+S67+W67+$AA67</f>
        <v>18.25482315</v>
      </c>
      <c r="AC67" s="60">
        <f t="shared" si="66"/>
        <v>29.03476688</v>
      </c>
      <c r="AD67" s="60">
        <f t="shared" si="66"/>
        <v>48.50988746</v>
      </c>
      <c r="AE67" s="60">
        <f t="shared" si="66"/>
        <v>64.8954381</v>
      </c>
      <c r="AF67" s="60">
        <f>IF(G67&gt;'Scope 3 Ratios'!$B$5,(G67-'Scope 3 Ratios'!$B$5)*('Scope 3 Ratios'!$B$6/'Scope 3 Ratios'!$B$5),0)</f>
        <v>155.3328</v>
      </c>
      <c r="AG67" s="60">
        <f>J67*IF(I67="SSD",'Scope 3 Ratios'!$B$9,'Scope 3 Ratios'!$B$8)</f>
        <v>0</v>
      </c>
      <c r="AH67" s="60">
        <f>IF(K67&lt;&gt;"N/A",K67*'Scope 3 Ratios'!$B$10,0)</f>
        <v>0</v>
      </c>
      <c r="AI67" s="60">
        <f>(VLOOKUP($E67,'AWS Platforms Ratios'!$A$2:$O$25,3,FALSE)-1)*'Scope 3 Ratios'!$B$7</f>
        <v>0</v>
      </c>
      <c r="AJ67" s="60">
        <f>'Scope 3 Ratios'!$B$2+AF67+AG67+AH67+AI67</f>
        <v>1155.3328</v>
      </c>
      <c r="AK67" s="60">
        <f>AJ67*'Scope 3 Ratios'!$B$4*(C67/D67)</f>
        <v>8.35744213</v>
      </c>
      <c r="AL67" s="61" t="s">
        <v>190</v>
      </c>
    </row>
    <row r="68" ht="15.0" customHeight="1">
      <c r="A68" s="63" t="s">
        <v>195</v>
      </c>
      <c r="B68" s="56" t="s">
        <v>188</v>
      </c>
      <c r="C68" s="63">
        <v>32.0</v>
      </c>
      <c r="D68" s="56">
        <f>VLOOKUP(E68,'AWS Platforms Ratios'!$A$2:$B$25,2,FALSE)</f>
        <v>64</v>
      </c>
      <c r="E68" s="63" t="s">
        <v>189</v>
      </c>
      <c r="F68" s="63">
        <v>64.0</v>
      </c>
      <c r="G68" s="63">
        <v>128.0</v>
      </c>
      <c r="H68" s="64" t="s">
        <v>71</v>
      </c>
      <c r="I68" s="56" t="s">
        <v>72</v>
      </c>
      <c r="J68" s="56">
        <v>0.0</v>
      </c>
      <c r="K68" s="58" t="s">
        <v>73</v>
      </c>
      <c r="L68" s="58" t="s">
        <v>73</v>
      </c>
      <c r="M68" s="58" t="s">
        <v>73</v>
      </c>
      <c r="N68" s="58" t="s">
        <v>73</v>
      </c>
      <c r="O68" s="59">
        <f>($C68/$D68)*VLOOKUP($E68,'AWS Platforms Ratios'!$A$2:$O$25,7,FALSE)</f>
        <v>8.709646302</v>
      </c>
      <c r="P68" s="59">
        <f>($C68/$D68)*VLOOKUP($E68,'AWS Platforms Ratios'!$A$2:$O$25,8,FALSE)</f>
        <v>23.86953376</v>
      </c>
      <c r="Q68" s="59">
        <f>($C68/$D68)*VLOOKUP($E68,'AWS Platforms Ratios'!$A$2:$O$25,9,FALSE)</f>
        <v>56.41977492</v>
      </c>
      <c r="R68" s="59">
        <f>($C68/$D68)*VLOOKUP($E68,'AWS Platforms Ratios'!$A$2:$O$25,10,FALSE)</f>
        <v>76.39087621</v>
      </c>
      <c r="S68" s="59">
        <f>$F68*VLOOKUP($E68,'AWS Platforms Ratios'!$A$2:$O$25,11,FALSE)</f>
        <v>12.8</v>
      </c>
      <c r="T68" s="59">
        <f>$F68*VLOOKUP($E68,'AWS Platforms Ratios'!$A$2:$O$25,12,FALSE)</f>
        <v>19.2</v>
      </c>
      <c r="U68" s="59">
        <f>$F68*VLOOKUP($E68,'AWS Platforms Ratios'!$A$2:$O$25,13,FALSE)</f>
        <v>25.6</v>
      </c>
      <c r="V68" s="59">
        <f>$F68*VLOOKUP($E68,'AWS Platforms Ratios'!$A$2:$O$25,14,FALSE)</f>
        <v>38.4</v>
      </c>
      <c r="W68" s="60">
        <f>IF($K68&lt;&gt;"N/A",$M68*(VLOOKUP($L68,'GPU Specs &amp; Ratios'!$B$2:$I$8,5,FALSE)),0)</f>
        <v>0</v>
      </c>
      <c r="X68" s="60">
        <f>IF($K68&lt;&gt;"N/A",$M68*(VLOOKUP($L68,'GPU Specs &amp; Ratios'!$B$2:$I$8,6,FALSE)),0)</f>
        <v>0</v>
      </c>
      <c r="Y68" s="60">
        <f>IF($K68&lt;&gt;"N/A",$M68*(VLOOKUP($L68,'GPU Specs &amp; Ratios'!$B$2:$I$8,7,FALSE)),0)</f>
        <v>0</v>
      </c>
      <c r="Z68" s="60">
        <f>IF($K68&lt;&gt;"N/A",$M68*(VLOOKUP($L68,'GPU Specs &amp; Ratios'!$B$2:$I$8,8,FALSE)),0)</f>
        <v>0</v>
      </c>
      <c r="AA68" s="60">
        <f>(C68/D68)*VLOOKUP($E68,'AWS Platforms Ratios'!$A$2:$O$25,15,FALSE)</f>
        <v>15</v>
      </c>
      <c r="AB68" s="60">
        <f t="shared" ref="AB68:AE68" si="67">O68+S68+W68+$AA68</f>
        <v>36.5096463</v>
      </c>
      <c r="AC68" s="60">
        <f t="shared" si="67"/>
        <v>58.06953376</v>
      </c>
      <c r="AD68" s="60">
        <f t="shared" si="67"/>
        <v>97.01977492</v>
      </c>
      <c r="AE68" s="60">
        <f t="shared" si="67"/>
        <v>129.7908762</v>
      </c>
      <c r="AF68" s="60">
        <f>IF(G68&gt;'Scope 3 Ratios'!$B$5,(G68-'Scope 3 Ratios'!$B$5)*('Scope 3 Ratios'!$B$6/'Scope 3 Ratios'!$B$5),0)</f>
        <v>155.3328</v>
      </c>
      <c r="AG68" s="60">
        <f>J68*IF(I68="SSD",'Scope 3 Ratios'!$B$9,'Scope 3 Ratios'!$B$8)</f>
        <v>0</v>
      </c>
      <c r="AH68" s="60">
        <f>IF(K68&lt;&gt;"N/A",K68*'Scope 3 Ratios'!$B$10,0)</f>
        <v>0</v>
      </c>
      <c r="AI68" s="60">
        <f>(VLOOKUP($E68,'AWS Platforms Ratios'!$A$2:$O$25,3,FALSE)-1)*'Scope 3 Ratios'!$B$7</f>
        <v>0</v>
      </c>
      <c r="AJ68" s="60">
        <f>'Scope 3 Ratios'!$B$2+AF68+AG68+AH68+AI68</f>
        <v>1155.3328</v>
      </c>
      <c r="AK68" s="60">
        <f>AJ68*'Scope 3 Ratios'!$B$4*(C68/D68)</f>
        <v>16.71488426</v>
      </c>
      <c r="AL68" s="61" t="s">
        <v>190</v>
      </c>
    </row>
    <row r="69" ht="15.0" customHeight="1">
      <c r="A69" s="63" t="s">
        <v>196</v>
      </c>
      <c r="B69" s="56" t="s">
        <v>188</v>
      </c>
      <c r="C69" s="63">
        <v>48.0</v>
      </c>
      <c r="D69" s="56">
        <f>VLOOKUP(E69,'AWS Platforms Ratios'!$A$2:$B$25,2,FALSE)</f>
        <v>64</v>
      </c>
      <c r="E69" s="63" t="s">
        <v>189</v>
      </c>
      <c r="F69" s="63">
        <v>96.0</v>
      </c>
      <c r="G69" s="63">
        <v>128.0</v>
      </c>
      <c r="H69" s="64" t="s">
        <v>71</v>
      </c>
      <c r="I69" s="56" t="s">
        <v>72</v>
      </c>
      <c r="J69" s="56">
        <v>0.0</v>
      </c>
      <c r="K69" s="58" t="s">
        <v>73</v>
      </c>
      <c r="L69" s="58" t="s">
        <v>73</v>
      </c>
      <c r="M69" s="58" t="s">
        <v>73</v>
      </c>
      <c r="N69" s="58" t="s">
        <v>73</v>
      </c>
      <c r="O69" s="59">
        <f>($C69/$D69)*VLOOKUP($E69,'AWS Platforms Ratios'!$A$2:$O$25,7,FALSE)</f>
        <v>13.06446945</v>
      </c>
      <c r="P69" s="59">
        <f>($C69/$D69)*VLOOKUP($E69,'AWS Platforms Ratios'!$A$2:$O$25,8,FALSE)</f>
        <v>35.80430064</v>
      </c>
      <c r="Q69" s="59">
        <f>($C69/$D69)*VLOOKUP($E69,'AWS Platforms Ratios'!$A$2:$O$25,9,FALSE)</f>
        <v>84.62966238</v>
      </c>
      <c r="R69" s="59">
        <f>($C69/$D69)*VLOOKUP($E69,'AWS Platforms Ratios'!$A$2:$O$25,10,FALSE)</f>
        <v>114.5863143</v>
      </c>
      <c r="S69" s="59">
        <f>$F69*VLOOKUP($E69,'AWS Platforms Ratios'!$A$2:$O$25,11,FALSE)</f>
        <v>19.2</v>
      </c>
      <c r="T69" s="59">
        <f>$F69*VLOOKUP($E69,'AWS Platforms Ratios'!$A$2:$O$25,12,FALSE)</f>
        <v>28.8</v>
      </c>
      <c r="U69" s="59">
        <f>$F69*VLOOKUP($E69,'AWS Platforms Ratios'!$A$2:$O$25,13,FALSE)</f>
        <v>38.4</v>
      </c>
      <c r="V69" s="59">
        <f>$F69*VLOOKUP($E69,'AWS Platforms Ratios'!$A$2:$O$25,14,FALSE)</f>
        <v>57.6</v>
      </c>
      <c r="W69" s="60">
        <f>IF($K69&lt;&gt;"N/A",$M69*(VLOOKUP($L69,'GPU Specs &amp; Ratios'!$B$2:$I$8,5,FALSE)),0)</f>
        <v>0</v>
      </c>
      <c r="X69" s="60">
        <f>IF($K69&lt;&gt;"N/A",$M69*(VLOOKUP($L69,'GPU Specs &amp; Ratios'!$B$2:$I$8,6,FALSE)),0)</f>
        <v>0</v>
      </c>
      <c r="Y69" s="60">
        <f>IF($K69&lt;&gt;"N/A",$M69*(VLOOKUP($L69,'GPU Specs &amp; Ratios'!$B$2:$I$8,7,FALSE)),0)</f>
        <v>0</v>
      </c>
      <c r="Z69" s="60">
        <f>IF($K69&lt;&gt;"N/A",$M69*(VLOOKUP($L69,'GPU Specs &amp; Ratios'!$B$2:$I$8,8,FALSE)),0)</f>
        <v>0</v>
      </c>
      <c r="AA69" s="60">
        <f>(C69/D69)*VLOOKUP($E69,'AWS Platforms Ratios'!$A$2:$O$25,15,FALSE)</f>
        <v>22.5</v>
      </c>
      <c r="AB69" s="60">
        <f t="shared" ref="AB69:AE69" si="68">O69+S69+W69+$AA69</f>
        <v>54.76446945</v>
      </c>
      <c r="AC69" s="60">
        <f t="shared" si="68"/>
        <v>87.10430064</v>
      </c>
      <c r="AD69" s="60">
        <f t="shared" si="68"/>
        <v>145.5296624</v>
      </c>
      <c r="AE69" s="60">
        <f t="shared" si="68"/>
        <v>194.6863143</v>
      </c>
      <c r="AF69" s="60">
        <f>IF(G69&gt;'Scope 3 Ratios'!$B$5,(G69-'Scope 3 Ratios'!$B$5)*('Scope 3 Ratios'!$B$6/'Scope 3 Ratios'!$B$5),0)</f>
        <v>155.3328</v>
      </c>
      <c r="AG69" s="60">
        <f>J69*IF(I69="SSD",'Scope 3 Ratios'!$B$9,'Scope 3 Ratios'!$B$8)</f>
        <v>0</v>
      </c>
      <c r="AH69" s="60">
        <f>IF(K69&lt;&gt;"N/A",K69*'Scope 3 Ratios'!$B$10,0)</f>
        <v>0</v>
      </c>
      <c r="AI69" s="60">
        <f>(VLOOKUP($E69,'AWS Platforms Ratios'!$A$2:$O$25,3,FALSE)-1)*'Scope 3 Ratios'!$B$7</f>
        <v>0</v>
      </c>
      <c r="AJ69" s="60">
        <f>'Scope 3 Ratios'!$B$2+AF69+AG69+AH69+AI69</f>
        <v>1155.3328</v>
      </c>
      <c r="AK69" s="60">
        <f>AJ69*'Scope 3 Ratios'!$B$4*(C69/D69)</f>
        <v>25.07232639</v>
      </c>
      <c r="AL69" s="61" t="s">
        <v>190</v>
      </c>
    </row>
    <row r="70" ht="15.0" customHeight="1">
      <c r="A70" s="63" t="s">
        <v>197</v>
      </c>
      <c r="B70" s="56" t="s">
        <v>188</v>
      </c>
      <c r="C70" s="63">
        <v>64.0</v>
      </c>
      <c r="D70" s="56">
        <f>VLOOKUP(E70,'AWS Platforms Ratios'!$A$2:$B$25,2,FALSE)</f>
        <v>64</v>
      </c>
      <c r="E70" s="63" t="s">
        <v>189</v>
      </c>
      <c r="F70" s="63">
        <v>128.0</v>
      </c>
      <c r="G70" s="63">
        <v>128.0</v>
      </c>
      <c r="H70" s="64" t="s">
        <v>71</v>
      </c>
      <c r="I70" s="56" t="s">
        <v>72</v>
      </c>
      <c r="J70" s="56">
        <v>0.0</v>
      </c>
      <c r="K70" s="58" t="s">
        <v>73</v>
      </c>
      <c r="L70" s="58" t="s">
        <v>73</v>
      </c>
      <c r="M70" s="58" t="s">
        <v>73</v>
      </c>
      <c r="N70" s="58" t="s">
        <v>73</v>
      </c>
      <c r="O70" s="59">
        <f>($C70/$D70)*VLOOKUP($E70,'AWS Platforms Ratios'!$A$2:$O$25,7,FALSE)</f>
        <v>17.4192926</v>
      </c>
      <c r="P70" s="59">
        <f>($C70/$D70)*VLOOKUP($E70,'AWS Platforms Ratios'!$A$2:$O$25,8,FALSE)</f>
        <v>47.73906752</v>
      </c>
      <c r="Q70" s="59">
        <f>($C70/$D70)*VLOOKUP($E70,'AWS Platforms Ratios'!$A$2:$O$25,9,FALSE)</f>
        <v>112.8395498</v>
      </c>
      <c r="R70" s="59">
        <f>($C70/$D70)*VLOOKUP($E70,'AWS Platforms Ratios'!$A$2:$O$25,10,FALSE)</f>
        <v>152.7817524</v>
      </c>
      <c r="S70" s="59">
        <f>$F70*VLOOKUP($E70,'AWS Platforms Ratios'!$A$2:$O$25,11,FALSE)</f>
        <v>25.6</v>
      </c>
      <c r="T70" s="59">
        <f>$F70*VLOOKUP($E70,'AWS Platforms Ratios'!$A$2:$O$25,12,FALSE)</f>
        <v>38.4</v>
      </c>
      <c r="U70" s="59">
        <f>$F70*VLOOKUP($E70,'AWS Platforms Ratios'!$A$2:$O$25,13,FALSE)</f>
        <v>51.2</v>
      </c>
      <c r="V70" s="59">
        <f>$F70*VLOOKUP($E70,'AWS Platforms Ratios'!$A$2:$O$25,14,FALSE)</f>
        <v>76.8</v>
      </c>
      <c r="W70" s="60">
        <f>IF($K70&lt;&gt;"N/A",$M70*(VLOOKUP($L70,'GPU Specs &amp; Ratios'!$B$2:$I$8,5,FALSE)),0)</f>
        <v>0</v>
      </c>
      <c r="X70" s="60">
        <f>IF($K70&lt;&gt;"N/A",$M70*(VLOOKUP($L70,'GPU Specs &amp; Ratios'!$B$2:$I$8,6,FALSE)),0)</f>
        <v>0</v>
      </c>
      <c r="Y70" s="60">
        <f>IF($K70&lt;&gt;"N/A",$M70*(VLOOKUP($L70,'GPU Specs &amp; Ratios'!$B$2:$I$8,7,FALSE)),0)</f>
        <v>0</v>
      </c>
      <c r="Z70" s="60">
        <f>IF($K70&lt;&gt;"N/A",$M70*(VLOOKUP($L70,'GPU Specs &amp; Ratios'!$B$2:$I$8,8,FALSE)),0)</f>
        <v>0</v>
      </c>
      <c r="AA70" s="60">
        <f>(C70/D70)*VLOOKUP($E70,'AWS Platforms Ratios'!$A$2:$O$25,15,FALSE)</f>
        <v>30</v>
      </c>
      <c r="AB70" s="60">
        <f t="shared" ref="AB70:AE70" si="69">O70+S70+W70+$AA70</f>
        <v>73.0192926</v>
      </c>
      <c r="AC70" s="60">
        <f t="shared" si="69"/>
        <v>116.1390675</v>
      </c>
      <c r="AD70" s="60">
        <f t="shared" si="69"/>
        <v>194.0395498</v>
      </c>
      <c r="AE70" s="60">
        <f t="shared" si="69"/>
        <v>259.5817524</v>
      </c>
      <c r="AF70" s="60">
        <f>IF(G70&gt;'Scope 3 Ratios'!$B$5,(G70-'Scope 3 Ratios'!$B$5)*('Scope 3 Ratios'!$B$6/'Scope 3 Ratios'!$B$5),0)</f>
        <v>155.3328</v>
      </c>
      <c r="AG70" s="60">
        <f>J70*IF(I70="SSD",'Scope 3 Ratios'!$B$9,'Scope 3 Ratios'!$B$8)</f>
        <v>0</v>
      </c>
      <c r="AH70" s="60">
        <f>IF(K70&lt;&gt;"N/A",K70*'Scope 3 Ratios'!$B$10,0)</f>
        <v>0</v>
      </c>
      <c r="AI70" s="60">
        <f>(VLOOKUP($E70,'AWS Platforms Ratios'!$A$2:$O$25,3,FALSE)-1)*'Scope 3 Ratios'!$B$7</f>
        <v>0</v>
      </c>
      <c r="AJ70" s="60">
        <f>'Scope 3 Ratios'!$B$2+AF70+AG70+AH70+AI70</f>
        <v>1155.3328</v>
      </c>
      <c r="AK70" s="60">
        <f>AJ70*'Scope 3 Ratios'!$B$4*(C70/D70)</f>
        <v>33.42976852</v>
      </c>
      <c r="AL70" s="61" t="s">
        <v>190</v>
      </c>
    </row>
    <row r="71" ht="15.0" customHeight="1">
      <c r="A71" s="63" t="s">
        <v>198</v>
      </c>
      <c r="B71" s="56" t="s">
        <v>188</v>
      </c>
      <c r="C71" s="63">
        <v>64.0</v>
      </c>
      <c r="D71" s="56">
        <f>VLOOKUP(E71,'AWS Platforms Ratios'!$A$2:$B$25,2,FALSE)</f>
        <v>64</v>
      </c>
      <c r="E71" s="63" t="s">
        <v>189</v>
      </c>
      <c r="F71" s="63">
        <v>128.0</v>
      </c>
      <c r="G71" s="63">
        <v>128.0</v>
      </c>
      <c r="H71" s="64" t="s">
        <v>71</v>
      </c>
      <c r="I71" s="56" t="s">
        <v>72</v>
      </c>
      <c r="J71" s="56">
        <v>0.0</v>
      </c>
      <c r="K71" s="58" t="s">
        <v>73</v>
      </c>
      <c r="L71" s="58" t="s">
        <v>73</v>
      </c>
      <c r="M71" s="58" t="s">
        <v>73</v>
      </c>
      <c r="N71" s="58" t="s">
        <v>73</v>
      </c>
      <c r="O71" s="59">
        <f>($C71/$D71)*VLOOKUP($E71,'AWS Platforms Ratios'!$A$2:$O$25,7,FALSE)</f>
        <v>17.4192926</v>
      </c>
      <c r="P71" s="59">
        <f>($C71/$D71)*VLOOKUP($E71,'AWS Platforms Ratios'!$A$2:$O$25,8,FALSE)</f>
        <v>47.73906752</v>
      </c>
      <c r="Q71" s="59">
        <f>($C71/$D71)*VLOOKUP($E71,'AWS Platforms Ratios'!$A$2:$O$25,9,FALSE)</f>
        <v>112.8395498</v>
      </c>
      <c r="R71" s="59">
        <f>($C71/$D71)*VLOOKUP($E71,'AWS Platforms Ratios'!$A$2:$O$25,10,FALSE)</f>
        <v>152.7817524</v>
      </c>
      <c r="S71" s="59">
        <f>$F71*VLOOKUP($E71,'AWS Platforms Ratios'!$A$2:$O$25,11,FALSE)</f>
        <v>25.6</v>
      </c>
      <c r="T71" s="59">
        <f>$F71*VLOOKUP($E71,'AWS Platforms Ratios'!$A$2:$O$25,12,FALSE)</f>
        <v>38.4</v>
      </c>
      <c r="U71" s="59">
        <f>$F71*VLOOKUP($E71,'AWS Platforms Ratios'!$A$2:$O$25,13,FALSE)</f>
        <v>51.2</v>
      </c>
      <c r="V71" s="59">
        <f>$F71*VLOOKUP($E71,'AWS Platforms Ratios'!$A$2:$O$25,14,FALSE)</f>
        <v>76.8</v>
      </c>
      <c r="W71" s="60">
        <f>IF($K71&lt;&gt;"N/A",$M71*(VLOOKUP($L71,'GPU Specs &amp; Ratios'!$B$2:$I$8,5,FALSE)),0)</f>
        <v>0</v>
      </c>
      <c r="X71" s="60">
        <f>IF($K71&lt;&gt;"N/A",$M71*(VLOOKUP($L71,'GPU Specs &amp; Ratios'!$B$2:$I$8,6,FALSE)),0)</f>
        <v>0</v>
      </c>
      <c r="Y71" s="60">
        <f>IF($K71&lt;&gt;"N/A",$M71*(VLOOKUP($L71,'GPU Specs &amp; Ratios'!$B$2:$I$8,7,FALSE)),0)</f>
        <v>0</v>
      </c>
      <c r="Z71" s="60">
        <f>IF($K71&lt;&gt;"N/A",$M71*(VLOOKUP($L71,'GPU Specs &amp; Ratios'!$B$2:$I$8,8,FALSE)),0)</f>
        <v>0</v>
      </c>
      <c r="AA71" s="60">
        <f>(C71/D71)*VLOOKUP($E71,'AWS Platforms Ratios'!$A$2:$O$25,15,FALSE)</f>
        <v>30</v>
      </c>
      <c r="AB71" s="60">
        <f t="shared" ref="AB71:AE71" si="70">O71+S71+W71+$AA71</f>
        <v>73.0192926</v>
      </c>
      <c r="AC71" s="60">
        <f t="shared" si="70"/>
        <v>116.1390675</v>
      </c>
      <c r="AD71" s="60">
        <f t="shared" si="70"/>
        <v>194.0395498</v>
      </c>
      <c r="AE71" s="60">
        <f t="shared" si="70"/>
        <v>259.5817524</v>
      </c>
      <c r="AF71" s="60">
        <f>IF(G71&gt;'Scope 3 Ratios'!$B$5,(G71-'Scope 3 Ratios'!$B$5)*('Scope 3 Ratios'!$B$6/'Scope 3 Ratios'!$B$5),0)</f>
        <v>155.3328</v>
      </c>
      <c r="AG71" s="60">
        <f>J71*IF(I71="SSD",'Scope 3 Ratios'!$B$9,'Scope 3 Ratios'!$B$8)</f>
        <v>0</v>
      </c>
      <c r="AH71" s="60">
        <f>IF(K71&lt;&gt;"N/A",K71*'Scope 3 Ratios'!$B$10,0)</f>
        <v>0</v>
      </c>
      <c r="AI71" s="60">
        <f>(VLOOKUP($E71,'AWS Platforms Ratios'!$A$2:$O$25,3,FALSE)-1)*'Scope 3 Ratios'!$B$7</f>
        <v>0</v>
      </c>
      <c r="AJ71" s="60">
        <f>'Scope 3 Ratios'!$B$2+AF71+AG71+AH71+AI71</f>
        <v>1155.3328</v>
      </c>
      <c r="AK71" s="60">
        <f>AJ71*'Scope 3 Ratios'!$B$4*(C71/D71)</f>
        <v>33.42976852</v>
      </c>
      <c r="AL71" s="61" t="s">
        <v>190</v>
      </c>
    </row>
    <row r="72" ht="15.0" customHeight="1">
      <c r="A72" s="63" t="s">
        <v>199</v>
      </c>
      <c r="B72" s="56" t="s">
        <v>188</v>
      </c>
      <c r="C72" s="63">
        <v>1.0</v>
      </c>
      <c r="D72" s="56">
        <f>VLOOKUP(E72,'AWS Platforms Ratios'!$A$2:$B$25,2,FALSE)</f>
        <v>64</v>
      </c>
      <c r="E72" s="63" t="s">
        <v>189</v>
      </c>
      <c r="F72" s="63">
        <v>2.0</v>
      </c>
      <c r="G72" s="63">
        <v>128.0</v>
      </c>
      <c r="H72" s="64" t="s">
        <v>200</v>
      </c>
      <c r="I72" s="63" t="s">
        <v>85</v>
      </c>
      <c r="J72" s="63">
        <v>2.0</v>
      </c>
      <c r="K72" s="58" t="s">
        <v>73</v>
      </c>
      <c r="L72" s="58" t="s">
        <v>73</v>
      </c>
      <c r="M72" s="58" t="s">
        <v>73</v>
      </c>
      <c r="N72" s="58" t="s">
        <v>73</v>
      </c>
      <c r="O72" s="59">
        <f>($C72/$D72)*VLOOKUP($E72,'AWS Platforms Ratios'!$A$2:$O$25,7,FALSE)</f>
        <v>0.2721764469</v>
      </c>
      <c r="P72" s="59">
        <f>($C72/$D72)*VLOOKUP($E72,'AWS Platforms Ratios'!$A$2:$O$25,8,FALSE)</f>
        <v>0.7459229301</v>
      </c>
      <c r="Q72" s="59">
        <f>($C72/$D72)*VLOOKUP($E72,'AWS Platforms Ratios'!$A$2:$O$25,9,FALSE)</f>
        <v>1.763117966</v>
      </c>
      <c r="R72" s="59">
        <f>($C72/$D72)*VLOOKUP($E72,'AWS Platforms Ratios'!$A$2:$O$25,10,FALSE)</f>
        <v>2.387214881</v>
      </c>
      <c r="S72" s="59">
        <f>$F72*VLOOKUP($E72,'AWS Platforms Ratios'!$A$2:$O$25,11,FALSE)</f>
        <v>0.4</v>
      </c>
      <c r="T72" s="59">
        <f>$F72*VLOOKUP($E72,'AWS Platforms Ratios'!$A$2:$O$25,12,FALSE)</f>
        <v>0.6</v>
      </c>
      <c r="U72" s="59">
        <f>$F72*VLOOKUP($E72,'AWS Platforms Ratios'!$A$2:$O$25,13,FALSE)</f>
        <v>0.8</v>
      </c>
      <c r="V72" s="59">
        <f>$F72*VLOOKUP($E72,'AWS Platforms Ratios'!$A$2:$O$25,14,FALSE)</f>
        <v>1.2</v>
      </c>
      <c r="W72" s="60">
        <f>IF($K72&lt;&gt;"N/A",$M72*(VLOOKUP($L72,'GPU Specs &amp; Ratios'!$B$2:$I$8,5,FALSE)),0)</f>
        <v>0</v>
      </c>
      <c r="X72" s="60">
        <f>IF($K72&lt;&gt;"N/A",$M72*(VLOOKUP($L72,'GPU Specs &amp; Ratios'!$B$2:$I$8,6,FALSE)),0)</f>
        <v>0</v>
      </c>
      <c r="Y72" s="60">
        <f>IF($K72&lt;&gt;"N/A",$M72*(VLOOKUP($L72,'GPU Specs &amp; Ratios'!$B$2:$I$8,7,FALSE)),0)</f>
        <v>0</v>
      </c>
      <c r="Z72" s="60">
        <f>IF($K72&lt;&gt;"N/A",$M72*(VLOOKUP($L72,'GPU Specs &amp; Ratios'!$B$2:$I$8,8,FALSE)),0)</f>
        <v>0</v>
      </c>
      <c r="AA72" s="60">
        <f>(C72/D72)*VLOOKUP($E72,'AWS Platforms Ratios'!$A$2:$O$25,15,FALSE)</f>
        <v>0.46875</v>
      </c>
      <c r="AB72" s="60">
        <f t="shared" ref="AB72:AE72" si="71">O72+S72+W72+$AA72</f>
        <v>1.140926447</v>
      </c>
      <c r="AC72" s="60">
        <f t="shared" si="71"/>
        <v>1.81467293</v>
      </c>
      <c r="AD72" s="60">
        <f t="shared" si="71"/>
        <v>3.031867966</v>
      </c>
      <c r="AE72" s="60">
        <f t="shared" si="71"/>
        <v>4.055964881</v>
      </c>
      <c r="AF72" s="60">
        <f>IF(G72&gt;'Scope 3 Ratios'!$B$5,(G72-'Scope 3 Ratios'!$B$5)*('Scope 3 Ratios'!$B$6/'Scope 3 Ratios'!$B$5),0)</f>
        <v>155.3328</v>
      </c>
      <c r="AG72" s="60">
        <f>J72*IF(I72="SSD",'Scope 3 Ratios'!$B$9,'Scope 3 Ratios'!$B$8)</f>
        <v>200</v>
      </c>
      <c r="AH72" s="60">
        <f>IF(K72&lt;&gt;"N/A",K72*'Scope 3 Ratios'!$B$10,0)</f>
        <v>0</v>
      </c>
      <c r="AI72" s="60">
        <f>(VLOOKUP($E72,'AWS Platforms Ratios'!$A$2:$O$25,3,FALSE)-1)*'Scope 3 Ratios'!$B$7</f>
        <v>0</v>
      </c>
      <c r="AJ72" s="60">
        <f>'Scope 3 Ratios'!$B$2+AF72+AG72+AH72+AI72</f>
        <v>1355.3328</v>
      </c>
      <c r="AK72" s="60">
        <f>AJ72*'Scope 3 Ratios'!$B$4*(C72/D72)</f>
        <v>0.6127625868</v>
      </c>
      <c r="AL72" s="61" t="s">
        <v>190</v>
      </c>
    </row>
    <row r="73" ht="15.0" customHeight="1">
      <c r="A73" s="63" t="s">
        <v>201</v>
      </c>
      <c r="B73" s="56" t="s">
        <v>188</v>
      </c>
      <c r="C73" s="63">
        <v>2.0</v>
      </c>
      <c r="D73" s="56">
        <f>VLOOKUP(E73,'AWS Platforms Ratios'!$A$2:$B$25,2,FALSE)</f>
        <v>64</v>
      </c>
      <c r="E73" s="63" t="s">
        <v>189</v>
      </c>
      <c r="F73" s="63">
        <v>4.0</v>
      </c>
      <c r="G73" s="63">
        <v>128.0</v>
      </c>
      <c r="H73" s="64" t="s">
        <v>202</v>
      </c>
      <c r="I73" s="63" t="s">
        <v>85</v>
      </c>
      <c r="J73" s="63">
        <v>2.0</v>
      </c>
      <c r="K73" s="58" t="s">
        <v>73</v>
      </c>
      <c r="L73" s="58" t="s">
        <v>73</v>
      </c>
      <c r="M73" s="58" t="s">
        <v>73</v>
      </c>
      <c r="N73" s="58" t="s">
        <v>73</v>
      </c>
      <c r="O73" s="59">
        <f>($C73/$D73)*VLOOKUP($E73,'AWS Platforms Ratios'!$A$2:$O$25,7,FALSE)</f>
        <v>0.5443528939</v>
      </c>
      <c r="P73" s="59">
        <f>($C73/$D73)*VLOOKUP($E73,'AWS Platforms Ratios'!$A$2:$O$25,8,FALSE)</f>
        <v>1.49184586</v>
      </c>
      <c r="Q73" s="59">
        <f>($C73/$D73)*VLOOKUP($E73,'AWS Platforms Ratios'!$A$2:$O$25,9,FALSE)</f>
        <v>3.526235932</v>
      </c>
      <c r="R73" s="59">
        <f>($C73/$D73)*VLOOKUP($E73,'AWS Platforms Ratios'!$A$2:$O$25,10,FALSE)</f>
        <v>4.774429763</v>
      </c>
      <c r="S73" s="59">
        <f>$F73*VLOOKUP($E73,'AWS Platforms Ratios'!$A$2:$O$25,11,FALSE)</f>
        <v>0.8</v>
      </c>
      <c r="T73" s="59">
        <f>$F73*VLOOKUP($E73,'AWS Platforms Ratios'!$A$2:$O$25,12,FALSE)</f>
        <v>1.2</v>
      </c>
      <c r="U73" s="59">
        <f>$F73*VLOOKUP($E73,'AWS Platforms Ratios'!$A$2:$O$25,13,FALSE)</f>
        <v>1.6</v>
      </c>
      <c r="V73" s="59">
        <f>$F73*VLOOKUP($E73,'AWS Platforms Ratios'!$A$2:$O$25,14,FALSE)</f>
        <v>2.4</v>
      </c>
      <c r="W73" s="60">
        <f>IF($K73&lt;&gt;"N/A",$M73*(VLOOKUP($L73,'GPU Specs &amp; Ratios'!$B$2:$I$8,5,FALSE)),0)</f>
        <v>0</v>
      </c>
      <c r="X73" s="60">
        <f>IF($K73&lt;&gt;"N/A",$M73*(VLOOKUP($L73,'GPU Specs &amp; Ratios'!$B$2:$I$8,6,FALSE)),0)</f>
        <v>0</v>
      </c>
      <c r="Y73" s="60">
        <f>IF($K73&lt;&gt;"N/A",$M73*(VLOOKUP($L73,'GPU Specs &amp; Ratios'!$B$2:$I$8,7,FALSE)),0)</f>
        <v>0</v>
      </c>
      <c r="Z73" s="60">
        <f>IF($K73&lt;&gt;"N/A",$M73*(VLOOKUP($L73,'GPU Specs &amp; Ratios'!$B$2:$I$8,8,FALSE)),0)</f>
        <v>0</v>
      </c>
      <c r="AA73" s="60">
        <f>(C73/D73)*VLOOKUP($E73,'AWS Platforms Ratios'!$A$2:$O$25,15,FALSE)</f>
        <v>0.9375</v>
      </c>
      <c r="AB73" s="60">
        <f t="shared" ref="AB73:AE73" si="72">O73+S73+W73+$AA73</f>
        <v>2.281852894</v>
      </c>
      <c r="AC73" s="60">
        <f t="shared" si="72"/>
        <v>3.62934586</v>
      </c>
      <c r="AD73" s="60">
        <f t="shared" si="72"/>
        <v>6.063735932</v>
      </c>
      <c r="AE73" s="60">
        <f t="shared" si="72"/>
        <v>8.111929763</v>
      </c>
      <c r="AF73" s="60">
        <f>IF(G73&gt;'Scope 3 Ratios'!$B$5,(G73-'Scope 3 Ratios'!$B$5)*('Scope 3 Ratios'!$B$6/'Scope 3 Ratios'!$B$5),0)</f>
        <v>155.3328</v>
      </c>
      <c r="AG73" s="60">
        <f>J73*IF(I73="SSD",'Scope 3 Ratios'!$B$9,'Scope 3 Ratios'!$B$8)</f>
        <v>200</v>
      </c>
      <c r="AH73" s="60">
        <f>IF(K73&lt;&gt;"N/A",K73*'Scope 3 Ratios'!$B$10,0)</f>
        <v>0</v>
      </c>
      <c r="AI73" s="60">
        <f>(VLOOKUP($E73,'AWS Platforms Ratios'!$A$2:$O$25,3,FALSE)-1)*'Scope 3 Ratios'!$B$7</f>
        <v>0</v>
      </c>
      <c r="AJ73" s="60">
        <f>'Scope 3 Ratios'!$B$2+AF73+AG73+AH73+AI73</f>
        <v>1355.3328</v>
      </c>
      <c r="AK73" s="60">
        <f>AJ73*'Scope 3 Ratios'!$B$4*(C73/D73)</f>
        <v>1.225525174</v>
      </c>
      <c r="AL73" s="61" t="s">
        <v>190</v>
      </c>
    </row>
    <row r="74" ht="15.0" customHeight="1">
      <c r="A74" s="63" t="s">
        <v>203</v>
      </c>
      <c r="B74" s="56" t="s">
        <v>188</v>
      </c>
      <c r="C74" s="63">
        <v>4.0</v>
      </c>
      <c r="D74" s="56">
        <f>VLOOKUP(E74,'AWS Platforms Ratios'!$A$2:$B$25,2,FALSE)</f>
        <v>64</v>
      </c>
      <c r="E74" s="63" t="s">
        <v>189</v>
      </c>
      <c r="F74" s="63">
        <v>8.0</v>
      </c>
      <c r="G74" s="63">
        <v>128.0</v>
      </c>
      <c r="H74" s="64" t="s">
        <v>204</v>
      </c>
      <c r="I74" s="63" t="s">
        <v>85</v>
      </c>
      <c r="J74" s="63">
        <v>2.0</v>
      </c>
      <c r="K74" s="58" t="s">
        <v>73</v>
      </c>
      <c r="L74" s="58" t="s">
        <v>73</v>
      </c>
      <c r="M74" s="58" t="s">
        <v>73</v>
      </c>
      <c r="N74" s="58" t="s">
        <v>73</v>
      </c>
      <c r="O74" s="59">
        <f>($C74/$D74)*VLOOKUP($E74,'AWS Platforms Ratios'!$A$2:$O$25,7,FALSE)</f>
        <v>1.088705788</v>
      </c>
      <c r="P74" s="59">
        <f>($C74/$D74)*VLOOKUP($E74,'AWS Platforms Ratios'!$A$2:$O$25,8,FALSE)</f>
        <v>2.98369172</v>
      </c>
      <c r="Q74" s="59">
        <f>($C74/$D74)*VLOOKUP($E74,'AWS Platforms Ratios'!$A$2:$O$25,9,FALSE)</f>
        <v>7.052471865</v>
      </c>
      <c r="R74" s="59">
        <f>($C74/$D74)*VLOOKUP($E74,'AWS Platforms Ratios'!$A$2:$O$25,10,FALSE)</f>
        <v>9.548859526</v>
      </c>
      <c r="S74" s="59">
        <f>$F74*VLOOKUP($E74,'AWS Platforms Ratios'!$A$2:$O$25,11,FALSE)</f>
        <v>1.6</v>
      </c>
      <c r="T74" s="59">
        <f>$F74*VLOOKUP($E74,'AWS Platforms Ratios'!$A$2:$O$25,12,FALSE)</f>
        <v>2.4</v>
      </c>
      <c r="U74" s="59">
        <f>$F74*VLOOKUP($E74,'AWS Platforms Ratios'!$A$2:$O$25,13,FALSE)</f>
        <v>3.2</v>
      </c>
      <c r="V74" s="59">
        <f>$F74*VLOOKUP($E74,'AWS Platforms Ratios'!$A$2:$O$25,14,FALSE)</f>
        <v>4.8</v>
      </c>
      <c r="W74" s="60">
        <f>IF($K74&lt;&gt;"N/A",$M74*(VLOOKUP($L74,'GPU Specs &amp; Ratios'!$B$2:$I$8,5,FALSE)),0)</f>
        <v>0</v>
      </c>
      <c r="X74" s="60">
        <f>IF($K74&lt;&gt;"N/A",$M74*(VLOOKUP($L74,'GPU Specs &amp; Ratios'!$B$2:$I$8,6,FALSE)),0)</f>
        <v>0</v>
      </c>
      <c r="Y74" s="60">
        <f>IF($K74&lt;&gt;"N/A",$M74*(VLOOKUP($L74,'GPU Specs &amp; Ratios'!$B$2:$I$8,7,FALSE)),0)</f>
        <v>0</v>
      </c>
      <c r="Z74" s="60">
        <f>IF($K74&lt;&gt;"N/A",$M74*(VLOOKUP($L74,'GPU Specs &amp; Ratios'!$B$2:$I$8,8,FALSE)),0)</f>
        <v>0</v>
      </c>
      <c r="AA74" s="60">
        <f>(C74/D74)*VLOOKUP($E74,'AWS Platforms Ratios'!$A$2:$O$25,15,FALSE)</f>
        <v>1.875</v>
      </c>
      <c r="AB74" s="60">
        <f t="shared" ref="AB74:AE74" si="73">O74+S74+W74+$AA74</f>
        <v>4.563705788</v>
      </c>
      <c r="AC74" s="60">
        <f t="shared" si="73"/>
        <v>7.25869172</v>
      </c>
      <c r="AD74" s="60">
        <f t="shared" si="73"/>
        <v>12.12747186</v>
      </c>
      <c r="AE74" s="60">
        <f t="shared" si="73"/>
        <v>16.22385953</v>
      </c>
      <c r="AF74" s="60">
        <f>IF(G74&gt;'Scope 3 Ratios'!$B$5,(G74-'Scope 3 Ratios'!$B$5)*('Scope 3 Ratios'!$B$6/'Scope 3 Ratios'!$B$5),0)</f>
        <v>155.3328</v>
      </c>
      <c r="AG74" s="60">
        <f>J74*IF(I74="SSD",'Scope 3 Ratios'!$B$9,'Scope 3 Ratios'!$B$8)</f>
        <v>200</v>
      </c>
      <c r="AH74" s="60">
        <f>IF(K74&lt;&gt;"N/A",K74*'Scope 3 Ratios'!$B$10,0)</f>
        <v>0</v>
      </c>
      <c r="AI74" s="60">
        <f>(VLOOKUP($E74,'AWS Platforms Ratios'!$A$2:$O$25,3,FALSE)-1)*'Scope 3 Ratios'!$B$7</f>
        <v>0</v>
      </c>
      <c r="AJ74" s="60">
        <f>'Scope 3 Ratios'!$B$2+AF74+AG74+AH74+AI74</f>
        <v>1355.3328</v>
      </c>
      <c r="AK74" s="60">
        <f>AJ74*'Scope 3 Ratios'!$B$4*(C74/D74)</f>
        <v>2.451050347</v>
      </c>
      <c r="AL74" s="61" t="s">
        <v>190</v>
      </c>
    </row>
    <row r="75" ht="15.0" customHeight="1">
      <c r="A75" s="63" t="s">
        <v>205</v>
      </c>
      <c r="B75" s="56" t="s">
        <v>188</v>
      </c>
      <c r="C75" s="63">
        <v>8.0</v>
      </c>
      <c r="D75" s="56">
        <f>VLOOKUP(E75,'AWS Platforms Ratios'!$A$2:$B$25,2,FALSE)</f>
        <v>64</v>
      </c>
      <c r="E75" s="63" t="s">
        <v>189</v>
      </c>
      <c r="F75" s="63">
        <v>16.0</v>
      </c>
      <c r="G75" s="63">
        <v>128.0</v>
      </c>
      <c r="H75" s="64" t="s">
        <v>206</v>
      </c>
      <c r="I75" s="63" t="s">
        <v>85</v>
      </c>
      <c r="J75" s="63">
        <v>2.0</v>
      </c>
      <c r="K75" s="58" t="s">
        <v>73</v>
      </c>
      <c r="L75" s="58" t="s">
        <v>73</v>
      </c>
      <c r="M75" s="58" t="s">
        <v>73</v>
      </c>
      <c r="N75" s="58" t="s">
        <v>73</v>
      </c>
      <c r="O75" s="59">
        <f>($C75/$D75)*VLOOKUP($E75,'AWS Platforms Ratios'!$A$2:$O$25,7,FALSE)</f>
        <v>2.177411576</v>
      </c>
      <c r="P75" s="59">
        <f>($C75/$D75)*VLOOKUP($E75,'AWS Platforms Ratios'!$A$2:$O$25,8,FALSE)</f>
        <v>5.967383441</v>
      </c>
      <c r="Q75" s="59">
        <f>($C75/$D75)*VLOOKUP($E75,'AWS Platforms Ratios'!$A$2:$O$25,9,FALSE)</f>
        <v>14.10494373</v>
      </c>
      <c r="R75" s="59">
        <f>($C75/$D75)*VLOOKUP($E75,'AWS Platforms Ratios'!$A$2:$O$25,10,FALSE)</f>
        <v>19.09771905</v>
      </c>
      <c r="S75" s="59">
        <f>$F75*VLOOKUP($E75,'AWS Platforms Ratios'!$A$2:$O$25,11,FALSE)</f>
        <v>3.2</v>
      </c>
      <c r="T75" s="59">
        <f>$F75*VLOOKUP($E75,'AWS Platforms Ratios'!$A$2:$O$25,12,FALSE)</f>
        <v>4.8</v>
      </c>
      <c r="U75" s="59">
        <f>$F75*VLOOKUP($E75,'AWS Platforms Ratios'!$A$2:$O$25,13,FALSE)</f>
        <v>6.4</v>
      </c>
      <c r="V75" s="59">
        <f>$F75*VLOOKUP($E75,'AWS Platforms Ratios'!$A$2:$O$25,14,FALSE)</f>
        <v>9.6</v>
      </c>
      <c r="W75" s="60">
        <f>IF($K75&lt;&gt;"N/A",$M75*(VLOOKUP($L75,'GPU Specs &amp; Ratios'!$B$2:$I$8,5,FALSE)),0)</f>
        <v>0</v>
      </c>
      <c r="X75" s="60">
        <f>IF($K75&lt;&gt;"N/A",$M75*(VLOOKUP($L75,'GPU Specs &amp; Ratios'!$B$2:$I$8,6,FALSE)),0)</f>
        <v>0</v>
      </c>
      <c r="Y75" s="60">
        <f>IF($K75&lt;&gt;"N/A",$M75*(VLOOKUP($L75,'GPU Specs &amp; Ratios'!$B$2:$I$8,7,FALSE)),0)</f>
        <v>0</v>
      </c>
      <c r="Z75" s="60">
        <f>IF($K75&lt;&gt;"N/A",$M75*(VLOOKUP($L75,'GPU Specs &amp; Ratios'!$B$2:$I$8,8,FALSE)),0)</f>
        <v>0</v>
      </c>
      <c r="AA75" s="60">
        <f>(C75/D75)*VLOOKUP($E75,'AWS Platforms Ratios'!$A$2:$O$25,15,FALSE)</f>
        <v>3.75</v>
      </c>
      <c r="AB75" s="60">
        <f t="shared" ref="AB75:AE75" si="74">O75+S75+W75+$AA75</f>
        <v>9.127411576</v>
      </c>
      <c r="AC75" s="60">
        <f t="shared" si="74"/>
        <v>14.51738344</v>
      </c>
      <c r="AD75" s="60">
        <f t="shared" si="74"/>
        <v>24.25494373</v>
      </c>
      <c r="AE75" s="60">
        <f t="shared" si="74"/>
        <v>32.44771905</v>
      </c>
      <c r="AF75" s="60">
        <f>IF(G75&gt;'Scope 3 Ratios'!$B$5,(G75-'Scope 3 Ratios'!$B$5)*('Scope 3 Ratios'!$B$6/'Scope 3 Ratios'!$B$5),0)</f>
        <v>155.3328</v>
      </c>
      <c r="AG75" s="60">
        <f>J75*IF(I75="SSD",'Scope 3 Ratios'!$B$9,'Scope 3 Ratios'!$B$8)</f>
        <v>200</v>
      </c>
      <c r="AH75" s="60">
        <f>IF(K75&lt;&gt;"N/A",K75*'Scope 3 Ratios'!$B$10,0)</f>
        <v>0</v>
      </c>
      <c r="AI75" s="60">
        <f>(VLOOKUP($E75,'AWS Platforms Ratios'!$A$2:$O$25,3,FALSE)-1)*'Scope 3 Ratios'!$B$7</f>
        <v>0</v>
      </c>
      <c r="AJ75" s="60">
        <f>'Scope 3 Ratios'!$B$2+AF75+AG75+AH75+AI75</f>
        <v>1355.3328</v>
      </c>
      <c r="AK75" s="60">
        <f>AJ75*'Scope 3 Ratios'!$B$4*(C75/D75)</f>
        <v>4.902100694</v>
      </c>
      <c r="AL75" s="61" t="s">
        <v>190</v>
      </c>
    </row>
    <row r="76" ht="15.0" customHeight="1">
      <c r="A76" s="63" t="s">
        <v>207</v>
      </c>
      <c r="B76" s="56" t="s">
        <v>188</v>
      </c>
      <c r="C76" s="63">
        <v>16.0</v>
      </c>
      <c r="D76" s="56">
        <f>VLOOKUP(E76,'AWS Platforms Ratios'!$A$2:$B$25,2,FALSE)</f>
        <v>64</v>
      </c>
      <c r="E76" s="63" t="s">
        <v>189</v>
      </c>
      <c r="F76" s="63">
        <v>32.0</v>
      </c>
      <c r="G76" s="63">
        <v>128.0</v>
      </c>
      <c r="H76" s="64" t="s">
        <v>208</v>
      </c>
      <c r="I76" s="63" t="s">
        <v>85</v>
      </c>
      <c r="J76" s="63">
        <v>2.0</v>
      </c>
      <c r="K76" s="58" t="s">
        <v>73</v>
      </c>
      <c r="L76" s="58" t="s">
        <v>73</v>
      </c>
      <c r="M76" s="58" t="s">
        <v>73</v>
      </c>
      <c r="N76" s="58" t="s">
        <v>73</v>
      </c>
      <c r="O76" s="59">
        <f>($C76/$D76)*VLOOKUP($E76,'AWS Platforms Ratios'!$A$2:$O$25,7,FALSE)</f>
        <v>4.354823151</v>
      </c>
      <c r="P76" s="59">
        <f>($C76/$D76)*VLOOKUP($E76,'AWS Platforms Ratios'!$A$2:$O$25,8,FALSE)</f>
        <v>11.93476688</v>
      </c>
      <c r="Q76" s="59">
        <f>($C76/$D76)*VLOOKUP($E76,'AWS Platforms Ratios'!$A$2:$O$25,9,FALSE)</f>
        <v>28.20988746</v>
      </c>
      <c r="R76" s="59">
        <f>($C76/$D76)*VLOOKUP($E76,'AWS Platforms Ratios'!$A$2:$O$25,10,FALSE)</f>
        <v>38.1954381</v>
      </c>
      <c r="S76" s="59">
        <f>$F76*VLOOKUP($E76,'AWS Platforms Ratios'!$A$2:$O$25,11,FALSE)</f>
        <v>6.4</v>
      </c>
      <c r="T76" s="59">
        <f>$F76*VLOOKUP($E76,'AWS Platforms Ratios'!$A$2:$O$25,12,FALSE)</f>
        <v>9.6</v>
      </c>
      <c r="U76" s="59">
        <f>$F76*VLOOKUP($E76,'AWS Platforms Ratios'!$A$2:$O$25,13,FALSE)</f>
        <v>12.8</v>
      </c>
      <c r="V76" s="59">
        <f>$F76*VLOOKUP($E76,'AWS Platforms Ratios'!$A$2:$O$25,14,FALSE)</f>
        <v>19.2</v>
      </c>
      <c r="W76" s="60">
        <f>IF($K76&lt;&gt;"N/A",$M76*(VLOOKUP($L76,'GPU Specs &amp; Ratios'!$B$2:$I$8,5,FALSE)),0)</f>
        <v>0</v>
      </c>
      <c r="X76" s="60">
        <f>IF($K76&lt;&gt;"N/A",$M76*(VLOOKUP($L76,'GPU Specs &amp; Ratios'!$B$2:$I$8,6,FALSE)),0)</f>
        <v>0</v>
      </c>
      <c r="Y76" s="60">
        <f>IF($K76&lt;&gt;"N/A",$M76*(VLOOKUP($L76,'GPU Specs &amp; Ratios'!$B$2:$I$8,7,FALSE)),0)</f>
        <v>0</v>
      </c>
      <c r="Z76" s="60">
        <f>IF($K76&lt;&gt;"N/A",$M76*(VLOOKUP($L76,'GPU Specs &amp; Ratios'!$B$2:$I$8,8,FALSE)),0)</f>
        <v>0</v>
      </c>
      <c r="AA76" s="60">
        <f>(C76/D76)*VLOOKUP($E76,'AWS Platforms Ratios'!$A$2:$O$25,15,FALSE)</f>
        <v>7.5</v>
      </c>
      <c r="AB76" s="60">
        <f t="shared" ref="AB76:AE76" si="75">O76+S76+W76+$AA76</f>
        <v>18.25482315</v>
      </c>
      <c r="AC76" s="60">
        <f t="shared" si="75"/>
        <v>29.03476688</v>
      </c>
      <c r="AD76" s="60">
        <f t="shared" si="75"/>
        <v>48.50988746</v>
      </c>
      <c r="AE76" s="60">
        <f t="shared" si="75"/>
        <v>64.8954381</v>
      </c>
      <c r="AF76" s="60">
        <f>IF(G76&gt;'Scope 3 Ratios'!$B$5,(G76-'Scope 3 Ratios'!$B$5)*('Scope 3 Ratios'!$B$6/'Scope 3 Ratios'!$B$5),0)</f>
        <v>155.3328</v>
      </c>
      <c r="AG76" s="60">
        <f>J76*IF(I76="SSD",'Scope 3 Ratios'!$B$9,'Scope 3 Ratios'!$B$8)</f>
        <v>200</v>
      </c>
      <c r="AH76" s="60">
        <f>IF(K76&lt;&gt;"N/A",K76*'Scope 3 Ratios'!$B$10,0)</f>
        <v>0</v>
      </c>
      <c r="AI76" s="60">
        <f>(VLOOKUP($E76,'AWS Platforms Ratios'!$A$2:$O$25,3,FALSE)-1)*'Scope 3 Ratios'!$B$7</f>
        <v>0</v>
      </c>
      <c r="AJ76" s="60">
        <f>'Scope 3 Ratios'!$B$2+AF76+AG76+AH76+AI76</f>
        <v>1355.3328</v>
      </c>
      <c r="AK76" s="60">
        <f>AJ76*'Scope 3 Ratios'!$B$4*(C76/D76)</f>
        <v>9.804201389</v>
      </c>
      <c r="AL76" s="61" t="s">
        <v>190</v>
      </c>
    </row>
    <row r="77" ht="15.0" customHeight="1">
      <c r="A77" s="63" t="s">
        <v>209</v>
      </c>
      <c r="B77" s="56" t="s">
        <v>188</v>
      </c>
      <c r="C77" s="63">
        <v>32.0</v>
      </c>
      <c r="D77" s="56">
        <f>VLOOKUP(E77,'AWS Platforms Ratios'!$A$2:$B$25,2,FALSE)</f>
        <v>64</v>
      </c>
      <c r="E77" s="63" t="s">
        <v>189</v>
      </c>
      <c r="F77" s="63">
        <v>64.0</v>
      </c>
      <c r="G77" s="63">
        <v>128.0</v>
      </c>
      <c r="H77" s="64" t="s">
        <v>210</v>
      </c>
      <c r="I77" s="63" t="s">
        <v>85</v>
      </c>
      <c r="J77" s="63">
        <v>2.0</v>
      </c>
      <c r="K77" s="58" t="s">
        <v>73</v>
      </c>
      <c r="L77" s="58" t="s">
        <v>73</v>
      </c>
      <c r="M77" s="58" t="s">
        <v>73</v>
      </c>
      <c r="N77" s="58" t="s">
        <v>73</v>
      </c>
      <c r="O77" s="59">
        <f>($C77/$D77)*VLOOKUP($E77,'AWS Platforms Ratios'!$A$2:$O$25,7,FALSE)</f>
        <v>8.709646302</v>
      </c>
      <c r="P77" s="59">
        <f>($C77/$D77)*VLOOKUP($E77,'AWS Platforms Ratios'!$A$2:$O$25,8,FALSE)</f>
        <v>23.86953376</v>
      </c>
      <c r="Q77" s="59">
        <f>($C77/$D77)*VLOOKUP($E77,'AWS Platforms Ratios'!$A$2:$O$25,9,FALSE)</f>
        <v>56.41977492</v>
      </c>
      <c r="R77" s="59">
        <f>($C77/$D77)*VLOOKUP($E77,'AWS Platforms Ratios'!$A$2:$O$25,10,FALSE)</f>
        <v>76.39087621</v>
      </c>
      <c r="S77" s="59">
        <f>$F77*VLOOKUP($E77,'AWS Platforms Ratios'!$A$2:$O$25,11,FALSE)</f>
        <v>12.8</v>
      </c>
      <c r="T77" s="59">
        <f>$F77*VLOOKUP($E77,'AWS Platforms Ratios'!$A$2:$O$25,12,FALSE)</f>
        <v>19.2</v>
      </c>
      <c r="U77" s="59">
        <f>$F77*VLOOKUP($E77,'AWS Platforms Ratios'!$A$2:$O$25,13,FALSE)</f>
        <v>25.6</v>
      </c>
      <c r="V77" s="59">
        <f>$F77*VLOOKUP($E77,'AWS Platforms Ratios'!$A$2:$O$25,14,FALSE)</f>
        <v>38.4</v>
      </c>
      <c r="W77" s="60">
        <f>IF($K77&lt;&gt;"N/A",$M77*(VLOOKUP($L77,'GPU Specs &amp; Ratios'!$B$2:$I$8,5,FALSE)),0)</f>
        <v>0</v>
      </c>
      <c r="X77" s="60">
        <f>IF($K77&lt;&gt;"N/A",$M77*(VLOOKUP($L77,'GPU Specs &amp; Ratios'!$B$2:$I$8,6,FALSE)),0)</f>
        <v>0</v>
      </c>
      <c r="Y77" s="60">
        <f>IF($K77&lt;&gt;"N/A",$M77*(VLOOKUP($L77,'GPU Specs &amp; Ratios'!$B$2:$I$8,7,FALSE)),0)</f>
        <v>0</v>
      </c>
      <c r="Z77" s="60">
        <f>IF($K77&lt;&gt;"N/A",$M77*(VLOOKUP($L77,'GPU Specs &amp; Ratios'!$B$2:$I$8,8,FALSE)),0)</f>
        <v>0</v>
      </c>
      <c r="AA77" s="60">
        <f>(C77/D77)*VLOOKUP($E77,'AWS Platforms Ratios'!$A$2:$O$25,15,FALSE)</f>
        <v>15</v>
      </c>
      <c r="AB77" s="60">
        <f t="shared" ref="AB77:AE77" si="76">O77+S77+W77+$AA77</f>
        <v>36.5096463</v>
      </c>
      <c r="AC77" s="60">
        <f t="shared" si="76"/>
        <v>58.06953376</v>
      </c>
      <c r="AD77" s="60">
        <f t="shared" si="76"/>
        <v>97.01977492</v>
      </c>
      <c r="AE77" s="60">
        <f t="shared" si="76"/>
        <v>129.7908762</v>
      </c>
      <c r="AF77" s="60">
        <f>IF(G77&gt;'Scope 3 Ratios'!$B$5,(G77-'Scope 3 Ratios'!$B$5)*('Scope 3 Ratios'!$B$6/'Scope 3 Ratios'!$B$5),0)</f>
        <v>155.3328</v>
      </c>
      <c r="AG77" s="60">
        <f>J77*IF(I77="SSD",'Scope 3 Ratios'!$B$9,'Scope 3 Ratios'!$B$8)</f>
        <v>200</v>
      </c>
      <c r="AH77" s="60">
        <f>IF(K77&lt;&gt;"N/A",K77*'Scope 3 Ratios'!$B$10,0)</f>
        <v>0</v>
      </c>
      <c r="AI77" s="60">
        <f>(VLOOKUP($E77,'AWS Platforms Ratios'!$A$2:$O$25,3,FALSE)-1)*'Scope 3 Ratios'!$B$7</f>
        <v>0</v>
      </c>
      <c r="AJ77" s="60">
        <f>'Scope 3 Ratios'!$B$2+AF77+AG77+AH77+AI77</f>
        <v>1355.3328</v>
      </c>
      <c r="AK77" s="60">
        <f>AJ77*'Scope 3 Ratios'!$B$4*(C77/D77)</f>
        <v>19.60840278</v>
      </c>
      <c r="AL77" s="61" t="s">
        <v>190</v>
      </c>
    </row>
    <row r="78" ht="15.0" customHeight="1">
      <c r="A78" s="63" t="s">
        <v>211</v>
      </c>
      <c r="B78" s="56" t="s">
        <v>188</v>
      </c>
      <c r="C78" s="63">
        <v>48.0</v>
      </c>
      <c r="D78" s="56">
        <f>VLOOKUP(E78,'AWS Platforms Ratios'!$A$2:$B$25,2,FALSE)</f>
        <v>64</v>
      </c>
      <c r="E78" s="63" t="s">
        <v>189</v>
      </c>
      <c r="F78" s="63">
        <v>96.0</v>
      </c>
      <c r="G78" s="63">
        <v>128.0</v>
      </c>
      <c r="H78" s="64" t="s">
        <v>212</v>
      </c>
      <c r="I78" s="63" t="s">
        <v>85</v>
      </c>
      <c r="J78" s="63">
        <v>2.0</v>
      </c>
      <c r="K78" s="58" t="s">
        <v>73</v>
      </c>
      <c r="L78" s="58" t="s">
        <v>73</v>
      </c>
      <c r="M78" s="58" t="s">
        <v>73</v>
      </c>
      <c r="N78" s="58" t="s">
        <v>73</v>
      </c>
      <c r="O78" s="59">
        <f>($C78/$D78)*VLOOKUP($E78,'AWS Platforms Ratios'!$A$2:$O$25,7,FALSE)</f>
        <v>13.06446945</v>
      </c>
      <c r="P78" s="59">
        <f>($C78/$D78)*VLOOKUP($E78,'AWS Platforms Ratios'!$A$2:$O$25,8,FALSE)</f>
        <v>35.80430064</v>
      </c>
      <c r="Q78" s="59">
        <f>($C78/$D78)*VLOOKUP($E78,'AWS Platforms Ratios'!$A$2:$O$25,9,FALSE)</f>
        <v>84.62966238</v>
      </c>
      <c r="R78" s="59">
        <f>($C78/$D78)*VLOOKUP($E78,'AWS Platforms Ratios'!$A$2:$O$25,10,FALSE)</f>
        <v>114.5863143</v>
      </c>
      <c r="S78" s="59">
        <f>$F78*VLOOKUP($E78,'AWS Platforms Ratios'!$A$2:$O$25,11,FALSE)</f>
        <v>19.2</v>
      </c>
      <c r="T78" s="59">
        <f>$F78*VLOOKUP($E78,'AWS Platforms Ratios'!$A$2:$O$25,12,FALSE)</f>
        <v>28.8</v>
      </c>
      <c r="U78" s="59">
        <f>$F78*VLOOKUP($E78,'AWS Platforms Ratios'!$A$2:$O$25,13,FALSE)</f>
        <v>38.4</v>
      </c>
      <c r="V78" s="59">
        <f>$F78*VLOOKUP($E78,'AWS Platforms Ratios'!$A$2:$O$25,14,FALSE)</f>
        <v>57.6</v>
      </c>
      <c r="W78" s="60">
        <f>IF($K78&lt;&gt;"N/A",$M78*(VLOOKUP($L78,'GPU Specs &amp; Ratios'!$B$2:$I$8,5,FALSE)),0)</f>
        <v>0</v>
      </c>
      <c r="X78" s="60">
        <f>IF($K78&lt;&gt;"N/A",$M78*(VLOOKUP($L78,'GPU Specs &amp; Ratios'!$B$2:$I$8,6,FALSE)),0)</f>
        <v>0</v>
      </c>
      <c r="Y78" s="60">
        <f>IF($K78&lt;&gt;"N/A",$M78*(VLOOKUP($L78,'GPU Specs &amp; Ratios'!$B$2:$I$8,7,FALSE)),0)</f>
        <v>0</v>
      </c>
      <c r="Z78" s="60">
        <f>IF($K78&lt;&gt;"N/A",$M78*(VLOOKUP($L78,'GPU Specs &amp; Ratios'!$B$2:$I$8,8,FALSE)),0)</f>
        <v>0</v>
      </c>
      <c r="AA78" s="60">
        <f>(C78/D78)*VLOOKUP($E78,'AWS Platforms Ratios'!$A$2:$O$25,15,FALSE)</f>
        <v>22.5</v>
      </c>
      <c r="AB78" s="60">
        <f t="shared" ref="AB78:AE78" si="77">O78+S78+W78+$AA78</f>
        <v>54.76446945</v>
      </c>
      <c r="AC78" s="60">
        <f t="shared" si="77"/>
        <v>87.10430064</v>
      </c>
      <c r="AD78" s="60">
        <f t="shared" si="77"/>
        <v>145.5296624</v>
      </c>
      <c r="AE78" s="60">
        <f t="shared" si="77"/>
        <v>194.6863143</v>
      </c>
      <c r="AF78" s="60">
        <f>IF(G78&gt;'Scope 3 Ratios'!$B$5,(G78-'Scope 3 Ratios'!$B$5)*('Scope 3 Ratios'!$B$6/'Scope 3 Ratios'!$B$5),0)</f>
        <v>155.3328</v>
      </c>
      <c r="AG78" s="60">
        <f>J78*IF(I78="SSD",'Scope 3 Ratios'!$B$9,'Scope 3 Ratios'!$B$8)</f>
        <v>200</v>
      </c>
      <c r="AH78" s="60">
        <f>IF(K78&lt;&gt;"N/A",K78*'Scope 3 Ratios'!$B$10,0)</f>
        <v>0</v>
      </c>
      <c r="AI78" s="60">
        <f>(VLOOKUP($E78,'AWS Platforms Ratios'!$A$2:$O$25,3,FALSE)-1)*'Scope 3 Ratios'!$B$7</f>
        <v>0</v>
      </c>
      <c r="AJ78" s="60">
        <f>'Scope 3 Ratios'!$B$2+AF78+AG78+AH78+AI78</f>
        <v>1355.3328</v>
      </c>
      <c r="AK78" s="60">
        <f>AJ78*'Scope 3 Ratios'!$B$4*(C78/D78)</f>
        <v>29.41260417</v>
      </c>
      <c r="AL78" s="61" t="s">
        <v>190</v>
      </c>
    </row>
    <row r="79" ht="15.0" customHeight="1">
      <c r="A79" s="63" t="s">
        <v>213</v>
      </c>
      <c r="B79" s="56" t="s">
        <v>188</v>
      </c>
      <c r="C79" s="63">
        <v>64.0</v>
      </c>
      <c r="D79" s="56">
        <f>VLOOKUP(E79,'AWS Platforms Ratios'!$A$2:$B$25,2,FALSE)</f>
        <v>64</v>
      </c>
      <c r="E79" s="63" t="s">
        <v>189</v>
      </c>
      <c r="F79" s="63">
        <v>128.0</v>
      </c>
      <c r="G79" s="63">
        <v>128.0</v>
      </c>
      <c r="H79" s="64" t="s">
        <v>160</v>
      </c>
      <c r="I79" s="63" t="s">
        <v>85</v>
      </c>
      <c r="J79" s="63">
        <v>2.0</v>
      </c>
      <c r="K79" s="58" t="s">
        <v>73</v>
      </c>
      <c r="L79" s="58" t="s">
        <v>73</v>
      </c>
      <c r="M79" s="58" t="s">
        <v>73</v>
      </c>
      <c r="N79" s="58" t="s">
        <v>73</v>
      </c>
      <c r="O79" s="59">
        <f>($C79/$D79)*VLOOKUP($E79,'AWS Platforms Ratios'!$A$2:$O$25,7,FALSE)</f>
        <v>17.4192926</v>
      </c>
      <c r="P79" s="59">
        <f>($C79/$D79)*VLOOKUP($E79,'AWS Platforms Ratios'!$A$2:$O$25,8,FALSE)</f>
        <v>47.73906752</v>
      </c>
      <c r="Q79" s="59">
        <f>($C79/$D79)*VLOOKUP($E79,'AWS Platforms Ratios'!$A$2:$O$25,9,FALSE)</f>
        <v>112.8395498</v>
      </c>
      <c r="R79" s="59">
        <f>($C79/$D79)*VLOOKUP($E79,'AWS Platforms Ratios'!$A$2:$O$25,10,FALSE)</f>
        <v>152.7817524</v>
      </c>
      <c r="S79" s="59">
        <f>$F79*VLOOKUP($E79,'AWS Platforms Ratios'!$A$2:$O$25,11,FALSE)</f>
        <v>25.6</v>
      </c>
      <c r="T79" s="59">
        <f>$F79*VLOOKUP($E79,'AWS Platforms Ratios'!$A$2:$O$25,12,FALSE)</f>
        <v>38.4</v>
      </c>
      <c r="U79" s="59">
        <f>$F79*VLOOKUP($E79,'AWS Platforms Ratios'!$A$2:$O$25,13,FALSE)</f>
        <v>51.2</v>
      </c>
      <c r="V79" s="59">
        <f>$F79*VLOOKUP($E79,'AWS Platforms Ratios'!$A$2:$O$25,14,FALSE)</f>
        <v>76.8</v>
      </c>
      <c r="W79" s="60">
        <f>IF($K79&lt;&gt;"N/A",$M79*(VLOOKUP($L79,'GPU Specs &amp; Ratios'!$B$2:$I$8,5,FALSE)),0)</f>
        <v>0</v>
      </c>
      <c r="X79" s="60">
        <f>IF($K79&lt;&gt;"N/A",$M79*(VLOOKUP($L79,'GPU Specs &amp; Ratios'!$B$2:$I$8,6,FALSE)),0)</f>
        <v>0</v>
      </c>
      <c r="Y79" s="60">
        <f>IF($K79&lt;&gt;"N/A",$M79*(VLOOKUP($L79,'GPU Specs &amp; Ratios'!$B$2:$I$8,7,FALSE)),0)</f>
        <v>0</v>
      </c>
      <c r="Z79" s="60">
        <f>IF($K79&lt;&gt;"N/A",$M79*(VLOOKUP($L79,'GPU Specs &amp; Ratios'!$B$2:$I$8,8,FALSE)),0)</f>
        <v>0</v>
      </c>
      <c r="AA79" s="60">
        <f>(C79/D79)*VLOOKUP($E79,'AWS Platforms Ratios'!$A$2:$O$25,15,FALSE)</f>
        <v>30</v>
      </c>
      <c r="AB79" s="60">
        <f t="shared" ref="AB79:AE79" si="78">O79+S79+W79+$AA79</f>
        <v>73.0192926</v>
      </c>
      <c r="AC79" s="60">
        <f t="shared" si="78"/>
        <v>116.1390675</v>
      </c>
      <c r="AD79" s="60">
        <f t="shared" si="78"/>
        <v>194.0395498</v>
      </c>
      <c r="AE79" s="60">
        <f t="shared" si="78"/>
        <v>259.5817524</v>
      </c>
      <c r="AF79" s="60">
        <f>IF(G79&gt;'Scope 3 Ratios'!$B$5,(G79-'Scope 3 Ratios'!$B$5)*('Scope 3 Ratios'!$B$6/'Scope 3 Ratios'!$B$5),0)</f>
        <v>155.3328</v>
      </c>
      <c r="AG79" s="60">
        <f>J79*IF(I79="SSD",'Scope 3 Ratios'!$B$9,'Scope 3 Ratios'!$B$8)</f>
        <v>200</v>
      </c>
      <c r="AH79" s="60">
        <f>IF(K79&lt;&gt;"N/A",K79*'Scope 3 Ratios'!$B$10,0)</f>
        <v>0</v>
      </c>
      <c r="AI79" s="60">
        <f>(VLOOKUP($E79,'AWS Platforms Ratios'!$A$2:$O$25,3,FALSE)-1)*'Scope 3 Ratios'!$B$7</f>
        <v>0</v>
      </c>
      <c r="AJ79" s="60">
        <f>'Scope 3 Ratios'!$B$2+AF79+AG79+AH79+AI79</f>
        <v>1355.3328</v>
      </c>
      <c r="AK79" s="60">
        <f>AJ79*'Scope 3 Ratios'!$B$4*(C79/D79)</f>
        <v>39.21680556</v>
      </c>
      <c r="AL79" s="61" t="s">
        <v>190</v>
      </c>
    </row>
    <row r="80" ht="15.0" customHeight="1">
      <c r="A80" s="63" t="s">
        <v>214</v>
      </c>
      <c r="B80" s="56" t="s">
        <v>188</v>
      </c>
      <c r="C80" s="63">
        <v>64.0</v>
      </c>
      <c r="D80" s="56">
        <f>VLOOKUP(E80,'AWS Platforms Ratios'!$A$2:$B$25,2,FALSE)</f>
        <v>64</v>
      </c>
      <c r="E80" s="63" t="s">
        <v>189</v>
      </c>
      <c r="F80" s="63">
        <v>128.0</v>
      </c>
      <c r="G80" s="63">
        <v>128.0</v>
      </c>
      <c r="H80" s="64" t="s">
        <v>160</v>
      </c>
      <c r="I80" s="63" t="s">
        <v>85</v>
      </c>
      <c r="J80" s="63">
        <v>2.0</v>
      </c>
      <c r="K80" s="58" t="s">
        <v>73</v>
      </c>
      <c r="L80" s="58" t="s">
        <v>73</v>
      </c>
      <c r="M80" s="58" t="s">
        <v>73</v>
      </c>
      <c r="N80" s="58" t="s">
        <v>73</v>
      </c>
      <c r="O80" s="59">
        <f>($C80/$D80)*VLOOKUP($E80,'AWS Platforms Ratios'!$A$2:$O$25,7,FALSE)</f>
        <v>17.4192926</v>
      </c>
      <c r="P80" s="59">
        <f>($C80/$D80)*VLOOKUP($E80,'AWS Platforms Ratios'!$A$2:$O$25,8,FALSE)</f>
        <v>47.73906752</v>
      </c>
      <c r="Q80" s="59">
        <f>($C80/$D80)*VLOOKUP($E80,'AWS Platforms Ratios'!$A$2:$O$25,9,FALSE)</f>
        <v>112.8395498</v>
      </c>
      <c r="R80" s="59">
        <f>($C80/$D80)*VLOOKUP($E80,'AWS Platforms Ratios'!$A$2:$O$25,10,FALSE)</f>
        <v>152.7817524</v>
      </c>
      <c r="S80" s="59">
        <f>$F80*VLOOKUP($E80,'AWS Platforms Ratios'!$A$2:$O$25,11,FALSE)</f>
        <v>25.6</v>
      </c>
      <c r="T80" s="59">
        <f>$F80*VLOOKUP($E80,'AWS Platforms Ratios'!$A$2:$O$25,12,FALSE)</f>
        <v>38.4</v>
      </c>
      <c r="U80" s="59">
        <f>$F80*VLOOKUP($E80,'AWS Platforms Ratios'!$A$2:$O$25,13,FALSE)</f>
        <v>51.2</v>
      </c>
      <c r="V80" s="59">
        <f>$F80*VLOOKUP($E80,'AWS Platforms Ratios'!$A$2:$O$25,14,FALSE)</f>
        <v>76.8</v>
      </c>
      <c r="W80" s="60">
        <f>IF($K80&lt;&gt;"N/A",$M80*(VLOOKUP($L80,'GPU Specs &amp; Ratios'!$B$2:$I$8,5,FALSE)),0)</f>
        <v>0</v>
      </c>
      <c r="X80" s="60">
        <f>IF($K80&lt;&gt;"N/A",$M80*(VLOOKUP($L80,'GPU Specs &amp; Ratios'!$B$2:$I$8,6,FALSE)),0)</f>
        <v>0</v>
      </c>
      <c r="Y80" s="60">
        <f>IF($K80&lt;&gt;"N/A",$M80*(VLOOKUP($L80,'GPU Specs &amp; Ratios'!$B$2:$I$8,7,FALSE)),0)</f>
        <v>0</v>
      </c>
      <c r="Z80" s="60">
        <f>IF($K80&lt;&gt;"N/A",$M80*(VLOOKUP($L80,'GPU Specs &amp; Ratios'!$B$2:$I$8,8,FALSE)),0)</f>
        <v>0</v>
      </c>
      <c r="AA80" s="60">
        <f>(C80/D80)*VLOOKUP($E80,'AWS Platforms Ratios'!$A$2:$O$25,15,FALSE)</f>
        <v>30</v>
      </c>
      <c r="AB80" s="60">
        <f t="shared" ref="AB80:AE80" si="79">O80+S80+W80+$AA80</f>
        <v>73.0192926</v>
      </c>
      <c r="AC80" s="60">
        <f t="shared" si="79"/>
        <v>116.1390675</v>
      </c>
      <c r="AD80" s="60">
        <f t="shared" si="79"/>
        <v>194.0395498</v>
      </c>
      <c r="AE80" s="60">
        <f t="shared" si="79"/>
        <v>259.5817524</v>
      </c>
      <c r="AF80" s="60">
        <f>IF(G80&gt;'Scope 3 Ratios'!$B$5,(G80-'Scope 3 Ratios'!$B$5)*('Scope 3 Ratios'!$B$6/'Scope 3 Ratios'!$B$5),0)</f>
        <v>155.3328</v>
      </c>
      <c r="AG80" s="60">
        <f>J80*IF(I80="SSD",'Scope 3 Ratios'!$B$9,'Scope 3 Ratios'!$B$8)</f>
        <v>200</v>
      </c>
      <c r="AH80" s="60">
        <f>IF(K80&lt;&gt;"N/A",K80*'Scope 3 Ratios'!$B$10,0)</f>
        <v>0</v>
      </c>
      <c r="AI80" s="60">
        <f>(VLOOKUP($E80,'AWS Platforms Ratios'!$A$2:$O$25,3,FALSE)-1)*'Scope 3 Ratios'!$B$7</f>
        <v>0</v>
      </c>
      <c r="AJ80" s="60">
        <f>'Scope 3 Ratios'!$B$2+AF80+AG80+AH80+AI80</f>
        <v>1355.3328</v>
      </c>
      <c r="AK80" s="60">
        <f>AJ80*'Scope 3 Ratios'!$B$4*(C80/D80)</f>
        <v>39.21680556</v>
      </c>
      <c r="AL80" s="61" t="s">
        <v>190</v>
      </c>
    </row>
    <row r="81" ht="15.0" customHeight="1">
      <c r="A81" s="63" t="s">
        <v>215</v>
      </c>
      <c r="B81" s="56" t="s">
        <v>188</v>
      </c>
      <c r="C81" s="63">
        <v>1.0</v>
      </c>
      <c r="D81" s="56">
        <f>VLOOKUP(E81,'AWS Platforms Ratios'!$A$2:$B$25,2,FALSE)</f>
        <v>64</v>
      </c>
      <c r="E81" s="63" t="s">
        <v>189</v>
      </c>
      <c r="F81" s="63">
        <v>2.0</v>
      </c>
      <c r="G81" s="63">
        <v>128.0</v>
      </c>
      <c r="H81" s="64" t="s">
        <v>71</v>
      </c>
      <c r="I81" s="63" t="s">
        <v>72</v>
      </c>
      <c r="J81" s="63">
        <v>0.0</v>
      </c>
      <c r="K81" s="58" t="s">
        <v>73</v>
      </c>
      <c r="L81" s="58" t="s">
        <v>73</v>
      </c>
      <c r="M81" s="58" t="s">
        <v>73</v>
      </c>
      <c r="N81" s="58" t="s">
        <v>73</v>
      </c>
      <c r="O81" s="59">
        <f>($C81/$D81)*VLOOKUP($E81,'AWS Platforms Ratios'!$A$2:$O$25,7,FALSE)</f>
        <v>0.2721764469</v>
      </c>
      <c r="P81" s="59">
        <f>($C81/$D81)*VLOOKUP($E81,'AWS Platforms Ratios'!$A$2:$O$25,8,FALSE)</f>
        <v>0.7459229301</v>
      </c>
      <c r="Q81" s="59">
        <f>($C81/$D81)*VLOOKUP($E81,'AWS Platforms Ratios'!$A$2:$O$25,9,FALSE)</f>
        <v>1.763117966</v>
      </c>
      <c r="R81" s="59">
        <f>($C81/$D81)*VLOOKUP($E81,'AWS Platforms Ratios'!$A$2:$O$25,10,FALSE)</f>
        <v>2.387214881</v>
      </c>
      <c r="S81" s="59">
        <f>$F81*VLOOKUP($E81,'AWS Platforms Ratios'!$A$2:$O$25,11,FALSE)</f>
        <v>0.4</v>
      </c>
      <c r="T81" s="59">
        <f>$F81*VLOOKUP($E81,'AWS Platforms Ratios'!$A$2:$O$25,12,FALSE)</f>
        <v>0.6</v>
      </c>
      <c r="U81" s="59">
        <f>$F81*VLOOKUP($E81,'AWS Platforms Ratios'!$A$2:$O$25,13,FALSE)</f>
        <v>0.8</v>
      </c>
      <c r="V81" s="59">
        <f>$F81*VLOOKUP($E81,'AWS Platforms Ratios'!$A$2:$O$25,14,FALSE)</f>
        <v>1.2</v>
      </c>
      <c r="W81" s="60">
        <f>IF($K81&lt;&gt;"N/A",$M81*(VLOOKUP($L81,'GPU Specs &amp; Ratios'!$B$2:$I$8,5,FALSE)),0)</f>
        <v>0</v>
      </c>
      <c r="X81" s="60">
        <f>IF($K81&lt;&gt;"N/A",$M81*(VLOOKUP($L81,'GPU Specs &amp; Ratios'!$B$2:$I$8,6,FALSE)),0)</f>
        <v>0</v>
      </c>
      <c r="Y81" s="60">
        <f>IF($K81&lt;&gt;"N/A",$M81*(VLOOKUP($L81,'GPU Specs &amp; Ratios'!$B$2:$I$8,7,FALSE)),0)</f>
        <v>0</v>
      </c>
      <c r="Z81" s="60">
        <f>IF($K81&lt;&gt;"N/A",$M81*(VLOOKUP($L81,'GPU Specs &amp; Ratios'!$B$2:$I$8,8,FALSE)),0)</f>
        <v>0</v>
      </c>
      <c r="AA81" s="60">
        <f>(C81/D81)*VLOOKUP($E81,'AWS Platforms Ratios'!$A$2:$O$25,15,FALSE)</f>
        <v>0.46875</v>
      </c>
      <c r="AB81" s="60">
        <f t="shared" ref="AB81:AE81" si="80">O81+S81+W81+$AA81</f>
        <v>1.140926447</v>
      </c>
      <c r="AC81" s="60">
        <f t="shared" si="80"/>
        <v>1.81467293</v>
      </c>
      <c r="AD81" s="60">
        <f t="shared" si="80"/>
        <v>3.031867966</v>
      </c>
      <c r="AE81" s="60">
        <f t="shared" si="80"/>
        <v>4.055964881</v>
      </c>
      <c r="AF81" s="60">
        <f>IF(G81&gt;'Scope 3 Ratios'!$B$5,(G81-'Scope 3 Ratios'!$B$5)*('Scope 3 Ratios'!$B$6/'Scope 3 Ratios'!$B$5),0)</f>
        <v>155.3328</v>
      </c>
      <c r="AG81" s="60">
        <f>J81*IF(I81="SSD",'Scope 3 Ratios'!$B$9,'Scope 3 Ratios'!$B$8)</f>
        <v>0</v>
      </c>
      <c r="AH81" s="60">
        <f>IF(K81&lt;&gt;"N/A",K81*'Scope 3 Ratios'!$B$10,0)</f>
        <v>0</v>
      </c>
      <c r="AI81" s="60">
        <f>(VLOOKUP($E81,'AWS Platforms Ratios'!$A$2:$O$25,3,FALSE)-1)*'Scope 3 Ratios'!$B$7</f>
        <v>0</v>
      </c>
      <c r="AJ81" s="60">
        <f>'Scope 3 Ratios'!$B$2+AF81+AG81+AH81+AI81</f>
        <v>1155.3328</v>
      </c>
      <c r="AK81" s="60">
        <f>AJ81*'Scope 3 Ratios'!$B$4*(C81/D81)</f>
        <v>0.5223401331</v>
      </c>
      <c r="AL81" s="61" t="s">
        <v>190</v>
      </c>
    </row>
    <row r="82" ht="15.0" customHeight="1">
      <c r="A82" s="63" t="s">
        <v>216</v>
      </c>
      <c r="B82" s="56" t="s">
        <v>188</v>
      </c>
      <c r="C82" s="63">
        <v>2.0</v>
      </c>
      <c r="D82" s="56">
        <f>VLOOKUP(E82,'AWS Platforms Ratios'!$A$2:$B$25,2,FALSE)</f>
        <v>64</v>
      </c>
      <c r="E82" s="63" t="s">
        <v>189</v>
      </c>
      <c r="F82" s="63">
        <v>4.0</v>
      </c>
      <c r="G82" s="63">
        <v>128.0</v>
      </c>
      <c r="H82" s="64" t="s">
        <v>71</v>
      </c>
      <c r="I82" s="63" t="s">
        <v>72</v>
      </c>
      <c r="J82" s="63">
        <v>0.0</v>
      </c>
      <c r="K82" s="58" t="s">
        <v>73</v>
      </c>
      <c r="L82" s="58" t="s">
        <v>73</v>
      </c>
      <c r="M82" s="58" t="s">
        <v>73</v>
      </c>
      <c r="N82" s="58" t="s">
        <v>73</v>
      </c>
      <c r="O82" s="59">
        <f>($C82/$D82)*VLOOKUP($E82,'AWS Platforms Ratios'!$A$2:$O$25,7,FALSE)</f>
        <v>0.5443528939</v>
      </c>
      <c r="P82" s="59">
        <f>($C82/$D82)*VLOOKUP($E82,'AWS Platforms Ratios'!$A$2:$O$25,8,FALSE)</f>
        <v>1.49184586</v>
      </c>
      <c r="Q82" s="59">
        <f>($C82/$D82)*VLOOKUP($E82,'AWS Platforms Ratios'!$A$2:$O$25,9,FALSE)</f>
        <v>3.526235932</v>
      </c>
      <c r="R82" s="59">
        <f>($C82/$D82)*VLOOKUP($E82,'AWS Platforms Ratios'!$A$2:$O$25,10,FALSE)</f>
        <v>4.774429763</v>
      </c>
      <c r="S82" s="59">
        <f>$F82*VLOOKUP($E82,'AWS Platforms Ratios'!$A$2:$O$25,11,FALSE)</f>
        <v>0.8</v>
      </c>
      <c r="T82" s="59">
        <f>$F82*VLOOKUP($E82,'AWS Platforms Ratios'!$A$2:$O$25,12,FALSE)</f>
        <v>1.2</v>
      </c>
      <c r="U82" s="59">
        <f>$F82*VLOOKUP($E82,'AWS Platforms Ratios'!$A$2:$O$25,13,FALSE)</f>
        <v>1.6</v>
      </c>
      <c r="V82" s="59">
        <f>$F82*VLOOKUP($E82,'AWS Platforms Ratios'!$A$2:$O$25,14,FALSE)</f>
        <v>2.4</v>
      </c>
      <c r="W82" s="60">
        <f>IF($K82&lt;&gt;"N/A",$M82*(VLOOKUP($L82,'GPU Specs &amp; Ratios'!$B$2:$I$8,5,FALSE)),0)</f>
        <v>0</v>
      </c>
      <c r="X82" s="60">
        <f>IF($K82&lt;&gt;"N/A",$M82*(VLOOKUP($L82,'GPU Specs &amp; Ratios'!$B$2:$I$8,6,FALSE)),0)</f>
        <v>0</v>
      </c>
      <c r="Y82" s="60">
        <f>IF($K82&lt;&gt;"N/A",$M82*(VLOOKUP($L82,'GPU Specs &amp; Ratios'!$B$2:$I$8,7,FALSE)),0)</f>
        <v>0</v>
      </c>
      <c r="Z82" s="60">
        <f>IF($K82&lt;&gt;"N/A",$M82*(VLOOKUP($L82,'GPU Specs &amp; Ratios'!$B$2:$I$8,8,FALSE)),0)</f>
        <v>0</v>
      </c>
      <c r="AA82" s="60">
        <f>(C82/D82)*VLOOKUP($E82,'AWS Platforms Ratios'!$A$2:$O$25,15,FALSE)</f>
        <v>0.9375</v>
      </c>
      <c r="AB82" s="60">
        <f t="shared" ref="AB82:AE82" si="81">O82+S82+W82+$AA82</f>
        <v>2.281852894</v>
      </c>
      <c r="AC82" s="60">
        <f t="shared" si="81"/>
        <v>3.62934586</v>
      </c>
      <c r="AD82" s="60">
        <f t="shared" si="81"/>
        <v>6.063735932</v>
      </c>
      <c r="AE82" s="60">
        <f t="shared" si="81"/>
        <v>8.111929763</v>
      </c>
      <c r="AF82" s="60">
        <f>IF(G82&gt;'Scope 3 Ratios'!$B$5,(G82-'Scope 3 Ratios'!$B$5)*('Scope 3 Ratios'!$B$6/'Scope 3 Ratios'!$B$5),0)</f>
        <v>155.3328</v>
      </c>
      <c r="AG82" s="60">
        <f>J82*IF(I82="SSD",'Scope 3 Ratios'!$B$9,'Scope 3 Ratios'!$B$8)</f>
        <v>0</v>
      </c>
      <c r="AH82" s="60">
        <f>IF(K82&lt;&gt;"N/A",K82*'Scope 3 Ratios'!$B$10,0)</f>
        <v>0</v>
      </c>
      <c r="AI82" s="60">
        <f>(VLOOKUP($E82,'AWS Platforms Ratios'!$A$2:$O$25,3,FALSE)-1)*'Scope 3 Ratios'!$B$7</f>
        <v>0</v>
      </c>
      <c r="AJ82" s="60">
        <f>'Scope 3 Ratios'!$B$2+AF82+AG82+AH82+AI82</f>
        <v>1155.3328</v>
      </c>
      <c r="AK82" s="60">
        <f>AJ82*'Scope 3 Ratios'!$B$4*(C82/D82)</f>
        <v>1.044680266</v>
      </c>
      <c r="AL82" s="61" t="s">
        <v>190</v>
      </c>
    </row>
    <row r="83" ht="15.0" customHeight="1">
      <c r="A83" s="63" t="s">
        <v>217</v>
      </c>
      <c r="B83" s="56" t="s">
        <v>188</v>
      </c>
      <c r="C83" s="63">
        <v>4.0</v>
      </c>
      <c r="D83" s="56">
        <f>VLOOKUP(E83,'AWS Platforms Ratios'!$A$2:$B$25,2,FALSE)</f>
        <v>64</v>
      </c>
      <c r="E83" s="63" t="s">
        <v>189</v>
      </c>
      <c r="F83" s="63">
        <v>8.0</v>
      </c>
      <c r="G83" s="63">
        <v>128.0</v>
      </c>
      <c r="H83" s="64" t="s">
        <v>71</v>
      </c>
      <c r="I83" s="63" t="s">
        <v>72</v>
      </c>
      <c r="J83" s="63">
        <v>0.0</v>
      </c>
      <c r="K83" s="58" t="s">
        <v>73</v>
      </c>
      <c r="L83" s="58" t="s">
        <v>73</v>
      </c>
      <c r="M83" s="58" t="s">
        <v>73</v>
      </c>
      <c r="N83" s="58" t="s">
        <v>73</v>
      </c>
      <c r="O83" s="59">
        <f>($C83/$D83)*VLOOKUP($E83,'AWS Platforms Ratios'!$A$2:$O$25,7,FALSE)</f>
        <v>1.088705788</v>
      </c>
      <c r="P83" s="59">
        <f>($C83/$D83)*VLOOKUP($E83,'AWS Platforms Ratios'!$A$2:$O$25,8,FALSE)</f>
        <v>2.98369172</v>
      </c>
      <c r="Q83" s="59">
        <f>($C83/$D83)*VLOOKUP($E83,'AWS Platforms Ratios'!$A$2:$O$25,9,FALSE)</f>
        <v>7.052471865</v>
      </c>
      <c r="R83" s="59">
        <f>($C83/$D83)*VLOOKUP($E83,'AWS Platforms Ratios'!$A$2:$O$25,10,FALSE)</f>
        <v>9.548859526</v>
      </c>
      <c r="S83" s="59">
        <f>$F83*VLOOKUP($E83,'AWS Platforms Ratios'!$A$2:$O$25,11,FALSE)</f>
        <v>1.6</v>
      </c>
      <c r="T83" s="59">
        <f>$F83*VLOOKUP($E83,'AWS Platforms Ratios'!$A$2:$O$25,12,FALSE)</f>
        <v>2.4</v>
      </c>
      <c r="U83" s="59">
        <f>$F83*VLOOKUP($E83,'AWS Platforms Ratios'!$A$2:$O$25,13,FALSE)</f>
        <v>3.2</v>
      </c>
      <c r="V83" s="59">
        <f>$F83*VLOOKUP($E83,'AWS Platforms Ratios'!$A$2:$O$25,14,FALSE)</f>
        <v>4.8</v>
      </c>
      <c r="W83" s="60">
        <f>IF($K83&lt;&gt;"N/A",$M83*(VLOOKUP($L83,'GPU Specs &amp; Ratios'!$B$2:$I$8,5,FALSE)),0)</f>
        <v>0</v>
      </c>
      <c r="X83" s="60">
        <f>IF($K83&lt;&gt;"N/A",$M83*(VLOOKUP($L83,'GPU Specs &amp; Ratios'!$B$2:$I$8,6,FALSE)),0)</f>
        <v>0</v>
      </c>
      <c r="Y83" s="60">
        <f>IF($K83&lt;&gt;"N/A",$M83*(VLOOKUP($L83,'GPU Specs &amp; Ratios'!$B$2:$I$8,7,FALSE)),0)</f>
        <v>0</v>
      </c>
      <c r="Z83" s="60">
        <f>IF($K83&lt;&gt;"N/A",$M83*(VLOOKUP($L83,'GPU Specs &amp; Ratios'!$B$2:$I$8,8,FALSE)),0)</f>
        <v>0</v>
      </c>
      <c r="AA83" s="60">
        <f>(C83/D83)*VLOOKUP($E83,'AWS Platforms Ratios'!$A$2:$O$25,15,FALSE)</f>
        <v>1.875</v>
      </c>
      <c r="AB83" s="60">
        <f t="shared" ref="AB83:AE83" si="82">O83+S83+W83+$AA83</f>
        <v>4.563705788</v>
      </c>
      <c r="AC83" s="60">
        <f t="shared" si="82"/>
        <v>7.25869172</v>
      </c>
      <c r="AD83" s="60">
        <f t="shared" si="82"/>
        <v>12.12747186</v>
      </c>
      <c r="AE83" s="60">
        <f t="shared" si="82"/>
        <v>16.22385953</v>
      </c>
      <c r="AF83" s="60">
        <f>IF(G83&gt;'Scope 3 Ratios'!$B$5,(G83-'Scope 3 Ratios'!$B$5)*('Scope 3 Ratios'!$B$6/'Scope 3 Ratios'!$B$5),0)</f>
        <v>155.3328</v>
      </c>
      <c r="AG83" s="60">
        <f>J83*IF(I83="SSD",'Scope 3 Ratios'!$B$9,'Scope 3 Ratios'!$B$8)</f>
        <v>0</v>
      </c>
      <c r="AH83" s="60">
        <f>IF(K83&lt;&gt;"N/A",K83*'Scope 3 Ratios'!$B$10,0)</f>
        <v>0</v>
      </c>
      <c r="AI83" s="60">
        <f>(VLOOKUP($E83,'AWS Platforms Ratios'!$A$2:$O$25,3,FALSE)-1)*'Scope 3 Ratios'!$B$7</f>
        <v>0</v>
      </c>
      <c r="AJ83" s="60">
        <f>'Scope 3 Ratios'!$B$2+AF83+AG83+AH83+AI83</f>
        <v>1155.3328</v>
      </c>
      <c r="AK83" s="60">
        <f>AJ83*'Scope 3 Ratios'!$B$4*(C83/D83)</f>
        <v>2.089360532</v>
      </c>
      <c r="AL83" s="61" t="s">
        <v>190</v>
      </c>
    </row>
    <row r="84" ht="15.0" customHeight="1">
      <c r="A84" s="63" t="s">
        <v>218</v>
      </c>
      <c r="B84" s="56" t="s">
        <v>188</v>
      </c>
      <c r="C84" s="63">
        <v>8.0</v>
      </c>
      <c r="D84" s="56">
        <f>VLOOKUP(E84,'AWS Platforms Ratios'!$A$2:$B$25,2,FALSE)</f>
        <v>64</v>
      </c>
      <c r="E84" s="63" t="s">
        <v>189</v>
      </c>
      <c r="F84" s="63">
        <v>16.0</v>
      </c>
      <c r="G84" s="63">
        <v>128.0</v>
      </c>
      <c r="H84" s="64" t="s">
        <v>71</v>
      </c>
      <c r="I84" s="63" t="s">
        <v>72</v>
      </c>
      <c r="J84" s="63">
        <v>0.0</v>
      </c>
      <c r="K84" s="58" t="s">
        <v>73</v>
      </c>
      <c r="L84" s="58" t="s">
        <v>73</v>
      </c>
      <c r="M84" s="58" t="s">
        <v>73</v>
      </c>
      <c r="N84" s="58" t="s">
        <v>73</v>
      </c>
      <c r="O84" s="59">
        <f>($C84/$D84)*VLOOKUP($E84,'AWS Platforms Ratios'!$A$2:$O$25,7,FALSE)</f>
        <v>2.177411576</v>
      </c>
      <c r="P84" s="59">
        <f>($C84/$D84)*VLOOKUP($E84,'AWS Platforms Ratios'!$A$2:$O$25,8,FALSE)</f>
        <v>5.967383441</v>
      </c>
      <c r="Q84" s="59">
        <f>($C84/$D84)*VLOOKUP($E84,'AWS Platforms Ratios'!$A$2:$O$25,9,FALSE)</f>
        <v>14.10494373</v>
      </c>
      <c r="R84" s="59">
        <f>($C84/$D84)*VLOOKUP($E84,'AWS Platforms Ratios'!$A$2:$O$25,10,FALSE)</f>
        <v>19.09771905</v>
      </c>
      <c r="S84" s="59">
        <f>$F84*VLOOKUP($E84,'AWS Platforms Ratios'!$A$2:$O$25,11,FALSE)</f>
        <v>3.2</v>
      </c>
      <c r="T84" s="59">
        <f>$F84*VLOOKUP($E84,'AWS Platforms Ratios'!$A$2:$O$25,12,FALSE)</f>
        <v>4.8</v>
      </c>
      <c r="U84" s="59">
        <f>$F84*VLOOKUP($E84,'AWS Platforms Ratios'!$A$2:$O$25,13,FALSE)</f>
        <v>6.4</v>
      </c>
      <c r="V84" s="59">
        <f>$F84*VLOOKUP($E84,'AWS Platforms Ratios'!$A$2:$O$25,14,FALSE)</f>
        <v>9.6</v>
      </c>
      <c r="W84" s="60">
        <f>IF($K84&lt;&gt;"N/A",$M84*(VLOOKUP($L84,'GPU Specs &amp; Ratios'!$B$2:$I$8,5,FALSE)),0)</f>
        <v>0</v>
      </c>
      <c r="X84" s="60">
        <f>IF($K84&lt;&gt;"N/A",$M84*(VLOOKUP($L84,'GPU Specs &amp; Ratios'!$B$2:$I$8,6,FALSE)),0)</f>
        <v>0</v>
      </c>
      <c r="Y84" s="60">
        <f>IF($K84&lt;&gt;"N/A",$M84*(VLOOKUP($L84,'GPU Specs &amp; Ratios'!$B$2:$I$8,7,FALSE)),0)</f>
        <v>0</v>
      </c>
      <c r="Z84" s="60">
        <f>IF($K84&lt;&gt;"N/A",$M84*(VLOOKUP($L84,'GPU Specs &amp; Ratios'!$B$2:$I$8,8,FALSE)),0)</f>
        <v>0</v>
      </c>
      <c r="AA84" s="60">
        <f>(C84/D84)*VLOOKUP($E84,'AWS Platforms Ratios'!$A$2:$O$25,15,FALSE)</f>
        <v>3.75</v>
      </c>
      <c r="AB84" s="60">
        <f t="shared" ref="AB84:AE84" si="83">O84+S84+W84+$AA84</f>
        <v>9.127411576</v>
      </c>
      <c r="AC84" s="60">
        <f t="shared" si="83"/>
        <v>14.51738344</v>
      </c>
      <c r="AD84" s="60">
        <f t="shared" si="83"/>
        <v>24.25494373</v>
      </c>
      <c r="AE84" s="60">
        <f t="shared" si="83"/>
        <v>32.44771905</v>
      </c>
      <c r="AF84" s="60">
        <f>IF(G84&gt;'Scope 3 Ratios'!$B$5,(G84-'Scope 3 Ratios'!$B$5)*('Scope 3 Ratios'!$B$6/'Scope 3 Ratios'!$B$5),0)</f>
        <v>155.3328</v>
      </c>
      <c r="AG84" s="60">
        <f>J84*IF(I84="SSD",'Scope 3 Ratios'!$B$9,'Scope 3 Ratios'!$B$8)</f>
        <v>0</v>
      </c>
      <c r="AH84" s="60">
        <f>IF(K84&lt;&gt;"N/A",K84*'Scope 3 Ratios'!$B$10,0)</f>
        <v>0</v>
      </c>
      <c r="AI84" s="60">
        <f>(VLOOKUP($E84,'AWS Platforms Ratios'!$A$2:$O$25,3,FALSE)-1)*'Scope 3 Ratios'!$B$7</f>
        <v>0</v>
      </c>
      <c r="AJ84" s="60">
        <f>'Scope 3 Ratios'!$B$2+AF84+AG84+AH84+AI84</f>
        <v>1155.3328</v>
      </c>
      <c r="AK84" s="60">
        <f>AJ84*'Scope 3 Ratios'!$B$4*(C84/D84)</f>
        <v>4.178721065</v>
      </c>
      <c r="AL84" s="61" t="s">
        <v>190</v>
      </c>
    </row>
    <row r="85" ht="15.0" customHeight="1">
      <c r="A85" s="63" t="s">
        <v>219</v>
      </c>
      <c r="B85" s="56" t="s">
        <v>188</v>
      </c>
      <c r="C85" s="63">
        <v>16.0</v>
      </c>
      <c r="D85" s="56">
        <f>VLOOKUP(E85,'AWS Platforms Ratios'!$A$2:$B$25,2,FALSE)</f>
        <v>64</v>
      </c>
      <c r="E85" s="63" t="s">
        <v>189</v>
      </c>
      <c r="F85" s="63">
        <v>32.0</v>
      </c>
      <c r="G85" s="63">
        <v>128.0</v>
      </c>
      <c r="H85" s="64" t="s">
        <v>71</v>
      </c>
      <c r="I85" s="63" t="s">
        <v>72</v>
      </c>
      <c r="J85" s="63">
        <v>0.0</v>
      </c>
      <c r="K85" s="58" t="s">
        <v>73</v>
      </c>
      <c r="L85" s="58" t="s">
        <v>73</v>
      </c>
      <c r="M85" s="58" t="s">
        <v>73</v>
      </c>
      <c r="N85" s="58" t="s">
        <v>73</v>
      </c>
      <c r="O85" s="59">
        <f>($C85/$D85)*VLOOKUP($E85,'AWS Platforms Ratios'!$A$2:$O$25,7,FALSE)</f>
        <v>4.354823151</v>
      </c>
      <c r="P85" s="59">
        <f>($C85/$D85)*VLOOKUP($E85,'AWS Platforms Ratios'!$A$2:$O$25,8,FALSE)</f>
        <v>11.93476688</v>
      </c>
      <c r="Q85" s="59">
        <f>($C85/$D85)*VLOOKUP($E85,'AWS Platforms Ratios'!$A$2:$O$25,9,FALSE)</f>
        <v>28.20988746</v>
      </c>
      <c r="R85" s="59">
        <f>($C85/$D85)*VLOOKUP($E85,'AWS Platforms Ratios'!$A$2:$O$25,10,FALSE)</f>
        <v>38.1954381</v>
      </c>
      <c r="S85" s="59">
        <f>$F85*VLOOKUP($E85,'AWS Platforms Ratios'!$A$2:$O$25,11,FALSE)</f>
        <v>6.4</v>
      </c>
      <c r="T85" s="59">
        <f>$F85*VLOOKUP($E85,'AWS Platforms Ratios'!$A$2:$O$25,12,FALSE)</f>
        <v>9.6</v>
      </c>
      <c r="U85" s="59">
        <f>$F85*VLOOKUP($E85,'AWS Platforms Ratios'!$A$2:$O$25,13,FALSE)</f>
        <v>12.8</v>
      </c>
      <c r="V85" s="59">
        <f>$F85*VLOOKUP($E85,'AWS Platforms Ratios'!$A$2:$O$25,14,FALSE)</f>
        <v>19.2</v>
      </c>
      <c r="W85" s="60">
        <f>IF($K85&lt;&gt;"N/A",$M85*(VLOOKUP($L85,'GPU Specs &amp; Ratios'!$B$2:$I$8,5,FALSE)),0)</f>
        <v>0</v>
      </c>
      <c r="X85" s="60">
        <f>IF($K85&lt;&gt;"N/A",$M85*(VLOOKUP($L85,'GPU Specs &amp; Ratios'!$B$2:$I$8,6,FALSE)),0)</f>
        <v>0</v>
      </c>
      <c r="Y85" s="60">
        <f>IF($K85&lt;&gt;"N/A",$M85*(VLOOKUP($L85,'GPU Specs &amp; Ratios'!$B$2:$I$8,7,FALSE)),0)</f>
        <v>0</v>
      </c>
      <c r="Z85" s="60">
        <f>IF($K85&lt;&gt;"N/A",$M85*(VLOOKUP($L85,'GPU Specs &amp; Ratios'!$B$2:$I$8,8,FALSE)),0)</f>
        <v>0</v>
      </c>
      <c r="AA85" s="60">
        <f>(C85/D85)*VLOOKUP($E85,'AWS Platforms Ratios'!$A$2:$O$25,15,FALSE)</f>
        <v>7.5</v>
      </c>
      <c r="AB85" s="60">
        <f t="shared" ref="AB85:AE85" si="84">O85+S85+W85+$AA85</f>
        <v>18.25482315</v>
      </c>
      <c r="AC85" s="60">
        <f t="shared" si="84"/>
        <v>29.03476688</v>
      </c>
      <c r="AD85" s="60">
        <f t="shared" si="84"/>
        <v>48.50988746</v>
      </c>
      <c r="AE85" s="60">
        <f t="shared" si="84"/>
        <v>64.8954381</v>
      </c>
      <c r="AF85" s="60">
        <f>IF(G85&gt;'Scope 3 Ratios'!$B$5,(G85-'Scope 3 Ratios'!$B$5)*('Scope 3 Ratios'!$B$6/'Scope 3 Ratios'!$B$5),0)</f>
        <v>155.3328</v>
      </c>
      <c r="AG85" s="60">
        <f>J85*IF(I85="SSD",'Scope 3 Ratios'!$B$9,'Scope 3 Ratios'!$B$8)</f>
        <v>0</v>
      </c>
      <c r="AH85" s="60">
        <f>IF(K85&lt;&gt;"N/A",K85*'Scope 3 Ratios'!$B$10,0)</f>
        <v>0</v>
      </c>
      <c r="AI85" s="60">
        <f>(VLOOKUP($E85,'AWS Platforms Ratios'!$A$2:$O$25,3,FALSE)-1)*'Scope 3 Ratios'!$B$7</f>
        <v>0</v>
      </c>
      <c r="AJ85" s="60">
        <f>'Scope 3 Ratios'!$B$2+AF85+AG85+AH85+AI85</f>
        <v>1155.3328</v>
      </c>
      <c r="AK85" s="60">
        <f>AJ85*'Scope 3 Ratios'!$B$4*(C85/D85)</f>
        <v>8.35744213</v>
      </c>
      <c r="AL85" s="61" t="s">
        <v>190</v>
      </c>
    </row>
    <row r="86" ht="15.0" customHeight="1">
      <c r="A86" s="63" t="s">
        <v>220</v>
      </c>
      <c r="B86" s="56" t="s">
        <v>188</v>
      </c>
      <c r="C86" s="63">
        <v>32.0</v>
      </c>
      <c r="D86" s="56">
        <f>VLOOKUP(E86,'AWS Platforms Ratios'!$A$2:$B$25,2,FALSE)</f>
        <v>64</v>
      </c>
      <c r="E86" s="63" t="s">
        <v>189</v>
      </c>
      <c r="F86" s="63">
        <v>64.0</v>
      </c>
      <c r="G86" s="63">
        <v>128.0</v>
      </c>
      <c r="H86" s="64" t="s">
        <v>71</v>
      </c>
      <c r="I86" s="63" t="s">
        <v>72</v>
      </c>
      <c r="J86" s="63">
        <v>0.0</v>
      </c>
      <c r="K86" s="58" t="s">
        <v>73</v>
      </c>
      <c r="L86" s="58" t="s">
        <v>73</v>
      </c>
      <c r="M86" s="58" t="s">
        <v>73</v>
      </c>
      <c r="N86" s="58" t="s">
        <v>73</v>
      </c>
      <c r="O86" s="59">
        <f>($C86/$D86)*VLOOKUP($E86,'AWS Platforms Ratios'!$A$2:$O$25,7,FALSE)</f>
        <v>8.709646302</v>
      </c>
      <c r="P86" s="59">
        <f>($C86/$D86)*VLOOKUP($E86,'AWS Platforms Ratios'!$A$2:$O$25,8,FALSE)</f>
        <v>23.86953376</v>
      </c>
      <c r="Q86" s="59">
        <f>($C86/$D86)*VLOOKUP($E86,'AWS Platforms Ratios'!$A$2:$O$25,9,FALSE)</f>
        <v>56.41977492</v>
      </c>
      <c r="R86" s="59">
        <f>($C86/$D86)*VLOOKUP($E86,'AWS Platforms Ratios'!$A$2:$O$25,10,FALSE)</f>
        <v>76.39087621</v>
      </c>
      <c r="S86" s="59">
        <f>$F86*VLOOKUP($E86,'AWS Platforms Ratios'!$A$2:$O$25,11,FALSE)</f>
        <v>12.8</v>
      </c>
      <c r="T86" s="59">
        <f>$F86*VLOOKUP($E86,'AWS Platforms Ratios'!$A$2:$O$25,12,FALSE)</f>
        <v>19.2</v>
      </c>
      <c r="U86" s="59">
        <f>$F86*VLOOKUP($E86,'AWS Platforms Ratios'!$A$2:$O$25,13,FALSE)</f>
        <v>25.6</v>
      </c>
      <c r="V86" s="59">
        <f>$F86*VLOOKUP($E86,'AWS Platforms Ratios'!$A$2:$O$25,14,FALSE)</f>
        <v>38.4</v>
      </c>
      <c r="W86" s="60">
        <f>IF($K86&lt;&gt;"N/A",$M86*(VLOOKUP($L86,'GPU Specs &amp; Ratios'!$B$2:$I$8,5,FALSE)),0)</f>
        <v>0</v>
      </c>
      <c r="X86" s="60">
        <f>IF($K86&lt;&gt;"N/A",$M86*(VLOOKUP($L86,'GPU Specs &amp; Ratios'!$B$2:$I$8,6,FALSE)),0)</f>
        <v>0</v>
      </c>
      <c r="Y86" s="60">
        <f>IF($K86&lt;&gt;"N/A",$M86*(VLOOKUP($L86,'GPU Specs &amp; Ratios'!$B$2:$I$8,7,FALSE)),0)</f>
        <v>0</v>
      </c>
      <c r="Z86" s="60">
        <f>IF($K86&lt;&gt;"N/A",$M86*(VLOOKUP($L86,'GPU Specs &amp; Ratios'!$B$2:$I$8,8,FALSE)),0)</f>
        <v>0</v>
      </c>
      <c r="AA86" s="60">
        <f>(C86/D86)*VLOOKUP($E86,'AWS Platforms Ratios'!$A$2:$O$25,15,FALSE)</f>
        <v>15</v>
      </c>
      <c r="AB86" s="60">
        <f t="shared" ref="AB86:AE86" si="85">O86+S86+W86+$AA86</f>
        <v>36.5096463</v>
      </c>
      <c r="AC86" s="60">
        <f t="shared" si="85"/>
        <v>58.06953376</v>
      </c>
      <c r="AD86" s="60">
        <f t="shared" si="85"/>
        <v>97.01977492</v>
      </c>
      <c r="AE86" s="60">
        <f t="shared" si="85"/>
        <v>129.7908762</v>
      </c>
      <c r="AF86" s="60">
        <f>IF(G86&gt;'Scope 3 Ratios'!$B$5,(G86-'Scope 3 Ratios'!$B$5)*('Scope 3 Ratios'!$B$6/'Scope 3 Ratios'!$B$5),0)</f>
        <v>155.3328</v>
      </c>
      <c r="AG86" s="60">
        <f>J86*IF(I86="SSD",'Scope 3 Ratios'!$B$9,'Scope 3 Ratios'!$B$8)</f>
        <v>0</v>
      </c>
      <c r="AH86" s="60">
        <f>IF(K86&lt;&gt;"N/A",K86*'Scope 3 Ratios'!$B$10,0)</f>
        <v>0</v>
      </c>
      <c r="AI86" s="60">
        <f>(VLOOKUP($E86,'AWS Platforms Ratios'!$A$2:$O$25,3,FALSE)-1)*'Scope 3 Ratios'!$B$7</f>
        <v>0</v>
      </c>
      <c r="AJ86" s="60">
        <f>'Scope 3 Ratios'!$B$2+AF86+AG86+AH86+AI86</f>
        <v>1155.3328</v>
      </c>
      <c r="AK86" s="60">
        <f>AJ86*'Scope 3 Ratios'!$B$4*(C86/D86)</f>
        <v>16.71488426</v>
      </c>
      <c r="AL86" s="61" t="s">
        <v>190</v>
      </c>
    </row>
    <row r="87" ht="15.0" customHeight="1">
      <c r="A87" s="63" t="s">
        <v>221</v>
      </c>
      <c r="B87" s="56" t="s">
        <v>188</v>
      </c>
      <c r="C87" s="63">
        <v>48.0</v>
      </c>
      <c r="D87" s="56">
        <f>VLOOKUP(E87,'AWS Platforms Ratios'!$A$2:$B$25,2,FALSE)</f>
        <v>64</v>
      </c>
      <c r="E87" s="63" t="s">
        <v>189</v>
      </c>
      <c r="F87" s="63">
        <v>96.0</v>
      </c>
      <c r="G87" s="63">
        <v>128.0</v>
      </c>
      <c r="H87" s="64" t="s">
        <v>71</v>
      </c>
      <c r="I87" s="63" t="s">
        <v>72</v>
      </c>
      <c r="J87" s="63">
        <v>0.0</v>
      </c>
      <c r="K87" s="58" t="s">
        <v>73</v>
      </c>
      <c r="L87" s="58" t="s">
        <v>73</v>
      </c>
      <c r="M87" s="58" t="s">
        <v>73</v>
      </c>
      <c r="N87" s="58" t="s">
        <v>73</v>
      </c>
      <c r="O87" s="59">
        <f>($C87/$D87)*VLOOKUP($E87,'AWS Platforms Ratios'!$A$2:$O$25,7,FALSE)</f>
        <v>13.06446945</v>
      </c>
      <c r="P87" s="59">
        <f>($C87/$D87)*VLOOKUP($E87,'AWS Platforms Ratios'!$A$2:$O$25,8,FALSE)</f>
        <v>35.80430064</v>
      </c>
      <c r="Q87" s="59">
        <f>($C87/$D87)*VLOOKUP($E87,'AWS Platforms Ratios'!$A$2:$O$25,9,FALSE)</f>
        <v>84.62966238</v>
      </c>
      <c r="R87" s="59">
        <f>($C87/$D87)*VLOOKUP($E87,'AWS Platforms Ratios'!$A$2:$O$25,10,FALSE)</f>
        <v>114.5863143</v>
      </c>
      <c r="S87" s="59">
        <f>$F87*VLOOKUP($E87,'AWS Platforms Ratios'!$A$2:$O$25,11,FALSE)</f>
        <v>19.2</v>
      </c>
      <c r="T87" s="59">
        <f>$F87*VLOOKUP($E87,'AWS Platforms Ratios'!$A$2:$O$25,12,FALSE)</f>
        <v>28.8</v>
      </c>
      <c r="U87" s="59">
        <f>$F87*VLOOKUP($E87,'AWS Platforms Ratios'!$A$2:$O$25,13,FALSE)</f>
        <v>38.4</v>
      </c>
      <c r="V87" s="59">
        <f>$F87*VLOOKUP($E87,'AWS Platforms Ratios'!$A$2:$O$25,14,FALSE)</f>
        <v>57.6</v>
      </c>
      <c r="W87" s="60">
        <f>IF($K87&lt;&gt;"N/A",$M87*(VLOOKUP($L87,'GPU Specs &amp; Ratios'!$B$2:$I$8,5,FALSE)),0)</f>
        <v>0</v>
      </c>
      <c r="X87" s="60">
        <f>IF($K87&lt;&gt;"N/A",$M87*(VLOOKUP($L87,'GPU Specs &amp; Ratios'!$B$2:$I$8,6,FALSE)),0)</f>
        <v>0</v>
      </c>
      <c r="Y87" s="60">
        <f>IF($K87&lt;&gt;"N/A",$M87*(VLOOKUP($L87,'GPU Specs &amp; Ratios'!$B$2:$I$8,7,FALSE)),0)</f>
        <v>0</v>
      </c>
      <c r="Z87" s="60">
        <f>IF($K87&lt;&gt;"N/A",$M87*(VLOOKUP($L87,'GPU Specs &amp; Ratios'!$B$2:$I$8,8,FALSE)),0)</f>
        <v>0</v>
      </c>
      <c r="AA87" s="60">
        <f>(C87/D87)*VLOOKUP($E87,'AWS Platforms Ratios'!$A$2:$O$25,15,FALSE)</f>
        <v>22.5</v>
      </c>
      <c r="AB87" s="60">
        <f t="shared" ref="AB87:AE87" si="86">O87+S87+W87+$AA87</f>
        <v>54.76446945</v>
      </c>
      <c r="AC87" s="60">
        <f t="shared" si="86"/>
        <v>87.10430064</v>
      </c>
      <c r="AD87" s="60">
        <f t="shared" si="86"/>
        <v>145.5296624</v>
      </c>
      <c r="AE87" s="60">
        <f t="shared" si="86"/>
        <v>194.6863143</v>
      </c>
      <c r="AF87" s="60">
        <f>IF(G87&gt;'Scope 3 Ratios'!$B$5,(G87-'Scope 3 Ratios'!$B$5)*('Scope 3 Ratios'!$B$6/'Scope 3 Ratios'!$B$5),0)</f>
        <v>155.3328</v>
      </c>
      <c r="AG87" s="60">
        <f>J87*IF(I87="SSD",'Scope 3 Ratios'!$B$9,'Scope 3 Ratios'!$B$8)</f>
        <v>0</v>
      </c>
      <c r="AH87" s="60">
        <f>IF(K87&lt;&gt;"N/A",K87*'Scope 3 Ratios'!$B$10,0)</f>
        <v>0</v>
      </c>
      <c r="AI87" s="60">
        <f>(VLOOKUP($E87,'AWS Platforms Ratios'!$A$2:$O$25,3,FALSE)-1)*'Scope 3 Ratios'!$B$7</f>
        <v>0</v>
      </c>
      <c r="AJ87" s="60">
        <f>'Scope 3 Ratios'!$B$2+AF87+AG87+AH87+AI87</f>
        <v>1155.3328</v>
      </c>
      <c r="AK87" s="60">
        <f>AJ87*'Scope 3 Ratios'!$B$4*(C87/D87)</f>
        <v>25.07232639</v>
      </c>
      <c r="AL87" s="61" t="s">
        <v>190</v>
      </c>
    </row>
    <row r="88" ht="15.0" customHeight="1">
      <c r="A88" s="63" t="s">
        <v>222</v>
      </c>
      <c r="B88" s="56" t="s">
        <v>188</v>
      </c>
      <c r="C88" s="63">
        <v>64.0</v>
      </c>
      <c r="D88" s="56">
        <f>VLOOKUP(E88,'AWS Platforms Ratios'!$A$2:$B$25,2,FALSE)</f>
        <v>64</v>
      </c>
      <c r="E88" s="63" t="s">
        <v>189</v>
      </c>
      <c r="F88" s="63">
        <v>128.0</v>
      </c>
      <c r="G88" s="63">
        <v>128.0</v>
      </c>
      <c r="H88" s="64" t="s">
        <v>71</v>
      </c>
      <c r="I88" s="63" t="s">
        <v>72</v>
      </c>
      <c r="J88" s="63">
        <v>0.0</v>
      </c>
      <c r="K88" s="58" t="s">
        <v>73</v>
      </c>
      <c r="L88" s="58" t="s">
        <v>73</v>
      </c>
      <c r="M88" s="58" t="s">
        <v>73</v>
      </c>
      <c r="N88" s="58" t="s">
        <v>73</v>
      </c>
      <c r="O88" s="59">
        <f>($C88/$D88)*VLOOKUP($E88,'AWS Platforms Ratios'!$A$2:$O$25,7,FALSE)</f>
        <v>17.4192926</v>
      </c>
      <c r="P88" s="59">
        <f>($C88/$D88)*VLOOKUP($E88,'AWS Platforms Ratios'!$A$2:$O$25,8,FALSE)</f>
        <v>47.73906752</v>
      </c>
      <c r="Q88" s="59">
        <f>($C88/$D88)*VLOOKUP($E88,'AWS Platforms Ratios'!$A$2:$O$25,9,FALSE)</f>
        <v>112.8395498</v>
      </c>
      <c r="R88" s="59">
        <f>($C88/$D88)*VLOOKUP($E88,'AWS Platforms Ratios'!$A$2:$O$25,10,FALSE)</f>
        <v>152.7817524</v>
      </c>
      <c r="S88" s="59">
        <f>$F88*VLOOKUP($E88,'AWS Platforms Ratios'!$A$2:$O$25,11,FALSE)</f>
        <v>25.6</v>
      </c>
      <c r="T88" s="59">
        <f>$F88*VLOOKUP($E88,'AWS Platforms Ratios'!$A$2:$O$25,12,FALSE)</f>
        <v>38.4</v>
      </c>
      <c r="U88" s="59">
        <f>$F88*VLOOKUP($E88,'AWS Platforms Ratios'!$A$2:$O$25,13,FALSE)</f>
        <v>51.2</v>
      </c>
      <c r="V88" s="59">
        <f>$F88*VLOOKUP($E88,'AWS Platforms Ratios'!$A$2:$O$25,14,FALSE)</f>
        <v>76.8</v>
      </c>
      <c r="W88" s="60">
        <f>IF($K88&lt;&gt;"N/A",$M88*(VLOOKUP($L88,'GPU Specs &amp; Ratios'!$B$2:$I$8,5,FALSE)),0)</f>
        <v>0</v>
      </c>
      <c r="X88" s="60">
        <f>IF($K88&lt;&gt;"N/A",$M88*(VLOOKUP($L88,'GPU Specs &amp; Ratios'!$B$2:$I$8,6,FALSE)),0)</f>
        <v>0</v>
      </c>
      <c r="Y88" s="60">
        <f>IF($K88&lt;&gt;"N/A",$M88*(VLOOKUP($L88,'GPU Specs &amp; Ratios'!$B$2:$I$8,7,FALSE)),0)</f>
        <v>0</v>
      </c>
      <c r="Z88" s="60">
        <f>IF($K88&lt;&gt;"N/A",$M88*(VLOOKUP($L88,'GPU Specs &amp; Ratios'!$B$2:$I$8,8,FALSE)),0)</f>
        <v>0</v>
      </c>
      <c r="AA88" s="60">
        <f>(C88/D88)*VLOOKUP($E88,'AWS Platforms Ratios'!$A$2:$O$25,15,FALSE)</f>
        <v>30</v>
      </c>
      <c r="AB88" s="60">
        <f t="shared" ref="AB88:AE88" si="87">O88+S88+W88+$AA88</f>
        <v>73.0192926</v>
      </c>
      <c r="AC88" s="60">
        <f t="shared" si="87"/>
        <v>116.1390675</v>
      </c>
      <c r="AD88" s="60">
        <f t="shared" si="87"/>
        <v>194.0395498</v>
      </c>
      <c r="AE88" s="60">
        <f t="shared" si="87"/>
        <v>259.5817524</v>
      </c>
      <c r="AF88" s="60">
        <f>IF(G88&gt;'Scope 3 Ratios'!$B$5,(G88-'Scope 3 Ratios'!$B$5)*('Scope 3 Ratios'!$B$6/'Scope 3 Ratios'!$B$5),0)</f>
        <v>155.3328</v>
      </c>
      <c r="AG88" s="60">
        <f>J88*IF(I88="SSD",'Scope 3 Ratios'!$B$9,'Scope 3 Ratios'!$B$8)</f>
        <v>0</v>
      </c>
      <c r="AH88" s="60">
        <f>IF(K88&lt;&gt;"N/A",K88*'Scope 3 Ratios'!$B$10,0)</f>
        <v>0</v>
      </c>
      <c r="AI88" s="60">
        <f>(VLOOKUP($E88,'AWS Platforms Ratios'!$A$2:$O$25,3,FALSE)-1)*'Scope 3 Ratios'!$B$7</f>
        <v>0</v>
      </c>
      <c r="AJ88" s="60">
        <f>'Scope 3 Ratios'!$B$2+AF88+AG88+AH88+AI88</f>
        <v>1155.3328</v>
      </c>
      <c r="AK88" s="60">
        <f>AJ88*'Scope 3 Ratios'!$B$4*(C88/D88)</f>
        <v>33.42976852</v>
      </c>
      <c r="AL88" s="61" t="s">
        <v>190</v>
      </c>
    </row>
    <row r="89" ht="15.0" customHeight="1">
      <c r="A89" s="56" t="s">
        <v>223</v>
      </c>
      <c r="B89" s="56" t="s">
        <v>224</v>
      </c>
      <c r="C89" s="56">
        <v>4.0</v>
      </c>
      <c r="D89" s="56">
        <f>VLOOKUP(E89,'AWS Platforms Ratios'!$A$2:$B$25,2,FALSE)</f>
        <v>48</v>
      </c>
      <c r="E89" s="57" t="s">
        <v>225</v>
      </c>
      <c r="F89" s="56">
        <v>30.5</v>
      </c>
      <c r="G89" s="56">
        <v>244.0</v>
      </c>
      <c r="H89" s="57" t="s">
        <v>226</v>
      </c>
      <c r="I89" s="56" t="s">
        <v>227</v>
      </c>
      <c r="J89" s="56">
        <v>24.0</v>
      </c>
      <c r="K89" s="58" t="s">
        <v>73</v>
      </c>
      <c r="L89" s="58" t="s">
        <v>73</v>
      </c>
      <c r="M89" s="58" t="s">
        <v>73</v>
      </c>
      <c r="N89" s="58" t="s">
        <v>73</v>
      </c>
      <c r="O89" s="59">
        <f>($C89/$D89)*VLOOKUP($E89,'AWS Platforms Ratios'!$A$2:$O$25,7,FALSE)</f>
        <v>2.412413793</v>
      </c>
      <c r="P89" s="59">
        <f>($C89/$D89)*VLOOKUP($E89,'AWS Platforms Ratios'!$A$2:$O$25,8,FALSE)</f>
        <v>6.886896552</v>
      </c>
      <c r="Q89" s="59">
        <f>($C89/$D89)*VLOOKUP($E89,'AWS Platforms Ratios'!$A$2:$O$25,9,FALSE)</f>
        <v>14.16482759</v>
      </c>
      <c r="R89" s="59">
        <f>($C89/$D89)*VLOOKUP($E89,'AWS Platforms Ratios'!$A$2:$O$25,10,FALSE)</f>
        <v>19.38844828</v>
      </c>
      <c r="S89" s="59">
        <f>$F89*VLOOKUP($E89,'AWS Platforms Ratios'!$A$2:$O$25,11,FALSE)</f>
        <v>6.1</v>
      </c>
      <c r="T89" s="59">
        <f>$F89*VLOOKUP($E89,'AWS Platforms Ratios'!$A$2:$O$25,12,FALSE)</f>
        <v>9.15</v>
      </c>
      <c r="U89" s="59">
        <f>$F89*VLOOKUP($E89,'AWS Platforms Ratios'!$A$2:$O$25,13,FALSE)</f>
        <v>12.2</v>
      </c>
      <c r="V89" s="59">
        <f>$F89*VLOOKUP($E89,'AWS Platforms Ratios'!$A$2:$O$25,14,FALSE)</f>
        <v>18.3</v>
      </c>
      <c r="W89" s="60">
        <f>IF($K89&lt;&gt;"N/A",$M89*(VLOOKUP($L89,'GPU Specs &amp; Ratios'!$B$2:$I$8,5,FALSE)),0)</f>
        <v>0</v>
      </c>
      <c r="X89" s="60">
        <f>IF($K89&lt;&gt;"N/A",$M89*(VLOOKUP($L89,'GPU Specs &amp; Ratios'!$B$2:$I$8,6,FALSE)),0)</f>
        <v>0</v>
      </c>
      <c r="Y89" s="60">
        <f>IF($K89&lt;&gt;"N/A",$M89*(VLOOKUP($L89,'GPU Specs &amp; Ratios'!$B$2:$I$8,7,FALSE)),0)</f>
        <v>0</v>
      </c>
      <c r="Z89" s="60">
        <f>IF($K89&lt;&gt;"N/A",$M89*(VLOOKUP($L89,'GPU Specs &amp; Ratios'!$B$2:$I$8,8,FALSE)),0)</f>
        <v>0</v>
      </c>
      <c r="AA89" s="60">
        <f>(C89/D89)*VLOOKUP($E89,'AWS Platforms Ratios'!$A$2:$O$25,15,FALSE)</f>
        <v>4</v>
      </c>
      <c r="AB89" s="60">
        <f t="shared" ref="AB89:AE89" si="88">O89+S89+W89+$AA89</f>
        <v>12.51241379</v>
      </c>
      <c r="AC89" s="60">
        <f t="shared" si="88"/>
        <v>20.03689655</v>
      </c>
      <c r="AD89" s="60">
        <f t="shared" si="88"/>
        <v>30.36482759</v>
      </c>
      <c r="AE89" s="60">
        <f t="shared" si="88"/>
        <v>41.68844828</v>
      </c>
      <c r="AF89" s="60">
        <f>IF(G89&gt;'Scope 3 Ratios'!$B$5,(G89-'Scope 3 Ratios'!$B$5)*('Scope 3 Ratios'!$B$6/'Scope 3 Ratios'!$B$5),0)</f>
        <v>316.2132</v>
      </c>
      <c r="AG89" s="60">
        <f>J89*IF(I89="SSD",'Scope 3 Ratios'!$B$9,'Scope 3 Ratios'!$B$8)</f>
        <v>1200</v>
      </c>
      <c r="AH89" s="60">
        <f>IF(K89&lt;&gt;"N/A",K89*'Scope 3 Ratios'!$B$10,0)</f>
        <v>0</v>
      </c>
      <c r="AI89" s="60">
        <f>(VLOOKUP($E89,'AWS Platforms Ratios'!$A$2:$O$25,3,FALSE)-1)*'Scope 3 Ratios'!$B$7</f>
        <v>100</v>
      </c>
      <c r="AJ89" s="60">
        <f>'Scope 3 Ratios'!$B$2+AF89+AG89+AH89+AI89</f>
        <v>2616.2132</v>
      </c>
      <c r="AK89" s="60">
        <f>AJ89*'Scope 3 Ratios'!$B$4*(C89/D89)</f>
        <v>6.308384452</v>
      </c>
      <c r="AL89" s="61" t="s">
        <v>228</v>
      </c>
    </row>
    <row r="90" ht="15.0" customHeight="1">
      <c r="A90" s="56" t="s">
        <v>229</v>
      </c>
      <c r="B90" s="56" t="s">
        <v>224</v>
      </c>
      <c r="C90" s="56">
        <v>8.0</v>
      </c>
      <c r="D90" s="56">
        <f>VLOOKUP(E90,'AWS Platforms Ratios'!$A$2:$B$25,2,FALSE)</f>
        <v>48</v>
      </c>
      <c r="E90" s="57" t="s">
        <v>225</v>
      </c>
      <c r="F90" s="56">
        <v>61.0</v>
      </c>
      <c r="G90" s="56">
        <v>244.0</v>
      </c>
      <c r="H90" s="57" t="s">
        <v>230</v>
      </c>
      <c r="I90" s="56" t="s">
        <v>227</v>
      </c>
      <c r="J90" s="56">
        <v>24.0</v>
      </c>
      <c r="K90" s="58" t="s">
        <v>73</v>
      </c>
      <c r="L90" s="58" t="s">
        <v>73</v>
      </c>
      <c r="M90" s="58" t="s">
        <v>73</v>
      </c>
      <c r="N90" s="58" t="s">
        <v>73</v>
      </c>
      <c r="O90" s="59">
        <f>($C90/$D90)*VLOOKUP($E90,'AWS Platforms Ratios'!$A$2:$O$25,7,FALSE)</f>
        <v>4.824827586</v>
      </c>
      <c r="P90" s="59">
        <f>($C90/$D90)*VLOOKUP($E90,'AWS Platforms Ratios'!$A$2:$O$25,8,FALSE)</f>
        <v>13.7737931</v>
      </c>
      <c r="Q90" s="59">
        <f>($C90/$D90)*VLOOKUP($E90,'AWS Platforms Ratios'!$A$2:$O$25,9,FALSE)</f>
        <v>28.32965517</v>
      </c>
      <c r="R90" s="59">
        <f>($C90/$D90)*VLOOKUP($E90,'AWS Platforms Ratios'!$A$2:$O$25,10,FALSE)</f>
        <v>38.77689655</v>
      </c>
      <c r="S90" s="59">
        <f>$F90*VLOOKUP($E90,'AWS Platforms Ratios'!$A$2:$O$25,11,FALSE)</f>
        <v>12.2</v>
      </c>
      <c r="T90" s="59">
        <f>$F90*VLOOKUP($E90,'AWS Platforms Ratios'!$A$2:$O$25,12,FALSE)</f>
        <v>18.3</v>
      </c>
      <c r="U90" s="59">
        <f>$F90*VLOOKUP($E90,'AWS Platforms Ratios'!$A$2:$O$25,13,FALSE)</f>
        <v>24.4</v>
      </c>
      <c r="V90" s="59">
        <f>$F90*VLOOKUP($E90,'AWS Platforms Ratios'!$A$2:$O$25,14,FALSE)</f>
        <v>36.6</v>
      </c>
      <c r="W90" s="60">
        <f>IF($K90&lt;&gt;"N/A",$M90*(VLOOKUP($L90,'GPU Specs &amp; Ratios'!$B$2:$I$8,5,FALSE)),0)</f>
        <v>0</v>
      </c>
      <c r="X90" s="60">
        <f>IF($K90&lt;&gt;"N/A",$M90*(VLOOKUP($L90,'GPU Specs &amp; Ratios'!$B$2:$I$8,6,FALSE)),0)</f>
        <v>0</v>
      </c>
      <c r="Y90" s="60">
        <f>IF($K90&lt;&gt;"N/A",$M90*(VLOOKUP($L90,'GPU Specs &amp; Ratios'!$B$2:$I$8,7,FALSE)),0)</f>
        <v>0</v>
      </c>
      <c r="Z90" s="60">
        <f>IF($K90&lt;&gt;"N/A",$M90*(VLOOKUP($L90,'GPU Specs &amp; Ratios'!$B$2:$I$8,8,FALSE)),0)</f>
        <v>0</v>
      </c>
      <c r="AA90" s="60">
        <f>(C90/D90)*VLOOKUP($E90,'AWS Platforms Ratios'!$A$2:$O$25,15,FALSE)</f>
        <v>8</v>
      </c>
      <c r="AB90" s="60">
        <f t="shared" ref="AB90:AE90" si="89">O90+S90+W90+$AA90</f>
        <v>25.02482759</v>
      </c>
      <c r="AC90" s="60">
        <f t="shared" si="89"/>
        <v>40.0737931</v>
      </c>
      <c r="AD90" s="60">
        <f t="shared" si="89"/>
        <v>60.72965517</v>
      </c>
      <c r="AE90" s="60">
        <f t="shared" si="89"/>
        <v>83.37689655</v>
      </c>
      <c r="AF90" s="60">
        <f>IF(G90&gt;'Scope 3 Ratios'!$B$5,(G90-'Scope 3 Ratios'!$B$5)*('Scope 3 Ratios'!$B$6/'Scope 3 Ratios'!$B$5),0)</f>
        <v>316.2132</v>
      </c>
      <c r="AG90" s="60">
        <f>J90*IF(I90="SSD",'Scope 3 Ratios'!$B$9,'Scope 3 Ratios'!$B$8)</f>
        <v>1200</v>
      </c>
      <c r="AH90" s="60">
        <f>IF(K90&lt;&gt;"N/A",K90*'Scope 3 Ratios'!$B$10,0)</f>
        <v>0</v>
      </c>
      <c r="AI90" s="60">
        <f>(VLOOKUP($E90,'AWS Platforms Ratios'!$A$2:$O$25,3,FALSE)-1)*'Scope 3 Ratios'!$B$7</f>
        <v>100</v>
      </c>
      <c r="AJ90" s="60">
        <f>'Scope 3 Ratios'!$B$2+AF90+AG90+AH90+AI90</f>
        <v>2616.2132</v>
      </c>
      <c r="AK90" s="60">
        <f>AJ90*'Scope 3 Ratios'!$B$4*(C90/D90)</f>
        <v>12.6167689</v>
      </c>
      <c r="AL90" s="61" t="s">
        <v>228</v>
      </c>
    </row>
    <row r="91" ht="15.0" customHeight="1">
      <c r="A91" s="56" t="s">
        <v>231</v>
      </c>
      <c r="B91" s="56" t="s">
        <v>224</v>
      </c>
      <c r="C91" s="56">
        <v>16.0</v>
      </c>
      <c r="D91" s="56">
        <f>VLOOKUP(E91,'AWS Platforms Ratios'!$A$2:$B$25,2,FALSE)</f>
        <v>48</v>
      </c>
      <c r="E91" s="57" t="s">
        <v>225</v>
      </c>
      <c r="F91" s="56">
        <v>122.0</v>
      </c>
      <c r="G91" s="56">
        <v>244.0</v>
      </c>
      <c r="H91" s="57" t="s">
        <v>232</v>
      </c>
      <c r="I91" s="56" t="s">
        <v>227</v>
      </c>
      <c r="J91" s="56">
        <v>24.0</v>
      </c>
      <c r="K91" s="58" t="s">
        <v>73</v>
      </c>
      <c r="L91" s="58" t="s">
        <v>73</v>
      </c>
      <c r="M91" s="58" t="s">
        <v>73</v>
      </c>
      <c r="N91" s="58" t="s">
        <v>73</v>
      </c>
      <c r="O91" s="59">
        <f>($C91/$D91)*VLOOKUP($E91,'AWS Platforms Ratios'!$A$2:$O$25,7,FALSE)</f>
        <v>9.649655172</v>
      </c>
      <c r="P91" s="59">
        <f>($C91/$D91)*VLOOKUP($E91,'AWS Platforms Ratios'!$A$2:$O$25,8,FALSE)</f>
        <v>27.54758621</v>
      </c>
      <c r="Q91" s="59">
        <f>($C91/$D91)*VLOOKUP($E91,'AWS Platforms Ratios'!$A$2:$O$25,9,FALSE)</f>
        <v>56.65931034</v>
      </c>
      <c r="R91" s="59">
        <f>($C91/$D91)*VLOOKUP($E91,'AWS Platforms Ratios'!$A$2:$O$25,10,FALSE)</f>
        <v>77.5537931</v>
      </c>
      <c r="S91" s="59">
        <f>$F91*VLOOKUP($E91,'AWS Platforms Ratios'!$A$2:$O$25,11,FALSE)</f>
        <v>24.4</v>
      </c>
      <c r="T91" s="59">
        <f>$F91*VLOOKUP($E91,'AWS Platforms Ratios'!$A$2:$O$25,12,FALSE)</f>
        <v>36.6</v>
      </c>
      <c r="U91" s="59">
        <f>$F91*VLOOKUP($E91,'AWS Platforms Ratios'!$A$2:$O$25,13,FALSE)</f>
        <v>48.8</v>
      </c>
      <c r="V91" s="59">
        <f>$F91*VLOOKUP($E91,'AWS Platforms Ratios'!$A$2:$O$25,14,FALSE)</f>
        <v>73.2</v>
      </c>
      <c r="W91" s="60">
        <f>IF($K91&lt;&gt;"N/A",$M91*(VLOOKUP($L91,'GPU Specs &amp; Ratios'!$B$2:$I$8,5,FALSE)),0)</f>
        <v>0</v>
      </c>
      <c r="X91" s="60">
        <f>IF($K91&lt;&gt;"N/A",$M91*(VLOOKUP($L91,'GPU Specs &amp; Ratios'!$B$2:$I$8,6,FALSE)),0)</f>
        <v>0</v>
      </c>
      <c r="Y91" s="60">
        <f>IF($K91&lt;&gt;"N/A",$M91*(VLOOKUP($L91,'GPU Specs &amp; Ratios'!$B$2:$I$8,7,FALSE)),0)</f>
        <v>0</v>
      </c>
      <c r="Z91" s="60">
        <f>IF($K91&lt;&gt;"N/A",$M91*(VLOOKUP($L91,'GPU Specs &amp; Ratios'!$B$2:$I$8,8,FALSE)),0)</f>
        <v>0</v>
      </c>
      <c r="AA91" s="60">
        <f>(C91/D91)*VLOOKUP($E91,'AWS Platforms Ratios'!$A$2:$O$25,15,FALSE)</f>
        <v>16</v>
      </c>
      <c r="AB91" s="60">
        <f t="shared" ref="AB91:AE91" si="90">O91+S91+W91+$AA91</f>
        <v>50.04965517</v>
      </c>
      <c r="AC91" s="60">
        <f t="shared" si="90"/>
        <v>80.14758621</v>
      </c>
      <c r="AD91" s="60">
        <f t="shared" si="90"/>
        <v>121.4593103</v>
      </c>
      <c r="AE91" s="60">
        <f t="shared" si="90"/>
        <v>166.7537931</v>
      </c>
      <c r="AF91" s="60">
        <f>IF(G91&gt;'Scope 3 Ratios'!$B$5,(G91-'Scope 3 Ratios'!$B$5)*('Scope 3 Ratios'!$B$6/'Scope 3 Ratios'!$B$5),0)</f>
        <v>316.2132</v>
      </c>
      <c r="AG91" s="60">
        <f>J91*IF(I91="SSD",'Scope 3 Ratios'!$B$9,'Scope 3 Ratios'!$B$8)</f>
        <v>1200</v>
      </c>
      <c r="AH91" s="60">
        <f>IF(K91&lt;&gt;"N/A",K91*'Scope 3 Ratios'!$B$10,0)</f>
        <v>0</v>
      </c>
      <c r="AI91" s="60">
        <f>(VLOOKUP($E91,'AWS Platforms Ratios'!$A$2:$O$25,3,FALSE)-1)*'Scope 3 Ratios'!$B$7</f>
        <v>100</v>
      </c>
      <c r="AJ91" s="60">
        <f>'Scope 3 Ratios'!$B$2+AF91+AG91+AH91+AI91</f>
        <v>2616.2132</v>
      </c>
      <c r="AK91" s="60">
        <f>AJ91*'Scope 3 Ratios'!$B$4*(C91/D91)</f>
        <v>25.23353781</v>
      </c>
      <c r="AL91" s="61" t="s">
        <v>228</v>
      </c>
    </row>
    <row r="92" ht="15.0" customHeight="1">
      <c r="A92" s="56" t="s">
        <v>233</v>
      </c>
      <c r="B92" s="56" t="s">
        <v>224</v>
      </c>
      <c r="C92" s="56">
        <v>36.0</v>
      </c>
      <c r="D92" s="56">
        <f>VLOOKUP(E92,'AWS Platforms Ratios'!$A$2:$B$25,2,FALSE)</f>
        <v>48</v>
      </c>
      <c r="E92" s="57" t="s">
        <v>225</v>
      </c>
      <c r="F92" s="56">
        <v>244.0</v>
      </c>
      <c r="G92" s="56">
        <v>244.0</v>
      </c>
      <c r="H92" s="57" t="s">
        <v>234</v>
      </c>
      <c r="I92" s="56" t="s">
        <v>227</v>
      </c>
      <c r="J92" s="56">
        <v>24.0</v>
      </c>
      <c r="K92" s="58" t="s">
        <v>73</v>
      </c>
      <c r="L92" s="58" t="s">
        <v>73</v>
      </c>
      <c r="M92" s="58" t="s">
        <v>73</v>
      </c>
      <c r="N92" s="58" t="s">
        <v>73</v>
      </c>
      <c r="O92" s="59">
        <f>($C92/$D92)*VLOOKUP($E92,'AWS Platforms Ratios'!$A$2:$O$25,7,FALSE)</f>
        <v>21.71172414</v>
      </c>
      <c r="P92" s="59">
        <f>($C92/$D92)*VLOOKUP($E92,'AWS Platforms Ratios'!$A$2:$O$25,8,FALSE)</f>
        <v>61.98206897</v>
      </c>
      <c r="Q92" s="59">
        <f>($C92/$D92)*VLOOKUP($E92,'AWS Platforms Ratios'!$A$2:$O$25,9,FALSE)</f>
        <v>127.4834483</v>
      </c>
      <c r="R92" s="59">
        <f>($C92/$D92)*VLOOKUP($E92,'AWS Platforms Ratios'!$A$2:$O$25,10,FALSE)</f>
        <v>174.4960345</v>
      </c>
      <c r="S92" s="59">
        <f>$F92*VLOOKUP($E92,'AWS Platforms Ratios'!$A$2:$O$25,11,FALSE)</f>
        <v>48.8</v>
      </c>
      <c r="T92" s="59">
        <f>$F92*VLOOKUP($E92,'AWS Platforms Ratios'!$A$2:$O$25,12,FALSE)</f>
        <v>73.2</v>
      </c>
      <c r="U92" s="59">
        <f>$F92*VLOOKUP($E92,'AWS Platforms Ratios'!$A$2:$O$25,13,FALSE)</f>
        <v>97.6</v>
      </c>
      <c r="V92" s="59">
        <f>$F92*VLOOKUP($E92,'AWS Platforms Ratios'!$A$2:$O$25,14,FALSE)</f>
        <v>146.4</v>
      </c>
      <c r="W92" s="60">
        <f>IF($K92&lt;&gt;"N/A",$M92*(VLOOKUP($L92,'GPU Specs &amp; Ratios'!$B$2:$I$8,5,FALSE)),0)</f>
        <v>0</v>
      </c>
      <c r="X92" s="60">
        <f>IF($K92&lt;&gt;"N/A",$M92*(VLOOKUP($L92,'GPU Specs &amp; Ratios'!$B$2:$I$8,6,FALSE)),0)</f>
        <v>0</v>
      </c>
      <c r="Y92" s="60">
        <f>IF($K92&lt;&gt;"N/A",$M92*(VLOOKUP($L92,'GPU Specs &amp; Ratios'!$B$2:$I$8,7,FALSE)),0)</f>
        <v>0</v>
      </c>
      <c r="Z92" s="60">
        <f>IF($K92&lt;&gt;"N/A",$M92*(VLOOKUP($L92,'GPU Specs &amp; Ratios'!$B$2:$I$8,8,FALSE)),0)</f>
        <v>0</v>
      </c>
      <c r="AA92" s="60">
        <f>(C92/D92)*VLOOKUP($E92,'AWS Platforms Ratios'!$A$2:$O$25,15,FALSE)</f>
        <v>36</v>
      </c>
      <c r="AB92" s="60">
        <f t="shared" ref="AB92:AE92" si="91">O92+S92+W92+$AA92</f>
        <v>106.5117241</v>
      </c>
      <c r="AC92" s="60">
        <f t="shared" si="91"/>
        <v>171.182069</v>
      </c>
      <c r="AD92" s="60">
        <f t="shared" si="91"/>
        <v>261.0834483</v>
      </c>
      <c r="AE92" s="60">
        <f t="shared" si="91"/>
        <v>356.8960345</v>
      </c>
      <c r="AF92" s="60">
        <f>IF(G92&gt;'Scope 3 Ratios'!$B$5,(G92-'Scope 3 Ratios'!$B$5)*('Scope 3 Ratios'!$B$6/'Scope 3 Ratios'!$B$5),0)</f>
        <v>316.2132</v>
      </c>
      <c r="AG92" s="60">
        <f>J92*IF(I92="SSD",'Scope 3 Ratios'!$B$9,'Scope 3 Ratios'!$B$8)</f>
        <v>1200</v>
      </c>
      <c r="AH92" s="60">
        <f>IF(K92&lt;&gt;"N/A",K92*'Scope 3 Ratios'!$B$10,0)</f>
        <v>0</v>
      </c>
      <c r="AI92" s="60">
        <f>(VLOOKUP($E92,'AWS Platforms Ratios'!$A$2:$O$25,3,FALSE)-1)*'Scope 3 Ratios'!$B$7</f>
        <v>100</v>
      </c>
      <c r="AJ92" s="60">
        <f>'Scope 3 Ratios'!$B$2+AF92+AG92+AH92+AI92</f>
        <v>2616.2132</v>
      </c>
      <c r="AK92" s="60">
        <f>AJ92*'Scope 3 Ratios'!$B$4*(C92/D92)</f>
        <v>56.77546007</v>
      </c>
      <c r="AL92" s="61" t="s">
        <v>228</v>
      </c>
    </row>
    <row r="93" ht="15.0" customHeight="1">
      <c r="A93" s="63" t="s">
        <v>235</v>
      </c>
      <c r="B93" s="56" t="s">
        <v>236</v>
      </c>
      <c r="C93" s="63">
        <v>4.0</v>
      </c>
      <c r="D93" s="56">
        <f>VLOOKUP(E93,'AWS Platforms Ratios'!$A$2:$B$25,2,FALSE)</f>
        <v>96</v>
      </c>
      <c r="E93" s="63" t="s">
        <v>237</v>
      </c>
      <c r="F93" s="63">
        <v>32.0</v>
      </c>
      <c r="G93" s="63">
        <v>256.0</v>
      </c>
      <c r="H93" s="64" t="s">
        <v>238</v>
      </c>
      <c r="I93" s="56" t="s">
        <v>227</v>
      </c>
      <c r="J93" s="63">
        <v>24.0</v>
      </c>
      <c r="K93" s="58" t="s">
        <v>73</v>
      </c>
      <c r="L93" s="58" t="s">
        <v>73</v>
      </c>
      <c r="M93" s="58" t="s">
        <v>73</v>
      </c>
      <c r="N93" s="58" t="s">
        <v>73</v>
      </c>
      <c r="O93" s="59">
        <f>($C93/$D93)*VLOOKUP($E93,'AWS Platforms Ratios'!$A$2:$O$25,7,FALSE)</f>
        <v>2.279583333</v>
      </c>
      <c r="P93" s="59">
        <f>($C93/$D93)*VLOOKUP($E93,'AWS Platforms Ratios'!$A$2:$O$25,8,FALSE)</f>
        <v>5.746666667</v>
      </c>
      <c r="Q93" s="59">
        <f>($C93/$D93)*VLOOKUP($E93,'AWS Platforms Ratios'!$A$2:$O$25,9,FALSE)</f>
        <v>12.78875</v>
      </c>
      <c r="R93" s="59">
        <f>($C93/$D93)*VLOOKUP($E93,'AWS Platforms Ratios'!$A$2:$O$25,10,FALSE)</f>
        <v>18.55760417</v>
      </c>
      <c r="S93" s="59">
        <f>$F93*VLOOKUP($E93,'AWS Platforms Ratios'!$A$2:$O$25,11,FALSE)</f>
        <v>4.97625</v>
      </c>
      <c r="T93" s="59">
        <f>$F93*VLOOKUP($E93,'AWS Platforms Ratios'!$A$2:$O$25,12,FALSE)</f>
        <v>8.235833333</v>
      </c>
      <c r="U93" s="59">
        <f>$F93*VLOOKUP($E93,'AWS Platforms Ratios'!$A$2:$O$25,13,FALSE)</f>
        <v>14.74083333</v>
      </c>
      <c r="V93" s="59">
        <f>$F93*VLOOKUP($E93,'AWS Platforms Ratios'!$A$2:$O$25,14,FALSE)</f>
        <v>21.24583333</v>
      </c>
      <c r="W93" s="60">
        <f>IF($K93&lt;&gt;"N/A",$M93*(VLOOKUP($L93,'GPU Specs &amp; Ratios'!$B$2:$I$8,5,FALSE)),0)</f>
        <v>0</v>
      </c>
      <c r="X93" s="60">
        <f>IF($K93&lt;&gt;"N/A",$M93*(VLOOKUP($L93,'GPU Specs &amp; Ratios'!$B$2:$I$8,6,FALSE)),0)</f>
        <v>0</v>
      </c>
      <c r="Y93" s="60">
        <f>IF($K93&lt;&gt;"N/A",$M93*(VLOOKUP($L93,'GPU Specs &amp; Ratios'!$B$2:$I$8,7,FALSE)),0)</f>
        <v>0</v>
      </c>
      <c r="Z93" s="60">
        <f>IF($K93&lt;&gt;"N/A",$M93*(VLOOKUP($L93,'GPU Specs &amp; Ratios'!$B$2:$I$8,8,FALSE)),0)</f>
        <v>0</v>
      </c>
      <c r="AA93" s="60">
        <f>(C93/D93)*VLOOKUP($E93,'AWS Platforms Ratios'!$A$2:$O$25,15,FALSE)</f>
        <v>3.5</v>
      </c>
      <c r="AB93" s="60">
        <f t="shared" ref="AB93:AE93" si="92">O93+S93+W93+$AA93</f>
        <v>10.75583333</v>
      </c>
      <c r="AC93" s="60">
        <f t="shared" si="92"/>
        <v>17.4825</v>
      </c>
      <c r="AD93" s="60">
        <f t="shared" si="92"/>
        <v>31.02958333</v>
      </c>
      <c r="AE93" s="60">
        <f t="shared" si="92"/>
        <v>43.3034375</v>
      </c>
      <c r="AF93" s="60">
        <f>IF(G93&gt;'Scope 3 Ratios'!$B$5,(G93-'Scope 3 Ratios'!$B$5)*('Scope 3 Ratios'!$B$6/'Scope 3 Ratios'!$B$5),0)</f>
        <v>332.856</v>
      </c>
      <c r="AG93" s="60">
        <f>J93*IF(I93="SSD",'Scope 3 Ratios'!$B$9,'Scope 3 Ratios'!$B$8)</f>
        <v>1200</v>
      </c>
      <c r="AH93" s="60">
        <f>IF(K93&lt;&gt;"N/A",K93*'Scope 3 Ratios'!$B$10,0)</f>
        <v>0</v>
      </c>
      <c r="AI93" s="60">
        <f>(VLOOKUP($E93,'AWS Platforms Ratios'!$A$2:$O$25,3,FALSE)-1)*'Scope 3 Ratios'!$B$7</f>
        <v>100</v>
      </c>
      <c r="AJ93" s="60">
        <f>'Scope 3 Ratios'!$B$2+AF93+AG93+AH93+AI93</f>
        <v>2632.856</v>
      </c>
      <c r="AK93" s="60">
        <f>AJ93*'Scope 3 Ratios'!$B$4*(C93/D93)</f>
        <v>3.17425733</v>
      </c>
      <c r="AL93" s="65"/>
    </row>
    <row r="94" ht="15.0" customHeight="1">
      <c r="A94" s="63" t="s">
        <v>239</v>
      </c>
      <c r="B94" s="56" t="s">
        <v>236</v>
      </c>
      <c r="C94" s="63">
        <v>8.0</v>
      </c>
      <c r="D94" s="56">
        <f>VLOOKUP(E94,'AWS Platforms Ratios'!$A$2:$B$25,2,FALSE)</f>
        <v>96</v>
      </c>
      <c r="E94" s="63" t="s">
        <v>237</v>
      </c>
      <c r="F94" s="63">
        <v>64.0</v>
      </c>
      <c r="G94" s="63">
        <v>256.0</v>
      </c>
      <c r="H94" s="64" t="s">
        <v>240</v>
      </c>
      <c r="I94" s="56" t="s">
        <v>227</v>
      </c>
      <c r="J94" s="63">
        <v>24.0</v>
      </c>
      <c r="K94" s="58" t="s">
        <v>73</v>
      </c>
      <c r="L94" s="58" t="s">
        <v>73</v>
      </c>
      <c r="M94" s="58" t="s">
        <v>73</v>
      </c>
      <c r="N94" s="58" t="s">
        <v>73</v>
      </c>
      <c r="O94" s="59">
        <f>($C94/$D94)*VLOOKUP($E94,'AWS Platforms Ratios'!$A$2:$O$25,7,FALSE)</f>
        <v>4.559166667</v>
      </c>
      <c r="P94" s="59">
        <f>($C94/$D94)*VLOOKUP($E94,'AWS Platforms Ratios'!$A$2:$O$25,8,FALSE)</f>
        <v>11.49333333</v>
      </c>
      <c r="Q94" s="59">
        <f>($C94/$D94)*VLOOKUP($E94,'AWS Platforms Ratios'!$A$2:$O$25,9,FALSE)</f>
        <v>25.5775</v>
      </c>
      <c r="R94" s="59">
        <f>($C94/$D94)*VLOOKUP($E94,'AWS Platforms Ratios'!$A$2:$O$25,10,FALSE)</f>
        <v>37.11520833</v>
      </c>
      <c r="S94" s="59">
        <f>$F94*VLOOKUP($E94,'AWS Platforms Ratios'!$A$2:$O$25,11,FALSE)</f>
        <v>9.9525</v>
      </c>
      <c r="T94" s="59">
        <f>$F94*VLOOKUP($E94,'AWS Platforms Ratios'!$A$2:$O$25,12,FALSE)</f>
        <v>16.47166667</v>
      </c>
      <c r="U94" s="59">
        <f>$F94*VLOOKUP($E94,'AWS Platforms Ratios'!$A$2:$O$25,13,FALSE)</f>
        <v>29.48166667</v>
      </c>
      <c r="V94" s="59">
        <f>$F94*VLOOKUP($E94,'AWS Platforms Ratios'!$A$2:$O$25,14,FALSE)</f>
        <v>42.49166667</v>
      </c>
      <c r="W94" s="60">
        <f>IF($K94&lt;&gt;"N/A",$M94*(VLOOKUP($L94,'GPU Specs &amp; Ratios'!$B$2:$I$8,5,FALSE)),0)</f>
        <v>0</v>
      </c>
      <c r="X94" s="60">
        <f>IF($K94&lt;&gt;"N/A",$M94*(VLOOKUP($L94,'GPU Specs &amp; Ratios'!$B$2:$I$8,6,FALSE)),0)</f>
        <v>0</v>
      </c>
      <c r="Y94" s="60">
        <f>IF($K94&lt;&gt;"N/A",$M94*(VLOOKUP($L94,'GPU Specs &amp; Ratios'!$B$2:$I$8,7,FALSE)),0)</f>
        <v>0</v>
      </c>
      <c r="Z94" s="60">
        <f>IF($K94&lt;&gt;"N/A",$M94*(VLOOKUP($L94,'GPU Specs &amp; Ratios'!$B$2:$I$8,8,FALSE)),0)</f>
        <v>0</v>
      </c>
      <c r="AA94" s="60">
        <f>(C94/D94)*VLOOKUP($E94,'AWS Platforms Ratios'!$A$2:$O$25,15,FALSE)</f>
        <v>7</v>
      </c>
      <c r="AB94" s="60">
        <f t="shared" ref="AB94:AE94" si="93">O94+S94+W94+$AA94</f>
        <v>21.51166667</v>
      </c>
      <c r="AC94" s="60">
        <f t="shared" si="93"/>
        <v>34.965</v>
      </c>
      <c r="AD94" s="60">
        <f t="shared" si="93"/>
        <v>62.05916667</v>
      </c>
      <c r="AE94" s="60">
        <f t="shared" si="93"/>
        <v>86.606875</v>
      </c>
      <c r="AF94" s="60">
        <f>IF(G94&gt;'Scope 3 Ratios'!$B$5,(G94-'Scope 3 Ratios'!$B$5)*('Scope 3 Ratios'!$B$6/'Scope 3 Ratios'!$B$5),0)</f>
        <v>332.856</v>
      </c>
      <c r="AG94" s="60">
        <f>J94*IF(I94="SSD",'Scope 3 Ratios'!$B$9,'Scope 3 Ratios'!$B$8)</f>
        <v>1200</v>
      </c>
      <c r="AH94" s="60">
        <f>IF(K94&lt;&gt;"N/A",K94*'Scope 3 Ratios'!$B$10,0)</f>
        <v>0</v>
      </c>
      <c r="AI94" s="60">
        <f>(VLOOKUP($E94,'AWS Platforms Ratios'!$A$2:$O$25,3,FALSE)-1)*'Scope 3 Ratios'!$B$7</f>
        <v>100</v>
      </c>
      <c r="AJ94" s="60">
        <f>'Scope 3 Ratios'!$B$2+AF94+AG94+AH94+AI94</f>
        <v>2632.856</v>
      </c>
      <c r="AK94" s="60">
        <f>AJ94*'Scope 3 Ratios'!$B$4*(C94/D94)</f>
        <v>6.34851466</v>
      </c>
      <c r="AL94" s="65"/>
    </row>
    <row r="95" ht="15.0" customHeight="1">
      <c r="A95" s="63" t="s">
        <v>241</v>
      </c>
      <c r="B95" s="56" t="s">
        <v>236</v>
      </c>
      <c r="C95" s="63">
        <v>16.0</v>
      </c>
      <c r="D95" s="56">
        <f>VLOOKUP(E95,'AWS Platforms Ratios'!$A$2:$B$25,2,FALSE)</f>
        <v>96</v>
      </c>
      <c r="E95" s="63" t="s">
        <v>237</v>
      </c>
      <c r="F95" s="63">
        <v>128.0</v>
      </c>
      <c r="G95" s="63">
        <v>256.0</v>
      </c>
      <c r="H95" s="64" t="s">
        <v>242</v>
      </c>
      <c r="I95" s="56" t="s">
        <v>227</v>
      </c>
      <c r="J95" s="63">
        <v>24.0</v>
      </c>
      <c r="K95" s="58" t="s">
        <v>73</v>
      </c>
      <c r="L95" s="58" t="s">
        <v>73</v>
      </c>
      <c r="M95" s="58" t="s">
        <v>73</v>
      </c>
      <c r="N95" s="58" t="s">
        <v>73</v>
      </c>
      <c r="O95" s="59">
        <f>($C95/$D95)*VLOOKUP($E95,'AWS Platforms Ratios'!$A$2:$O$25,7,FALSE)</f>
        <v>9.118333333</v>
      </c>
      <c r="P95" s="59">
        <f>($C95/$D95)*VLOOKUP($E95,'AWS Platforms Ratios'!$A$2:$O$25,8,FALSE)</f>
        <v>22.98666667</v>
      </c>
      <c r="Q95" s="59">
        <f>($C95/$D95)*VLOOKUP($E95,'AWS Platforms Ratios'!$A$2:$O$25,9,FALSE)</f>
        <v>51.155</v>
      </c>
      <c r="R95" s="59">
        <f>($C95/$D95)*VLOOKUP($E95,'AWS Platforms Ratios'!$A$2:$O$25,10,FALSE)</f>
        <v>74.23041667</v>
      </c>
      <c r="S95" s="59">
        <f>$F95*VLOOKUP($E95,'AWS Platforms Ratios'!$A$2:$O$25,11,FALSE)</f>
        <v>19.905</v>
      </c>
      <c r="T95" s="59">
        <f>$F95*VLOOKUP($E95,'AWS Platforms Ratios'!$A$2:$O$25,12,FALSE)</f>
        <v>32.94333333</v>
      </c>
      <c r="U95" s="59">
        <f>$F95*VLOOKUP($E95,'AWS Platforms Ratios'!$A$2:$O$25,13,FALSE)</f>
        <v>58.96333333</v>
      </c>
      <c r="V95" s="59">
        <f>$F95*VLOOKUP($E95,'AWS Platforms Ratios'!$A$2:$O$25,14,FALSE)</f>
        <v>84.98333333</v>
      </c>
      <c r="W95" s="60">
        <f>IF($K95&lt;&gt;"N/A",$M95*(VLOOKUP($L95,'GPU Specs &amp; Ratios'!$B$2:$I$8,5,FALSE)),0)</f>
        <v>0</v>
      </c>
      <c r="X95" s="60">
        <f>IF($K95&lt;&gt;"N/A",$M95*(VLOOKUP($L95,'GPU Specs &amp; Ratios'!$B$2:$I$8,6,FALSE)),0)</f>
        <v>0</v>
      </c>
      <c r="Y95" s="60">
        <f>IF($K95&lt;&gt;"N/A",$M95*(VLOOKUP($L95,'GPU Specs &amp; Ratios'!$B$2:$I$8,7,FALSE)),0)</f>
        <v>0</v>
      </c>
      <c r="Z95" s="60">
        <f>IF($K95&lt;&gt;"N/A",$M95*(VLOOKUP($L95,'GPU Specs &amp; Ratios'!$B$2:$I$8,8,FALSE)),0)</f>
        <v>0</v>
      </c>
      <c r="AA95" s="60">
        <f>(C95/D95)*VLOOKUP($E95,'AWS Platforms Ratios'!$A$2:$O$25,15,FALSE)</f>
        <v>14</v>
      </c>
      <c r="AB95" s="60">
        <f t="shared" ref="AB95:AE95" si="94">O95+S95+W95+$AA95</f>
        <v>43.02333333</v>
      </c>
      <c r="AC95" s="60">
        <f t="shared" si="94"/>
        <v>69.93</v>
      </c>
      <c r="AD95" s="60">
        <f t="shared" si="94"/>
        <v>124.1183333</v>
      </c>
      <c r="AE95" s="60">
        <f t="shared" si="94"/>
        <v>173.21375</v>
      </c>
      <c r="AF95" s="60">
        <f>IF(G95&gt;'Scope 3 Ratios'!$B$5,(G95-'Scope 3 Ratios'!$B$5)*('Scope 3 Ratios'!$B$6/'Scope 3 Ratios'!$B$5),0)</f>
        <v>332.856</v>
      </c>
      <c r="AG95" s="60">
        <f>J95*IF(I95="SSD",'Scope 3 Ratios'!$B$9,'Scope 3 Ratios'!$B$8)</f>
        <v>1200</v>
      </c>
      <c r="AH95" s="60">
        <f>IF(K95&lt;&gt;"N/A",K95*'Scope 3 Ratios'!$B$10,0)</f>
        <v>0</v>
      </c>
      <c r="AI95" s="60">
        <f>(VLOOKUP($E95,'AWS Platforms Ratios'!$A$2:$O$25,3,FALSE)-1)*'Scope 3 Ratios'!$B$7</f>
        <v>100</v>
      </c>
      <c r="AJ95" s="60">
        <f>'Scope 3 Ratios'!$B$2+AF95+AG95+AH95+AI95</f>
        <v>2632.856</v>
      </c>
      <c r="AK95" s="60">
        <f>AJ95*'Scope 3 Ratios'!$B$4*(C95/D95)</f>
        <v>12.69702932</v>
      </c>
      <c r="AL95" s="65"/>
    </row>
    <row r="96" ht="15.0" customHeight="1">
      <c r="A96" s="63" t="s">
        <v>243</v>
      </c>
      <c r="B96" s="56" t="s">
        <v>236</v>
      </c>
      <c r="C96" s="63">
        <v>32.0</v>
      </c>
      <c r="D96" s="56">
        <f>VLOOKUP(E96,'AWS Platforms Ratios'!$A$2:$B$25,2,FALSE)</f>
        <v>96</v>
      </c>
      <c r="E96" s="63" t="s">
        <v>237</v>
      </c>
      <c r="F96" s="63">
        <v>256.0</v>
      </c>
      <c r="G96" s="63">
        <v>256.0</v>
      </c>
      <c r="H96" s="64" t="s">
        <v>244</v>
      </c>
      <c r="I96" s="56" t="s">
        <v>227</v>
      </c>
      <c r="J96" s="63">
        <v>24.0</v>
      </c>
      <c r="K96" s="58" t="s">
        <v>73</v>
      </c>
      <c r="L96" s="58" t="s">
        <v>73</v>
      </c>
      <c r="M96" s="58" t="s">
        <v>73</v>
      </c>
      <c r="N96" s="58" t="s">
        <v>73</v>
      </c>
      <c r="O96" s="59">
        <f>($C96/$D96)*VLOOKUP($E96,'AWS Platforms Ratios'!$A$2:$O$25,7,FALSE)</f>
        <v>18.23666667</v>
      </c>
      <c r="P96" s="59">
        <f>($C96/$D96)*VLOOKUP($E96,'AWS Platforms Ratios'!$A$2:$O$25,8,FALSE)</f>
        <v>45.97333333</v>
      </c>
      <c r="Q96" s="59">
        <f>($C96/$D96)*VLOOKUP($E96,'AWS Platforms Ratios'!$A$2:$O$25,9,FALSE)</f>
        <v>102.31</v>
      </c>
      <c r="R96" s="59">
        <f>($C96/$D96)*VLOOKUP($E96,'AWS Platforms Ratios'!$A$2:$O$25,10,FALSE)</f>
        <v>148.4608333</v>
      </c>
      <c r="S96" s="59">
        <f>$F96*VLOOKUP($E96,'AWS Platforms Ratios'!$A$2:$O$25,11,FALSE)</f>
        <v>39.81</v>
      </c>
      <c r="T96" s="59">
        <f>$F96*VLOOKUP($E96,'AWS Platforms Ratios'!$A$2:$O$25,12,FALSE)</f>
        <v>65.88666667</v>
      </c>
      <c r="U96" s="59">
        <f>$F96*VLOOKUP($E96,'AWS Platforms Ratios'!$A$2:$O$25,13,FALSE)</f>
        <v>117.9266667</v>
      </c>
      <c r="V96" s="59">
        <f>$F96*VLOOKUP($E96,'AWS Platforms Ratios'!$A$2:$O$25,14,FALSE)</f>
        <v>169.9666667</v>
      </c>
      <c r="W96" s="60">
        <f>IF($K96&lt;&gt;"N/A",$M96*(VLOOKUP($L96,'GPU Specs &amp; Ratios'!$B$2:$I$8,5,FALSE)),0)</f>
        <v>0</v>
      </c>
      <c r="X96" s="60">
        <f>IF($K96&lt;&gt;"N/A",$M96*(VLOOKUP($L96,'GPU Specs &amp; Ratios'!$B$2:$I$8,6,FALSE)),0)</f>
        <v>0</v>
      </c>
      <c r="Y96" s="60">
        <f>IF($K96&lt;&gt;"N/A",$M96*(VLOOKUP($L96,'GPU Specs &amp; Ratios'!$B$2:$I$8,7,FALSE)),0)</f>
        <v>0</v>
      </c>
      <c r="Z96" s="60">
        <f>IF($K96&lt;&gt;"N/A",$M96*(VLOOKUP($L96,'GPU Specs &amp; Ratios'!$B$2:$I$8,8,FALSE)),0)</f>
        <v>0</v>
      </c>
      <c r="AA96" s="60">
        <f>(C96/D96)*VLOOKUP($E96,'AWS Platforms Ratios'!$A$2:$O$25,15,FALSE)</f>
        <v>28</v>
      </c>
      <c r="AB96" s="60">
        <f t="shared" ref="AB96:AE96" si="95">O96+S96+W96+$AA96</f>
        <v>86.04666667</v>
      </c>
      <c r="AC96" s="60">
        <f t="shared" si="95"/>
        <v>139.86</v>
      </c>
      <c r="AD96" s="60">
        <f t="shared" si="95"/>
        <v>248.2366667</v>
      </c>
      <c r="AE96" s="60">
        <f t="shared" si="95"/>
        <v>346.4275</v>
      </c>
      <c r="AF96" s="60">
        <f>IF(G96&gt;'Scope 3 Ratios'!$B$5,(G96-'Scope 3 Ratios'!$B$5)*('Scope 3 Ratios'!$B$6/'Scope 3 Ratios'!$B$5),0)</f>
        <v>332.856</v>
      </c>
      <c r="AG96" s="60">
        <f>J96*IF(I96="SSD",'Scope 3 Ratios'!$B$9,'Scope 3 Ratios'!$B$8)</f>
        <v>1200</v>
      </c>
      <c r="AH96" s="60">
        <f>IF(K96&lt;&gt;"N/A",K96*'Scope 3 Ratios'!$B$10,0)</f>
        <v>0</v>
      </c>
      <c r="AI96" s="60">
        <f>(VLOOKUP($E96,'AWS Platforms Ratios'!$A$2:$O$25,3,FALSE)-1)*'Scope 3 Ratios'!$B$7</f>
        <v>100</v>
      </c>
      <c r="AJ96" s="60">
        <f>'Scope 3 Ratios'!$B$2+AF96+AG96+AH96+AI96</f>
        <v>2632.856</v>
      </c>
      <c r="AK96" s="60">
        <f>AJ96*'Scope 3 Ratios'!$B$4*(C96/D96)</f>
        <v>25.39405864</v>
      </c>
      <c r="AL96" s="65"/>
    </row>
    <row r="97" ht="15.0" customHeight="1">
      <c r="A97" s="63" t="s">
        <v>245</v>
      </c>
      <c r="B97" s="56" t="s">
        <v>236</v>
      </c>
      <c r="C97" s="63">
        <v>4.0</v>
      </c>
      <c r="D97" s="56">
        <f>VLOOKUP(E97,'AWS Platforms Ratios'!$A$2:$B$25,2,FALSE)</f>
        <v>96</v>
      </c>
      <c r="E97" s="63" t="s">
        <v>237</v>
      </c>
      <c r="F97" s="63">
        <v>16.0</v>
      </c>
      <c r="G97" s="63">
        <v>192.0</v>
      </c>
      <c r="H97" s="64" t="s">
        <v>246</v>
      </c>
      <c r="I97" s="56" t="s">
        <v>227</v>
      </c>
      <c r="J97" s="63">
        <v>24.0</v>
      </c>
      <c r="K97" s="58" t="s">
        <v>73</v>
      </c>
      <c r="L97" s="58" t="s">
        <v>73</v>
      </c>
      <c r="M97" s="58" t="s">
        <v>73</v>
      </c>
      <c r="N97" s="58" t="s">
        <v>73</v>
      </c>
      <c r="O97" s="59">
        <f>($C97/$D97)*VLOOKUP($E97,'AWS Platforms Ratios'!$A$2:$O$25,7,FALSE)</f>
        <v>2.279583333</v>
      </c>
      <c r="P97" s="59">
        <f>($C97/$D97)*VLOOKUP($E97,'AWS Platforms Ratios'!$A$2:$O$25,8,FALSE)</f>
        <v>5.746666667</v>
      </c>
      <c r="Q97" s="59">
        <f>($C97/$D97)*VLOOKUP($E97,'AWS Platforms Ratios'!$A$2:$O$25,9,FALSE)</f>
        <v>12.78875</v>
      </c>
      <c r="R97" s="59">
        <f>($C97/$D97)*VLOOKUP($E97,'AWS Platforms Ratios'!$A$2:$O$25,10,FALSE)</f>
        <v>18.55760417</v>
      </c>
      <c r="S97" s="59">
        <f>$F97*VLOOKUP($E97,'AWS Platforms Ratios'!$A$2:$O$25,11,FALSE)</f>
        <v>2.488125</v>
      </c>
      <c r="T97" s="59">
        <f>$F97*VLOOKUP($E97,'AWS Platforms Ratios'!$A$2:$O$25,12,FALSE)</f>
        <v>4.117916667</v>
      </c>
      <c r="U97" s="59">
        <f>$F97*VLOOKUP($E97,'AWS Platforms Ratios'!$A$2:$O$25,13,FALSE)</f>
        <v>7.370416667</v>
      </c>
      <c r="V97" s="59">
        <f>$F97*VLOOKUP($E97,'AWS Platforms Ratios'!$A$2:$O$25,14,FALSE)</f>
        <v>10.62291667</v>
      </c>
      <c r="W97" s="60">
        <f>IF($K97&lt;&gt;"N/A",$M97*(VLOOKUP($L97,'GPU Specs &amp; Ratios'!$B$2:$I$8,5,FALSE)),0)</f>
        <v>0</v>
      </c>
      <c r="X97" s="60">
        <f>IF($K97&lt;&gt;"N/A",$M97*(VLOOKUP($L97,'GPU Specs &amp; Ratios'!$B$2:$I$8,6,FALSE)),0)</f>
        <v>0</v>
      </c>
      <c r="Y97" s="60">
        <f>IF($K97&lt;&gt;"N/A",$M97*(VLOOKUP($L97,'GPU Specs &amp; Ratios'!$B$2:$I$8,7,FALSE)),0)</f>
        <v>0</v>
      </c>
      <c r="Z97" s="60">
        <f>IF($K97&lt;&gt;"N/A",$M97*(VLOOKUP($L97,'GPU Specs &amp; Ratios'!$B$2:$I$8,8,FALSE)),0)</f>
        <v>0</v>
      </c>
      <c r="AA97" s="60">
        <f>(C97/D97)*VLOOKUP($E97,'AWS Platforms Ratios'!$A$2:$O$25,15,FALSE)</f>
        <v>3.5</v>
      </c>
      <c r="AB97" s="60">
        <f t="shared" ref="AB97:AE97" si="96">O97+S97+W97+$AA97</f>
        <v>8.267708333</v>
      </c>
      <c r="AC97" s="60">
        <f t="shared" si="96"/>
        <v>13.36458333</v>
      </c>
      <c r="AD97" s="60">
        <f t="shared" si="96"/>
        <v>23.65916667</v>
      </c>
      <c r="AE97" s="60">
        <f t="shared" si="96"/>
        <v>32.68052083</v>
      </c>
      <c r="AF97" s="60">
        <f>IF(G97&gt;'Scope 3 Ratios'!$B$5,(G97-'Scope 3 Ratios'!$B$5)*('Scope 3 Ratios'!$B$6/'Scope 3 Ratios'!$B$5),0)</f>
        <v>244.0944</v>
      </c>
      <c r="AG97" s="60">
        <f>J97*IF(I97="SSD",'Scope 3 Ratios'!$B$9,'Scope 3 Ratios'!$B$8)</f>
        <v>1200</v>
      </c>
      <c r="AH97" s="60">
        <f>IF(K97&lt;&gt;"N/A",K97*'Scope 3 Ratios'!$B$10,0)</f>
        <v>0</v>
      </c>
      <c r="AI97" s="60">
        <f>(VLOOKUP($E97,'AWS Platforms Ratios'!$A$2:$O$25,3,FALSE)-1)*'Scope 3 Ratios'!$B$7</f>
        <v>100</v>
      </c>
      <c r="AJ97" s="60">
        <f>'Scope 3 Ratios'!$B$2+AF97+AG97+AH97+AI97</f>
        <v>2544.0944</v>
      </c>
      <c r="AK97" s="60">
        <f>AJ97*'Scope 3 Ratios'!$B$4*(C97/D97)</f>
        <v>3.067243441</v>
      </c>
      <c r="AL97" s="65"/>
    </row>
    <row r="98" ht="15.0" customHeight="1">
      <c r="A98" s="63" t="s">
        <v>247</v>
      </c>
      <c r="B98" s="56" t="s">
        <v>236</v>
      </c>
      <c r="C98" s="63">
        <v>8.0</v>
      </c>
      <c r="D98" s="56">
        <f>VLOOKUP(E98,'AWS Platforms Ratios'!$A$2:$B$25,2,FALSE)</f>
        <v>96</v>
      </c>
      <c r="E98" s="63" t="s">
        <v>237</v>
      </c>
      <c r="F98" s="63">
        <v>32.0</v>
      </c>
      <c r="G98" s="63">
        <v>192.0</v>
      </c>
      <c r="H98" s="64" t="s">
        <v>248</v>
      </c>
      <c r="I98" s="56" t="s">
        <v>227</v>
      </c>
      <c r="J98" s="63">
        <v>24.0</v>
      </c>
      <c r="K98" s="58" t="s">
        <v>73</v>
      </c>
      <c r="L98" s="58" t="s">
        <v>73</v>
      </c>
      <c r="M98" s="58" t="s">
        <v>73</v>
      </c>
      <c r="N98" s="58" t="s">
        <v>73</v>
      </c>
      <c r="O98" s="59">
        <f>($C98/$D98)*VLOOKUP($E98,'AWS Platforms Ratios'!$A$2:$O$25,7,FALSE)</f>
        <v>4.559166667</v>
      </c>
      <c r="P98" s="59">
        <f>($C98/$D98)*VLOOKUP($E98,'AWS Platforms Ratios'!$A$2:$O$25,8,FALSE)</f>
        <v>11.49333333</v>
      </c>
      <c r="Q98" s="59">
        <f>($C98/$D98)*VLOOKUP($E98,'AWS Platforms Ratios'!$A$2:$O$25,9,FALSE)</f>
        <v>25.5775</v>
      </c>
      <c r="R98" s="59">
        <f>($C98/$D98)*VLOOKUP($E98,'AWS Platforms Ratios'!$A$2:$O$25,10,FALSE)</f>
        <v>37.11520833</v>
      </c>
      <c r="S98" s="59">
        <f>$F98*VLOOKUP($E98,'AWS Platforms Ratios'!$A$2:$O$25,11,FALSE)</f>
        <v>4.97625</v>
      </c>
      <c r="T98" s="59">
        <f>$F98*VLOOKUP($E98,'AWS Platforms Ratios'!$A$2:$O$25,12,FALSE)</f>
        <v>8.235833333</v>
      </c>
      <c r="U98" s="59">
        <f>$F98*VLOOKUP($E98,'AWS Platforms Ratios'!$A$2:$O$25,13,FALSE)</f>
        <v>14.74083333</v>
      </c>
      <c r="V98" s="59">
        <f>$F98*VLOOKUP($E98,'AWS Platforms Ratios'!$A$2:$O$25,14,FALSE)</f>
        <v>21.24583333</v>
      </c>
      <c r="W98" s="60">
        <f>IF($K98&lt;&gt;"N/A",$M98*(VLOOKUP($L98,'GPU Specs &amp; Ratios'!$B$2:$I$8,5,FALSE)),0)</f>
        <v>0</v>
      </c>
      <c r="X98" s="60">
        <f>IF($K98&lt;&gt;"N/A",$M98*(VLOOKUP($L98,'GPU Specs &amp; Ratios'!$B$2:$I$8,6,FALSE)),0)</f>
        <v>0</v>
      </c>
      <c r="Y98" s="60">
        <f>IF($K98&lt;&gt;"N/A",$M98*(VLOOKUP($L98,'GPU Specs &amp; Ratios'!$B$2:$I$8,7,FALSE)),0)</f>
        <v>0</v>
      </c>
      <c r="Z98" s="60">
        <f>IF($K98&lt;&gt;"N/A",$M98*(VLOOKUP($L98,'GPU Specs &amp; Ratios'!$B$2:$I$8,8,FALSE)),0)</f>
        <v>0</v>
      </c>
      <c r="AA98" s="60">
        <f>(C98/D98)*VLOOKUP($E98,'AWS Platforms Ratios'!$A$2:$O$25,15,FALSE)</f>
        <v>7</v>
      </c>
      <c r="AB98" s="60">
        <f t="shared" ref="AB98:AE98" si="97">O98+S98+W98+$AA98</f>
        <v>16.53541667</v>
      </c>
      <c r="AC98" s="60">
        <f t="shared" si="97"/>
        <v>26.72916667</v>
      </c>
      <c r="AD98" s="60">
        <f t="shared" si="97"/>
        <v>47.31833333</v>
      </c>
      <c r="AE98" s="60">
        <f t="shared" si="97"/>
        <v>65.36104167</v>
      </c>
      <c r="AF98" s="60">
        <f>IF(G98&gt;'Scope 3 Ratios'!$B$5,(G98-'Scope 3 Ratios'!$B$5)*('Scope 3 Ratios'!$B$6/'Scope 3 Ratios'!$B$5),0)</f>
        <v>244.0944</v>
      </c>
      <c r="AG98" s="60">
        <f>J98*IF(I98="SSD",'Scope 3 Ratios'!$B$9,'Scope 3 Ratios'!$B$8)</f>
        <v>1200</v>
      </c>
      <c r="AH98" s="60">
        <f>IF(K98&lt;&gt;"N/A",K98*'Scope 3 Ratios'!$B$10,0)</f>
        <v>0</v>
      </c>
      <c r="AI98" s="60">
        <f>(VLOOKUP($E98,'AWS Platforms Ratios'!$A$2:$O$25,3,FALSE)-1)*'Scope 3 Ratios'!$B$7</f>
        <v>100</v>
      </c>
      <c r="AJ98" s="60">
        <f>'Scope 3 Ratios'!$B$2+AF98+AG98+AH98+AI98</f>
        <v>2544.0944</v>
      </c>
      <c r="AK98" s="60">
        <f>AJ98*'Scope 3 Ratios'!$B$4*(C98/D98)</f>
        <v>6.134486883</v>
      </c>
      <c r="AL98" s="65"/>
    </row>
    <row r="99" ht="15.0" customHeight="1">
      <c r="A99" s="63" t="s">
        <v>249</v>
      </c>
      <c r="B99" s="56" t="s">
        <v>236</v>
      </c>
      <c r="C99" s="63">
        <v>16.0</v>
      </c>
      <c r="D99" s="56">
        <f>VLOOKUP(E99,'AWS Platforms Ratios'!$A$2:$B$25,2,FALSE)</f>
        <v>96</v>
      </c>
      <c r="E99" s="63" t="s">
        <v>237</v>
      </c>
      <c r="F99" s="63">
        <v>64.0</v>
      </c>
      <c r="G99" s="63">
        <v>192.0</v>
      </c>
      <c r="H99" s="64" t="s">
        <v>250</v>
      </c>
      <c r="I99" s="56" t="s">
        <v>227</v>
      </c>
      <c r="J99" s="63">
        <v>24.0</v>
      </c>
      <c r="K99" s="58" t="s">
        <v>73</v>
      </c>
      <c r="L99" s="58" t="s">
        <v>73</v>
      </c>
      <c r="M99" s="58" t="s">
        <v>73</v>
      </c>
      <c r="N99" s="58" t="s">
        <v>73</v>
      </c>
      <c r="O99" s="59">
        <f>($C99/$D99)*VLOOKUP($E99,'AWS Platforms Ratios'!$A$2:$O$25,7,FALSE)</f>
        <v>9.118333333</v>
      </c>
      <c r="P99" s="59">
        <f>($C99/$D99)*VLOOKUP($E99,'AWS Platforms Ratios'!$A$2:$O$25,8,FALSE)</f>
        <v>22.98666667</v>
      </c>
      <c r="Q99" s="59">
        <f>($C99/$D99)*VLOOKUP($E99,'AWS Platforms Ratios'!$A$2:$O$25,9,FALSE)</f>
        <v>51.155</v>
      </c>
      <c r="R99" s="59">
        <f>($C99/$D99)*VLOOKUP($E99,'AWS Platforms Ratios'!$A$2:$O$25,10,FALSE)</f>
        <v>74.23041667</v>
      </c>
      <c r="S99" s="59">
        <f>$F99*VLOOKUP($E99,'AWS Platforms Ratios'!$A$2:$O$25,11,FALSE)</f>
        <v>9.9525</v>
      </c>
      <c r="T99" s="59">
        <f>$F99*VLOOKUP($E99,'AWS Platforms Ratios'!$A$2:$O$25,12,FALSE)</f>
        <v>16.47166667</v>
      </c>
      <c r="U99" s="59">
        <f>$F99*VLOOKUP($E99,'AWS Platforms Ratios'!$A$2:$O$25,13,FALSE)</f>
        <v>29.48166667</v>
      </c>
      <c r="V99" s="59">
        <f>$F99*VLOOKUP($E99,'AWS Platforms Ratios'!$A$2:$O$25,14,FALSE)</f>
        <v>42.49166667</v>
      </c>
      <c r="W99" s="60">
        <f>IF($K99&lt;&gt;"N/A",$M99*(VLOOKUP($L99,'GPU Specs &amp; Ratios'!$B$2:$I$8,5,FALSE)),0)</f>
        <v>0</v>
      </c>
      <c r="X99" s="60">
        <f>IF($K99&lt;&gt;"N/A",$M99*(VLOOKUP($L99,'GPU Specs &amp; Ratios'!$B$2:$I$8,6,FALSE)),0)</f>
        <v>0</v>
      </c>
      <c r="Y99" s="60">
        <f>IF($K99&lt;&gt;"N/A",$M99*(VLOOKUP($L99,'GPU Specs &amp; Ratios'!$B$2:$I$8,7,FALSE)),0)</f>
        <v>0</v>
      </c>
      <c r="Z99" s="60">
        <f>IF($K99&lt;&gt;"N/A",$M99*(VLOOKUP($L99,'GPU Specs &amp; Ratios'!$B$2:$I$8,8,FALSE)),0)</f>
        <v>0</v>
      </c>
      <c r="AA99" s="60">
        <f>(C99/D99)*VLOOKUP($E99,'AWS Platforms Ratios'!$A$2:$O$25,15,FALSE)</f>
        <v>14</v>
      </c>
      <c r="AB99" s="60">
        <f t="shared" ref="AB99:AE99" si="98">O99+S99+W99+$AA99</f>
        <v>33.07083333</v>
      </c>
      <c r="AC99" s="60">
        <f t="shared" si="98"/>
        <v>53.45833333</v>
      </c>
      <c r="AD99" s="60">
        <f t="shared" si="98"/>
        <v>94.63666667</v>
      </c>
      <c r="AE99" s="60">
        <f t="shared" si="98"/>
        <v>130.7220833</v>
      </c>
      <c r="AF99" s="60">
        <f>IF(G99&gt;'Scope 3 Ratios'!$B$5,(G99-'Scope 3 Ratios'!$B$5)*('Scope 3 Ratios'!$B$6/'Scope 3 Ratios'!$B$5),0)</f>
        <v>244.0944</v>
      </c>
      <c r="AG99" s="60">
        <f>J99*IF(I99="SSD",'Scope 3 Ratios'!$B$9,'Scope 3 Ratios'!$B$8)</f>
        <v>1200</v>
      </c>
      <c r="AH99" s="60">
        <f>IF(K99&lt;&gt;"N/A",K99*'Scope 3 Ratios'!$B$10,0)</f>
        <v>0</v>
      </c>
      <c r="AI99" s="60">
        <f>(VLOOKUP($E99,'AWS Platforms Ratios'!$A$2:$O$25,3,FALSE)-1)*'Scope 3 Ratios'!$B$7</f>
        <v>100</v>
      </c>
      <c r="AJ99" s="60">
        <f>'Scope 3 Ratios'!$B$2+AF99+AG99+AH99+AI99</f>
        <v>2544.0944</v>
      </c>
      <c r="AK99" s="60">
        <f>AJ99*'Scope 3 Ratios'!$B$4*(C99/D99)</f>
        <v>12.26897377</v>
      </c>
      <c r="AL99" s="65"/>
    </row>
    <row r="100" ht="15.0" customHeight="1">
      <c r="A100" s="63" t="s">
        <v>251</v>
      </c>
      <c r="B100" s="56" t="s">
        <v>236</v>
      </c>
      <c r="C100" s="63">
        <v>24.0</v>
      </c>
      <c r="D100" s="56">
        <f>VLOOKUP(E100,'AWS Platforms Ratios'!$A$2:$B$25,2,FALSE)</f>
        <v>96</v>
      </c>
      <c r="E100" s="63" t="s">
        <v>237</v>
      </c>
      <c r="F100" s="63">
        <v>96.0</v>
      </c>
      <c r="G100" s="63">
        <v>192.0</v>
      </c>
      <c r="H100" s="64" t="s">
        <v>252</v>
      </c>
      <c r="I100" s="56" t="s">
        <v>227</v>
      </c>
      <c r="J100" s="63">
        <v>24.0</v>
      </c>
      <c r="K100" s="58" t="s">
        <v>73</v>
      </c>
      <c r="L100" s="58" t="s">
        <v>73</v>
      </c>
      <c r="M100" s="58" t="s">
        <v>73</v>
      </c>
      <c r="N100" s="58" t="s">
        <v>73</v>
      </c>
      <c r="O100" s="59">
        <f>($C100/$D100)*VLOOKUP($E100,'AWS Platforms Ratios'!$A$2:$O$25,7,FALSE)</f>
        <v>13.6775</v>
      </c>
      <c r="P100" s="59">
        <f>($C100/$D100)*VLOOKUP($E100,'AWS Platforms Ratios'!$A$2:$O$25,8,FALSE)</f>
        <v>34.48</v>
      </c>
      <c r="Q100" s="59">
        <f>($C100/$D100)*VLOOKUP($E100,'AWS Platforms Ratios'!$A$2:$O$25,9,FALSE)</f>
        <v>76.7325</v>
      </c>
      <c r="R100" s="59">
        <f>($C100/$D100)*VLOOKUP($E100,'AWS Platforms Ratios'!$A$2:$O$25,10,FALSE)</f>
        <v>111.345625</v>
      </c>
      <c r="S100" s="59">
        <f>$F100*VLOOKUP($E100,'AWS Platforms Ratios'!$A$2:$O$25,11,FALSE)</f>
        <v>14.92875</v>
      </c>
      <c r="T100" s="59">
        <f>$F100*VLOOKUP($E100,'AWS Platforms Ratios'!$A$2:$O$25,12,FALSE)</f>
        <v>24.7075</v>
      </c>
      <c r="U100" s="59">
        <f>$F100*VLOOKUP($E100,'AWS Platforms Ratios'!$A$2:$O$25,13,FALSE)</f>
        <v>44.2225</v>
      </c>
      <c r="V100" s="59">
        <f>$F100*VLOOKUP($E100,'AWS Platforms Ratios'!$A$2:$O$25,14,FALSE)</f>
        <v>63.7375</v>
      </c>
      <c r="W100" s="60">
        <f>IF($K100&lt;&gt;"N/A",$M100*(VLOOKUP($L100,'GPU Specs &amp; Ratios'!$B$2:$I$8,5,FALSE)),0)</f>
        <v>0</v>
      </c>
      <c r="X100" s="60">
        <f>IF($K100&lt;&gt;"N/A",$M100*(VLOOKUP($L100,'GPU Specs &amp; Ratios'!$B$2:$I$8,6,FALSE)),0)</f>
        <v>0</v>
      </c>
      <c r="Y100" s="60">
        <f>IF($K100&lt;&gt;"N/A",$M100*(VLOOKUP($L100,'GPU Specs &amp; Ratios'!$B$2:$I$8,7,FALSE)),0)</f>
        <v>0</v>
      </c>
      <c r="Z100" s="60">
        <f>IF($K100&lt;&gt;"N/A",$M100*(VLOOKUP($L100,'GPU Specs &amp; Ratios'!$B$2:$I$8,8,FALSE)),0)</f>
        <v>0</v>
      </c>
      <c r="AA100" s="60">
        <f>(C100/D100)*VLOOKUP($E100,'AWS Platforms Ratios'!$A$2:$O$25,15,FALSE)</f>
        <v>21</v>
      </c>
      <c r="AB100" s="60">
        <f t="shared" ref="AB100:AE100" si="99">O100+S100+W100+$AA100</f>
        <v>49.60625</v>
      </c>
      <c r="AC100" s="60">
        <f t="shared" si="99"/>
        <v>80.1875</v>
      </c>
      <c r="AD100" s="60">
        <f t="shared" si="99"/>
        <v>141.955</v>
      </c>
      <c r="AE100" s="60">
        <f t="shared" si="99"/>
        <v>196.083125</v>
      </c>
      <c r="AF100" s="60">
        <f>IF(G100&gt;'Scope 3 Ratios'!$B$5,(G100-'Scope 3 Ratios'!$B$5)*('Scope 3 Ratios'!$B$6/'Scope 3 Ratios'!$B$5),0)</f>
        <v>244.0944</v>
      </c>
      <c r="AG100" s="60">
        <f>J100*IF(I100="SSD",'Scope 3 Ratios'!$B$9,'Scope 3 Ratios'!$B$8)</f>
        <v>1200</v>
      </c>
      <c r="AH100" s="60">
        <f>IF(K100&lt;&gt;"N/A",K100*'Scope 3 Ratios'!$B$10,0)</f>
        <v>0</v>
      </c>
      <c r="AI100" s="60">
        <f>(VLOOKUP($E100,'AWS Platforms Ratios'!$A$2:$O$25,3,FALSE)-1)*'Scope 3 Ratios'!$B$7</f>
        <v>100</v>
      </c>
      <c r="AJ100" s="60">
        <f>'Scope 3 Ratios'!$B$2+AF100+AG100+AH100+AI100</f>
        <v>2544.0944</v>
      </c>
      <c r="AK100" s="60">
        <f>AJ100*'Scope 3 Ratios'!$B$4*(C100/D100)</f>
        <v>18.40346065</v>
      </c>
      <c r="AL100" s="65"/>
    </row>
    <row r="101" ht="15.0" customHeight="1">
      <c r="A101" s="63" t="s">
        <v>253</v>
      </c>
      <c r="B101" s="56" t="s">
        <v>236</v>
      </c>
      <c r="C101" s="63">
        <v>32.0</v>
      </c>
      <c r="D101" s="56">
        <f>VLOOKUP(E101,'AWS Platforms Ratios'!$A$2:$B$25,2,FALSE)</f>
        <v>96</v>
      </c>
      <c r="E101" s="63" t="s">
        <v>237</v>
      </c>
      <c r="F101" s="63">
        <v>128.0</v>
      </c>
      <c r="G101" s="63">
        <v>192.0</v>
      </c>
      <c r="H101" s="64" t="s">
        <v>254</v>
      </c>
      <c r="I101" s="56" t="s">
        <v>227</v>
      </c>
      <c r="J101" s="63">
        <v>24.0</v>
      </c>
      <c r="K101" s="58" t="s">
        <v>73</v>
      </c>
      <c r="L101" s="58" t="s">
        <v>73</v>
      </c>
      <c r="M101" s="58" t="s">
        <v>73</v>
      </c>
      <c r="N101" s="58" t="s">
        <v>73</v>
      </c>
      <c r="O101" s="59">
        <f>($C101/$D101)*VLOOKUP($E101,'AWS Platforms Ratios'!$A$2:$O$25,7,FALSE)</f>
        <v>18.23666667</v>
      </c>
      <c r="P101" s="59">
        <f>($C101/$D101)*VLOOKUP($E101,'AWS Platforms Ratios'!$A$2:$O$25,8,FALSE)</f>
        <v>45.97333333</v>
      </c>
      <c r="Q101" s="59">
        <f>($C101/$D101)*VLOOKUP($E101,'AWS Platforms Ratios'!$A$2:$O$25,9,FALSE)</f>
        <v>102.31</v>
      </c>
      <c r="R101" s="59">
        <f>($C101/$D101)*VLOOKUP($E101,'AWS Platforms Ratios'!$A$2:$O$25,10,FALSE)</f>
        <v>148.4608333</v>
      </c>
      <c r="S101" s="59">
        <f>$F101*VLOOKUP($E101,'AWS Platforms Ratios'!$A$2:$O$25,11,FALSE)</f>
        <v>19.905</v>
      </c>
      <c r="T101" s="59">
        <f>$F101*VLOOKUP($E101,'AWS Platforms Ratios'!$A$2:$O$25,12,FALSE)</f>
        <v>32.94333333</v>
      </c>
      <c r="U101" s="59">
        <f>$F101*VLOOKUP($E101,'AWS Platforms Ratios'!$A$2:$O$25,13,FALSE)</f>
        <v>58.96333333</v>
      </c>
      <c r="V101" s="59">
        <f>$F101*VLOOKUP($E101,'AWS Platforms Ratios'!$A$2:$O$25,14,FALSE)</f>
        <v>84.98333333</v>
      </c>
      <c r="W101" s="60">
        <f>IF($K101&lt;&gt;"N/A",$M101*(VLOOKUP($L101,'GPU Specs &amp; Ratios'!$B$2:$I$8,5,FALSE)),0)</f>
        <v>0</v>
      </c>
      <c r="X101" s="60">
        <f>IF($K101&lt;&gt;"N/A",$M101*(VLOOKUP($L101,'GPU Specs &amp; Ratios'!$B$2:$I$8,6,FALSE)),0)</f>
        <v>0</v>
      </c>
      <c r="Y101" s="60">
        <f>IF($K101&lt;&gt;"N/A",$M101*(VLOOKUP($L101,'GPU Specs &amp; Ratios'!$B$2:$I$8,7,FALSE)),0)</f>
        <v>0</v>
      </c>
      <c r="Z101" s="60">
        <f>IF($K101&lt;&gt;"N/A",$M101*(VLOOKUP($L101,'GPU Specs &amp; Ratios'!$B$2:$I$8,8,FALSE)),0)</f>
        <v>0</v>
      </c>
      <c r="AA101" s="60">
        <f>(C101/D101)*VLOOKUP($E101,'AWS Platforms Ratios'!$A$2:$O$25,15,FALSE)</f>
        <v>28</v>
      </c>
      <c r="AB101" s="60">
        <f t="shared" ref="AB101:AE101" si="100">O101+S101+W101+$AA101</f>
        <v>66.14166667</v>
      </c>
      <c r="AC101" s="60">
        <f t="shared" si="100"/>
        <v>106.9166667</v>
      </c>
      <c r="AD101" s="60">
        <f t="shared" si="100"/>
        <v>189.2733333</v>
      </c>
      <c r="AE101" s="60">
        <f t="shared" si="100"/>
        <v>261.4441667</v>
      </c>
      <c r="AF101" s="60">
        <f>IF(G101&gt;'Scope 3 Ratios'!$B$5,(G101-'Scope 3 Ratios'!$B$5)*('Scope 3 Ratios'!$B$6/'Scope 3 Ratios'!$B$5),0)</f>
        <v>244.0944</v>
      </c>
      <c r="AG101" s="60">
        <f>J101*IF(I101="SSD",'Scope 3 Ratios'!$B$9,'Scope 3 Ratios'!$B$8)</f>
        <v>1200</v>
      </c>
      <c r="AH101" s="60">
        <f>IF(K101&lt;&gt;"N/A",K101*'Scope 3 Ratios'!$B$10,0)</f>
        <v>0</v>
      </c>
      <c r="AI101" s="60">
        <f>(VLOOKUP($E101,'AWS Platforms Ratios'!$A$2:$O$25,3,FALSE)-1)*'Scope 3 Ratios'!$B$7</f>
        <v>100</v>
      </c>
      <c r="AJ101" s="60">
        <f>'Scope 3 Ratios'!$B$2+AF101+AG101+AH101+AI101</f>
        <v>2544.0944</v>
      </c>
      <c r="AK101" s="60">
        <f>AJ101*'Scope 3 Ratios'!$B$4*(C101/D101)</f>
        <v>24.53794753</v>
      </c>
      <c r="AL101" s="65"/>
    </row>
    <row r="102" ht="15.0" customHeight="1">
      <c r="A102" s="63" t="s">
        <v>255</v>
      </c>
      <c r="B102" s="56" t="s">
        <v>236</v>
      </c>
      <c r="C102" s="63">
        <v>48.0</v>
      </c>
      <c r="D102" s="56">
        <f>VLOOKUP(E102,'AWS Platforms Ratios'!$A$2:$B$25,2,FALSE)</f>
        <v>96</v>
      </c>
      <c r="E102" s="63" t="s">
        <v>237</v>
      </c>
      <c r="F102" s="63">
        <v>192.0</v>
      </c>
      <c r="G102" s="63">
        <v>192.0</v>
      </c>
      <c r="H102" s="64" t="s">
        <v>256</v>
      </c>
      <c r="I102" s="56" t="s">
        <v>227</v>
      </c>
      <c r="J102" s="63">
        <v>24.0</v>
      </c>
      <c r="K102" s="58" t="s">
        <v>73</v>
      </c>
      <c r="L102" s="58" t="s">
        <v>73</v>
      </c>
      <c r="M102" s="58" t="s">
        <v>73</v>
      </c>
      <c r="N102" s="58" t="s">
        <v>73</v>
      </c>
      <c r="O102" s="59">
        <f>($C102/$D102)*VLOOKUP($E102,'AWS Platforms Ratios'!$A$2:$O$25,7,FALSE)</f>
        <v>27.355</v>
      </c>
      <c r="P102" s="59">
        <f>($C102/$D102)*VLOOKUP($E102,'AWS Platforms Ratios'!$A$2:$O$25,8,FALSE)</f>
        <v>68.96</v>
      </c>
      <c r="Q102" s="59">
        <f>($C102/$D102)*VLOOKUP($E102,'AWS Platforms Ratios'!$A$2:$O$25,9,FALSE)</f>
        <v>153.465</v>
      </c>
      <c r="R102" s="59">
        <f>($C102/$D102)*VLOOKUP($E102,'AWS Platforms Ratios'!$A$2:$O$25,10,FALSE)</f>
        <v>222.69125</v>
      </c>
      <c r="S102" s="59">
        <f>$F102*VLOOKUP($E102,'AWS Platforms Ratios'!$A$2:$O$25,11,FALSE)</f>
        <v>29.8575</v>
      </c>
      <c r="T102" s="59">
        <f>$F102*VLOOKUP($E102,'AWS Platforms Ratios'!$A$2:$O$25,12,FALSE)</f>
        <v>49.415</v>
      </c>
      <c r="U102" s="59">
        <f>$F102*VLOOKUP($E102,'AWS Platforms Ratios'!$A$2:$O$25,13,FALSE)</f>
        <v>88.445</v>
      </c>
      <c r="V102" s="59">
        <f>$F102*VLOOKUP($E102,'AWS Platforms Ratios'!$A$2:$O$25,14,FALSE)</f>
        <v>127.475</v>
      </c>
      <c r="W102" s="60">
        <f>IF($K102&lt;&gt;"N/A",$M102*(VLOOKUP($L102,'GPU Specs &amp; Ratios'!$B$2:$I$8,5,FALSE)),0)</f>
        <v>0</v>
      </c>
      <c r="X102" s="60">
        <f>IF($K102&lt;&gt;"N/A",$M102*(VLOOKUP($L102,'GPU Specs &amp; Ratios'!$B$2:$I$8,6,FALSE)),0)</f>
        <v>0</v>
      </c>
      <c r="Y102" s="60">
        <f>IF($K102&lt;&gt;"N/A",$M102*(VLOOKUP($L102,'GPU Specs &amp; Ratios'!$B$2:$I$8,7,FALSE)),0)</f>
        <v>0</v>
      </c>
      <c r="Z102" s="60">
        <f>IF($K102&lt;&gt;"N/A",$M102*(VLOOKUP($L102,'GPU Specs &amp; Ratios'!$B$2:$I$8,8,FALSE)),0)</f>
        <v>0</v>
      </c>
      <c r="AA102" s="60">
        <f>(C102/D102)*VLOOKUP($E102,'AWS Platforms Ratios'!$A$2:$O$25,15,FALSE)</f>
        <v>42</v>
      </c>
      <c r="AB102" s="60">
        <f t="shared" ref="AB102:AE102" si="101">O102+S102+W102+$AA102</f>
        <v>99.2125</v>
      </c>
      <c r="AC102" s="60">
        <f t="shared" si="101"/>
        <v>160.375</v>
      </c>
      <c r="AD102" s="60">
        <f t="shared" si="101"/>
        <v>283.91</v>
      </c>
      <c r="AE102" s="60">
        <f t="shared" si="101"/>
        <v>392.16625</v>
      </c>
      <c r="AF102" s="60">
        <f>IF(G102&gt;'Scope 3 Ratios'!$B$5,(G102-'Scope 3 Ratios'!$B$5)*('Scope 3 Ratios'!$B$6/'Scope 3 Ratios'!$B$5),0)</f>
        <v>244.0944</v>
      </c>
      <c r="AG102" s="60">
        <f>J102*IF(I102="SSD",'Scope 3 Ratios'!$B$9,'Scope 3 Ratios'!$B$8)</f>
        <v>1200</v>
      </c>
      <c r="AH102" s="60">
        <f>IF(K102&lt;&gt;"N/A",K102*'Scope 3 Ratios'!$B$10,0)</f>
        <v>0</v>
      </c>
      <c r="AI102" s="60">
        <f>(VLOOKUP($E102,'AWS Platforms Ratios'!$A$2:$O$25,3,FALSE)-1)*'Scope 3 Ratios'!$B$7</f>
        <v>100</v>
      </c>
      <c r="AJ102" s="60">
        <f>'Scope 3 Ratios'!$B$2+AF102+AG102+AH102+AI102</f>
        <v>2544.0944</v>
      </c>
      <c r="AK102" s="60">
        <f>AJ102*'Scope 3 Ratios'!$B$4*(C102/D102)</f>
        <v>36.8069213</v>
      </c>
      <c r="AL102" s="65"/>
    </row>
    <row r="103" ht="15.0" customHeight="1">
      <c r="A103" s="56" t="s">
        <v>257</v>
      </c>
      <c r="B103" s="56" t="s">
        <v>258</v>
      </c>
      <c r="C103" s="56">
        <v>2.0</v>
      </c>
      <c r="D103" s="56">
        <f>VLOOKUP(E103,'AWS Platforms Ratios'!$A$2:$B$25,2,FALSE)</f>
        <v>40</v>
      </c>
      <c r="E103" s="57" t="s">
        <v>259</v>
      </c>
      <c r="F103" s="56">
        <v>15.0</v>
      </c>
      <c r="G103" s="56">
        <v>244.0</v>
      </c>
      <c r="H103" s="57" t="s">
        <v>260</v>
      </c>
      <c r="I103" s="56" t="s">
        <v>85</v>
      </c>
      <c r="J103" s="56">
        <v>4.0</v>
      </c>
      <c r="K103" s="58" t="s">
        <v>73</v>
      </c>
      <c r="L103" s="58" t="s">
        <v>73</v>
      </c>
      <c r="M103" s="58" t="s">
        <v>73</v>
      </c>
      <c r="N103" s="58" t="s">
        <v>73</v>
      </c>
      <c r="O103" s="59">
        <f>($C103/$D103)*VLOOKUP($E103,'AWS Platforms Ratios'!$A$2:$O$25,7,FALSE)</f>
        <v>1.387137931</v>
      </c>
      <c r="P103" s="59">
        <f>($C103/$D103)*VLOOKUP($E103,'AWS Platforms Ratios'!$A$2:$O$25,8,FALSE)</f>
        <v>3.959965517</v>
      </c>
      <c r="Q103" s="59">
        <f>($C103/$D103)*VLOOKUP($E103,'AWS Platforms Ratios'!$A$2:$O$25,9,FALSE)</f>
        <v>8.144775862</v>
      </c>
      <c r="R103" s="59">
        <f>($C103/$D103)*VLOOKUP($E103,'AWS Platforms Ratios'!$A$2:$O$25,10,FALSE)</f>
        <v>11.14835776</v>
      </c>
      <c r="S103" s="59">
        <f>$F103*VLOOKUP($E103,'AWS Platforms Ratios'!$A$2:$O$25,11,FALSE)</f>
        <v>3</v>
      </c>
      <c r="T103" s="59">
        <f>$F103*VLOOKUP($E103,'AWS Platforms Ratios'!$A$2:$O$25,12,FALSE)</f>
        <v>4.5</v>
      </c>
      <c r="U103" s="59">
        <f>$F103*VLOOKUP($E103,'AWS Platforms Ratios'!$A$2:$O$25,13,FALSE)</f>
        <v>6</v>
      </c>
      <c r="V103" s="59">
        <f>$F103*VLOOKUP($E103,'AWS Platforms Ratios'!$A$2:$O$25,14,FALSE)</f>
        <v>9</v>
      </c>
      <c r="W103" s="60">
        <f>IF($K103&lt;&gt;"N/A",$M103*(VLOOKUP($L103,'GPU Specs &amp; Ratios'!$B$2:$I$8,5,FALSE)),0)</f>
        <v>0</v>
      </c>
      <c r="X103" s="60">
        <f>IF($K103&lt;&gt;"N/A",$M103*(VLOOKUP($L103,'GPU Specs &amp; Ratios'!$B$2:$I$8,6,FALSE)),0)</f>
        <v>0</v>
      </c>
      <c r="Y103" s="60">
        <f>IF($K103&lt;&gt;"N/A",$M103*(VLOOKUP($L103,'GPU Specs &amp; Ratios'!$B$2:$I$8,7,FALSE)),0)</f>
        <v>0</v>
      </c>
      <c r="Z103" s="60">
        <f>IF($K103&lt;&gt;"N/A",$M103*(VLOOKUP($L103,'GPU Specs &amp; Ratios'!$B$2:$I$8,8,FALSE)),0)</f>
        <v>0</v>
      </c>
      <c r="AA103" s="60">
        <f>(C103/D103)*VLOOKUP($E103,'AWS Platforms Ratios'!$A$2:$O$25,15,FALSE)</f>
        <v>2.3</v>
      </c>
      <c r="AB103" s="60">
        <f t="shared" ref="AB103:AE103" si="102">O103+S103+W103+$AA103</f>
        <v>6.687137931</v>
      </c>
      <c r="AC103" s="60">
        <f t="shared" si="102"/>
        <v>10.75996552</v>
      </c>
      <c r="AD103" s="60">
        <f t="shared" si="102"/>
        <v>16.44477586</v>
      </c>
      <c r="AE103" s="60">
        <f t="shared" si="102"/>
        <v>22.44835776</v>
      </c>
      <c r="AF103" s="60">
        <f>IF(G103&gt;'Scope 3 Ratios'!$B$5,(G103-'Scope 3 Ratios'!$B$5)*('Scope 3 Ratios'!$B$6/'Scope 3 Ratios'!$B$5),0)</f>
        <v>316.2132</v>
      </c>
      <c r="AG103" s="60">
        <f>J103*IF(I103="SSD",'Scope 3 Ratios'!$B$9,'Scope 3 Ratios'!$B$8)</f>
        <v>400</v>
      </c>
      <c r="AH103" s="60">
        <f>IF(K103&lt;&gt;"N/A",K103*'Scope 3 Ratios'!$B$10,0)</f>
        <v>0</v>
      </c>
      <c r="AI103" s="60">
        <f>(VLOOKUP($E103,'AWS Platforms Ratios'!$A$2:$O$25,3,FALSE)-1)*'Scope 3 Ratios'!$B$7</f>
        <v>100</v>
      </c>
      <c r="AJ103" s="60">
        <f>'Scope 3 Ratios'!$B$2+AF103+AG103+AH103+AI103</f>
        <v>1816.2132</v>
      </c>
      <c r="AK103" s="60">
        <f>AJ103*'Scope 3 Ratios'!$B$4*(C103/D103)</f>
        <v>2.627623264</v>
      </c>
      <c r="AL103" s="61" t="s">
        <v>73</v>
      </c>
    </row>
    <row r="104" ht="15.0" customHeight="1">
      <c r="A104" s="56" t="s">
        <v>261</v>
      </c>
      <c r="B104" s="56" t="s">
        <v>258</v>
      </c>
      <c r="C104" s="56">
        <v>32.0</v>
      </c>
      <c r="D104" s="56">
        <f>VLOOKUP(E104,'AWS Platforms Ratios'!$A$2:$B$25,2,FALSE)</f>
        <v>40</v>
      </c>
      <c r="E104" s="57" t="s">
        <v>259</v>
      </c>
      <c r="F104" s="56">
        <v>244.0</v>
      </c>
      <c r="G104" s="56">
        <v>244.0</v>
      </c>
      <c r="H104" s="57" t="s">
        <v>262</v>
      </c>
      <c r="I104" s="56" t="s">
        <v>85</v>
      </c>
      <c r="J104" s="56">
        <v>4.0</v>
      </c>
      <c r="K104" s="58" t="s">
        <v>73</v>
      </c>
      <c r="L104" s="58" t="s">
        <v>73</v>
      </c>
      <c r="M104" s="58" t="s">
        <v>73</v>
      </c>
      <c r="N104" s="58" t="s">
        <v>73</v>
      </c>
      <c r="O104" s="59">
        <f>($C104/$D104)*VLOOKUP($E104,'AWS Platforms Ratios'!$A$2:$O$25,7,FALSE)</f>
        <v>22.1942069</v>
      </c>
      <c r="P104" s="59">
        <f>($C104/$D104)*VLOOKUP($E104,'AWS Platforms Ratios'!$A$2:$O$25,8,FALSE)</f>
        <v>63.35944828</v>
      </c>
      <c r="Q104" s="59">
        <f>($C104/$D104)*VLOOKUP($E104,'AWS Platforms Ratios'!$A$2:$O$25,9,FALSE)</f>
        <v>130.3164138</v>
      </c>
      <c r="R104" s="59">
        <f>($C104/$D104)*VLOOKUP($E104,'AWS Platforms Ratios'!$A$2:$O$25,10,FALSE)</f>
        <v>178.3737241</v>
      </c>
      <c r="S104" s="59">
        <f>$F104*VLOOKUP($E104,'AWS Platforms Ratios'!$A$2:$O$25,11,FALSE)</f>
        <v>48.8</v>
      </c>
      <c r="T104" s="59">
        <f>$F104*VLOOKUP($E104,'AWS Platforms Ratios'!$A$2:$O$25,12,FALSE)</f>
        <v>73.2</v>
      </c>
      <c r="U104" s="59">
        <f>$F104*VLOOKUP($E104,'AWS Platforms Ratios'!$A$2:$O$25,13,FALSE)</f>
        <v>97.6</v>
      </c>
      <c r="V104" s="59">
        <f>$F104*VLOOKUP($E104,'AWS Platforms Ratios'!$A$2:$O$25,14,FALSE)</f>
        <v>146.4</v>
      </c>
      <c r="W104" s="60">
        <f>IF($K104&lt;&gt;"N/A",$M104*(VLOOKUP($L104,'GPU Specs &amp; Ratios'!$B$2:$I$8,5,FALSE)),0)</f>
        <v>0</v>
      </c>
      <c r="X104" s="60">
        <f>IF($K104&lt;&gt;"N/A",$M104*(VLOOKUP($L104,'GPU Specs &amp; Ratios'!$B$2:$I$8,6,FALSE)),0)</f>
        <v>0</v>
      </c>
      <c r="Y104" s="60">
        <f>IF($K104&lt;&gt;"N/A",$M104*(VLOOKUP($L104,'GPU Specs &amp; Ratios'!$B$2:$I$8,7,FALSE)),0)</f>
        <v>0</v>
      </c>
      <c r="Z104" s="60">
        <f>IF($K104&lt;&gt;"N/A",$M104*(VLOOKUP($L104,'GPU Specs &amp; Ratios'!$B$2:$I$8,8,FALSE)),0)</f>
        <v>0</v>
      </c>
      <c r="AA104" s="60">
        <f>(C104/D104)*VLOOKUP($E104,'AWS Platforms Ratios'!$A$2:$O$25,15,FALSE)</f>
        <v>36.8</v>
      </c>
      <c r="AB104" s="60">
        <f t="shared" ref="AB104:AE104" si="103">O104+S104+W104+$AA104</f>
        <v>107.7942069</v>
      </c>
      <c r="AC104" s="60">
        <f t="shared" si="103"/>
        <v>173.3594483</v>
      </c>
      <c r="AD104" s="60">
        <f t="shared" si="103"/>
        <v>264.7164138</v>
      </c>
      <c r="AE104" s="60">
        <f t="shared" si="103"/>
        <v>361.5737241</v>
      </c>
      <c r="AF104" s="60">
        <f>IF(G104&gt;'Scope 3 Ratios'!$B$5,(G104-'Scope 3 Ratios'!$B$5)*('Scope 3 Ratios'!$B$6/'Scope 3 Ratios'!$B$5),0)</f>
        <v>316.2132</v>
      </c>
      <c r="AG104" s="60">
        <f>J104*IF(I104="SSD",'Scope 3 Ratios'!$B$9,'Scope 3 Ratios'!$B$8)</f>
        <v>400</v>
      </c>
      <c r="AH104" s="60">
        <f>IF(K104&lt;&gt;"N/A",K104*'Scope 3 Ratios'!$B$10,0)</f>
        <v>0</v>
      </c>
      <c r="AI104" s="60">
        <f>(VLOOKUP($E104,'AWS Platforms Ratios'!$A$2:$O$25,3,FALSE)-1)*'Scope 3 Ratios'!$B$7</f>
        <v>100</v>
      </c>
      <c r="AJ104" s="60">
        <f>'Scope 3 Ratios'!$B$2+AF104+AG104+AH104+AI104</f>
        <v>1816.2132</v>
      </c>
      <c r="AK104" s="60">
        <f>AJ104*'Scope 3 Ratios'!$B$4*(C104/D104)</f>
        <v>42.04197222</v>
      </c>
      <c r="AL104" s="61" t="s">
        <v>73</v>
      </c>
    </row>
    <row r="105" ht="15.0" customHeight="1">
      <c r="A105" s="56" t="s">
        <v>263</v>
      </c>
      <c r="B105" s="56" t="s">
        <v>264</v>
      </c>
      <c r="C105" s="56">
        <v>4.0</v>
      </c>
      <c r="D105" s="56">
        <f>VLOOKUP(E105,'AWS Platforms Ratios'!$A$2:$B$25,2,FALSE)</f>
        <v>48</v>
      </c>
      <c r="E105" s="57" t="s">
        <v>225</v>
      </c>
      <c r="F105" s="56">
        <v>31.0</v>
      </c>
      <c r="G105" s="56">
        <v>244.0</v>
      </c>
      <c r="H105" s="57" t="s">
        <v>265</v>
      </c>
      <c r="I105" s="56" t="s">
        <v>227</v>
      </c>
      <c r="J105" s="56">
        <v>8.0</v>
      </c>
      <c r="K105" s="58" t="s">
        <v>73</v>
      </c>
      <c r="L105" s="58" t="s">
        <v>73</v>
      </c>
      <c r="M105" s="58" t="s">
        <v>73</v>
      </c>
      <c r="N105" s="58" t="s">
        <v>73</v>
      </c>
      <c r="O105" s="59">
        <f>($C105/$D105)*VLOOKUP($E105,'AWS Platforms Ratios'!$A$2:$O$25,7,FALSE)</f>
        <v>2.412413793</v>
      </c>
      <c r="P105" s="59">
        <f>($C105/$D105)*VLOOKUP($E105,'AWS Platforms Ratios'!$A$2:$O$25,8,FALSE)</f>
        <v>6.886896552</v>
      </c>
      <c r="Q105" s="59">
        <f>($C105/$D105)*VLOOKUP($E105,'AWS Platforms Ratios'!$A$2:$O$25,9,FALSE)</f>
        <v>14.16482759</v>
      </c>
      <c r="R105" s="59">
        <f>($C105/$D105)*VLOOKUP($E105,'AWS Platforms Ratios'!$A$2:$O$25,10,FALSE)</f>
        <v>19.38844828</v>
      </c>
      <c r="S105" s="59">
        <f>$F105*VLOOKUP($E105,'AWS Platforms Ratios'!$A$2:$O$25,11,FALSE)</f>
        <v>6.2</v>
      </c>
      <c r="T105" s="59">
        <f>$F105*VLOOKUP($E105,'AWS Platforms Ratios'!$A$2:$O$25,12,FALSE)</f>
        <v>9.3</v>
      </c>
      <c r="U105" s="59">
        <f>$F105*VLOOKUP($E105,'AWS Platforms Ratios'!$A$2:$O$25,13,FALSE)</f>
        <v>12.4</v>
      </c>
      <c r="V105" s="59">
        <f>$F105*VLOOKUP($E105,'AWS Platforms Ratios'!$A$2:$O$25,14,FALSE)</f>
        <v>18.6</v>
      </c>
      <c r="W105" s="60">
        <f>IF($K105&lt;&gt;"N/A",$M105*(VLOOKUP($L105,'GPU Specs &amp; Ratios'!$B$2:$I$8,5,FALSE)),0)</f>
        <v>0</v>
      </c>
      <c r="X105" s="60">
        <f>IF($K105&lt;&gt;"N/A",$M105*(VLOOKUP($L105,'GPU Specs &amp; Ratios'!$B$2:$I$8,6,FALSE)),0)</f>
        <v>0</v>
      </c>
      <c r="Y105" s="60">
        <f>IF($K105&lt;&gt;"N/A",$M105*(VLOOKUP($L105,'GPU Specs &amp; Ratios'!$B$2:$I$8,7,FALSE)),0)</f>
        <v>0</v>
      </c>
      <c r="Z105" s="60">
        <f>IF($K105&lt;&gt;"N/A",$M105*(VLOOKUP($L105,'GPU Specs &amp; Ratios'!$B$2:$I$8,8,FALSE)),0)</f>
        <v>0</v>
      </c>
      <c r="AA105" s="60">
        <f>(C105/D105)*VLOOKUP($E105,'AWS Platforms Ratios'!$A$2:$O$25,15,FALSE)</f>
        <v>4</v>
      </c>
      <c r="AB105" s="60">
        <f t="shared" ref="AB105:AE105" si="104">O105+S105+W105+$AA105</f>
        <v>12.61241379</v>
      </c>
      <c r="AC105" s="60">
        <f t="shared" si="104"/>
        <v>20.18689655</v>
      </c>
      <c r="AD105" s="60">
        <f t="shared" si="104"/>
        <v>30.56482759</v>
      </c>
      <c r="AE105" s="60">
        <f t="shared" si="104"/>
        <v>41.98844828</v>
      </c>
      <c r="AF105" s="60">
        <f>IF(G105&gt;'Scope 3 Ratios'!$B$5,(G105-'Scope 3 Ratios'!$B$5)*('Scope 3 Ratios'!$B$6/'Scope 3 Ratios'!$B$5),0)</f>
        <v>316.2132</v>
      </c>
      <c r="AG105" s="60">
        <f>J105*IF(I105="SSD",'Scope 3 Ratios'!$B$9,'Scope 3 Ratios'!$B$8)</f>
        <v>400</v>
      </c>
      <c r="AH105" s="60">
        <f>IF(K105&lt;&gt;"N/A",K105*'Scope 3 Ratios'!$B$10,0)</f>
        <v>0</v>
      </c>
      <c r="AI105" s="60">
        <f>(VLOOKUP($E105,'AWS Platforms Ratios'!$A$2:$O$25,3,FALSE)-1)*'Scope 3 Ratios'!$B$7</f>
        <v>100</v>
      </c>
      <c r="AJ105" s="60">
        <f>'Scope 3 Ratios'!$B$2+AF105+AG105+AH105+AI105</f>
        <v>1816.2132</v>
      </c>
      <c r="AK105" s="60">
        <f>AJ105*'Scope 3 Ratios'!$B$4*(C105/D105)</f>
        <v>4.379372106</v>
      </c>
      <c r="AL105" s="61" t="s">
        <v>73</v>
      </c>
    </row>
    <row r="106" ht="15.0" customHeight="1">
      <c r="A106" s="56" t="s">
        <v>266</v>
      </c>
      <c r="B106" s="56" t="s">
        <v>264</v>
      </c>
      <c r="C106" s="56">
        <v>36.0</v>
      </c>
      <c r="D106" s="56">
        <f>VLOOKUP(E106,'AWS Platforms Ratios'!$A$2:$B$25,2,FALSE)</f>
        <v>48</v>
      </c>
      <c r="E106" s="57" t="s">
        <v>225</v>
      </c>
      <c r="F106" s="56">
        <v>244.0</v>
      </c>
      <c r="G106" s="56">
        <v>244.0</v>
      </c>
      <c r="H106" s="57" t="s">
        <v>267</v>
      </c>
      <c r="I106" s="56" t="s">
        <v>227</v>
      </c>
      <c r="J106" s="56">
        <v>8.0</v>
      </c>
      <c r="K106" s="58" t="s">
        <v>73</v>
      </c>
      <c r="L106" s="58" t="s">
        <v>73</v>
      </c>
      <c r="M106" s="58" t="s">
        <v>73</v>
      </c>
      <c r="N106" s="58" t="s">
        <v>73</v>
      </c>
      <c r="O106" s="59">
        <f>($C106/$D106)*VLOOKUP($E106,'AWS Platforms Ratios'!$A$2:$O$25,7,FALSE)</f>
        <v>21.71172414</v>
      </c>
      <c r="P106" s="59">
        <f>($C106/$D106)*VLOOKUP($E106,'AWS Platforms Ratios'!$A$2:$O$25,8,FALSE)</f>
        <v>61.98206897</v>
      </c>
      <c r="Q106" s="59">
        <f>($C106/$D106)*VLOOKUP($E106,'AWS Platforms Ratios'!$A$2:$O$25,9,FALSE)</f>
        <v>127.4834483</v>
      </c>
      <c r="R106" s="59">
        <f>($C106/$D106)*VLOOKUP($E106,'AWS Platforms Ratios'!$A$2:$O$25,10,FALSE)</f>
        <v>174.4960345</v>
      </c>
      <c r="S106" s="59">
        <f>$F106*VLOOKUP($E106,'AWS Platforms Ratios'!$A$2:$O$25,11,FALSE)</f>
        <v>48.8</v>
      </c>
      <c r="T106" s="59">
        <f>$F106*VLOOKUP($E106,'AWS Platforms Ratios'!$A$2:$O$25,12,FALSE)</f>
        <v>73.2</v>
      </c>
      <c r="U106" s="59">
        <f>$F106*VLOOKUP($E106,'AWS Platforms Ratios'!$A$2:$O$25,13,FALSE)</f>
        <v>97.6</v>
      </c>
      <c r="V106" s="59">
        <f>$F106*VLOOKUP($E106,'AWS Platforms Ratios'!$A$2:$O$25,14,FALSE)</f>
        <v>146.4</v>
      </c>
      <c r="W106" s="60">
        <f>IF($K106&lt;&gt;"N/A",$M106*(VLOOKUP($L106,'GPU Specs &amp; Ratios'!$B$2:$I$8,5,FALSE)),0)</f>
        <v>0</v>
      </c>
      <c r="X106" s="60">
        <f>IF($K106&lt;&gt;"N/A",$M106*(VLOOKUP($L106,'GPU Specs &amp; Ratios'!$B$2:$I$8,6,FALSE)),0)</f>
        <v>0</v>
      </c>
      <c r="Y106" s="60">
        <f>IF($K106&lt;&gt;"N/A",$M106*(VLOOKUP($L106,'GPU Specs &amp; Ratios'!$B$2:$I$8,7,FALSE)),0)</f>
        <v>0</v>
      </c>
      <c r="Z106" s="60">
        <f>IF($K106&lt;&gt;"N/A",$M106*(VLOOKUP($L106,'GPU Specs &amp; Ratios'!$B$2:$I$8,8,FALSE)),0)</f>
        <v>0</v>
      </c>
      <c r="AA106" s="60">
        <f>(C106/D106)*VLOOKUP($E106,'AWS Platforms Ratios'!$A$2:$O$25,15,FALSE)</f>
        <v>36</v>
      </c>
      <c r="AB106" s="60">
        <f t="shared" ref="AB106:AE106" si="105">O106+S106+W106+$AA106</f>
        <v>106.5117241</v>
      </c>
      <c r="AC106" s="60">
        <f t="shared" si="105"/>
        <v>171.182069</v>
      </c>
      <c r="AD106" s="60">
        <f t="shared" si="105"/>
        <v>261.0834483</v>
      </c>
      <c r="AE106" s="60">
        <f t="shared" si="105"/>
        <v>356.8960345</v>
      </c>
      <c r="AF106" s="60">
        <f>IF(G106&gt;'Scope 3 Ratios'!$B$5,(G106-'Scope 3 Ratios'!$B$5)*('Scope 3 Ratios'!$B$6/'Scope 3 Ratios'!$B$5),0)</f>
        <v>316.2132</v>
      </c>
      <c r="AG106" s="60">
        <f>J106*IF(I106="SSD",'Scope 3 Ratios'!$B$9,'Scope 3 Ratios'!$B$8)</f>
        <v>400</v>
      </c>
      <c r="AH106" s="60">
        <f>IF(K106&lt;&gt;"N/A",K106*'Scope 3 Ratios'!$B$10,0)</f>
        <v>0</v>
      </c>
      <c r="AI106" s="60">
        <f>(VLOOKUP($E106,'AWS Platforms Ratios'!$A$2:$O$25,3,FALSE)-1)*'Scope 3 Ratios'!$B$7</f>
        <v>100</v>
      </c>
      <c r="AJ106" s="60">
        <f>'Scope 3 Ratios'!$B$2+AF106+AG106+AH106+AI106</f>
        <v>1816.2132</v>
      </c>
      <c r="AK106" s="60">
        <f>AJ106*'Scope 3 Ratios'!$B$4*(C106/D106)</f>
        <v>39.41434896</v>
      </c>
      <c r="AL106" s="61" t="s">
        <v>73</v>
      </c>
    </row>
    <row r="107" ht="15.0" customHeight="1">
      <c r="A107" s="63" t="s">
        <v>268</v>
      </c>
      <c r="B107" s="56" t="s">
        <v>119</v>
      </c>
      <c r="C107" s="63">
        <v>8.0</v>
      </c>
      <c r="D107" s="56">
        <f>VLOOKUP(E107,'AWS Platforms Ratios'!$A$2:$B$25,2,FALSE)</f>
        <v>72</v>
      </c>
      <c r="E107" s="63" t="s">
        <v>269</v>
      </c>
      <c r="F107" s="63">
        <v>122.0</v>
      </c>
      <c r="G107" s="63">
        <v>976.0</v>
      </c>
      <c r="H107" s="64" t="s">
        <v>270</v>
      </c>
      <c r="I107" s="63" t="s">
        <v>85</v>
      </c>
      <c r="J107" s="63">
        <v>4.0</v>
      </c>
      <c r="K107" s="58" t="s">
        <v>73</v>
      </c>
      <c r="L107" s="58" t="s">
        <v>73</v>
      </c>
      <c r="M107" s="58" t="s">
        <v>73</v>
      </c>
      <c r="N107" s="58" t="s">
        <v>73</v>
      </c>
      <c r="O107" s="59">
        <f>($C107/$D107)*VLOOKUP($E107,'AWS Platforms Ratios'!$A$2:$O$25,7,FALSE)</f>
        <v>3.886666667</v>
      </c>
      <c r="P107" s="59">
        <f>($C107/$D107)*VLOOKUP($E107,'AWS Platforms Ratios'!$A$2:$O$25,8,FALSE)</f>
        <v>11.09555556</v>
      </c>
      <c r="Q107" s="59">
        <f>($C107/$D107)*VLOOKUP($E107,'AWS Platforms Ratios'!$A$2:$O$25,9,FALSE)</f>
        <v>22.82111111</v>
      </c>
      <c r="R107" s="59">
        <f>($C107/$D107)*VLOOKUP($E107,'AWS Platforms Ratios'!$A$2:$O$25,10,FALSE)</f>
        <v>31.23694444</v>
      </c>
      <c r="S107" s="59">
        <f>$F107*VLOOKUP($E107,'AWS Platforms Ratios'!$A$2:$O$25,11,FALSE)</f>
        <v>24.4</v>
      </c>
      <c r="T107" s="59">
        <f>$F107*VLOOKUP($E107,'AWS Platforms Ratios'!$A$2:$O$25,12,FALSE)</f>
        <v>36.6</v>
      </c>
      <c r="U107" s="59">
        <f>$F107*VLOOKUP($E107,'AWS Platforms Ratios'!$A$2:$O$25,13,FALSE)</f>
        <v>48.8</v>
      </c>
      <c r="V107" s="59">
        <f>$F107*VLOOKUP($E107,'AWS Platforms Ratios'!$A$2:$O$25,14,FALSE)</f>
        <v>73.2</v>
      </c>
      <c r="W107" s="60">
        <f>IF($K107&lt;&gt;"N/A",$M107*(VLOOKUP($L107,'GPU Specs &amp; Ratios'!$B$2:$I$8,5,FALSE)),0)</f>
        <v>0</v>
      </c>
      <c r="X107" s="60">
        <f>IF($K107&lt;&gt;"N/A",$M107*(VLOOKUP($L107,'GPU Specs &amp; Ratios'!$B$2:$I$8,6,FALSE)),0)</f>
        <v>0</v>
      </c>
      <c r="Y107" s="60">
        <f>IF($K107&lt;&gt;"N/A",$M107*(VLOOKUP($L107,'GPU Specs &amp; Ratios'!$B$2:$I$8,7,FALSE)),0)</f>
        <v>0</v>
      </c>
      <c r="Z107" s="60">
        <f>IF($K107&lt;&gt;"N/A",$M107*(VLOOKUP($L107,'GPU Specs &amp; Ratios'!$B$2:$I$8,8,FALSE)),0)</f>
        <v>0</v>
      </c>
      <c r="AA107" s="60">
        <f>(C107/D107)*VLOOKUP($E107,'AWS Platforms Ratios'!$A$2:$O$25,15,FALSE)</f>
        <v>6.444444444</v>
      </c>
      <c r="AB107" s="60">
        <f t="shared" ref="AB107:AE107" si="106">O107+S107+W107+$AA107</f>
        <v>34.73111111</v>
      </c>
      <c r="AC107" s="60">
        <f t="shared" si="106"/>
        <v>54.14</v>
      </c>
      <c r="AD107" s="60">
        <f t="shared" si="106"/>
        <v>78.06555556</v>
      </c>
      <c r="AE107" s="60">
        <f t="shared" si="106"/>
        <v>110.8813889</v>
      </c>
      <c r="AF107" s="60">
        <f>IF(G107&gt;'Scope 3 Ratios'!$B$5,(G107-'Scope 3 Ratios'!$B$5)*('Scope 3 Ratios'!$B$6/'Scope 3 Ratios'!$B$5),0)</f>
        <v>1331.424</v>
      </c>
      <c r="AG107" s="60">
        <f>J107*IF(I107="SSD",'Scope 3 Ratios'!$B$9,'Scope 3 Ratios'!$B$8)</f>
        <v>400</v>
      </c>
      <c r="AH107" s="60">
        <f>IF(K107&lt;&gt;"N/A",K107*'Scope 3 Ratios'!$B$10,0)</f>
        <v>0</v>
      </c>
      <c r="AI107" s="60">
        <f>(VLOOKUP($E107,'AWS Platforms Ratios'!$A$2:$O$25,3,FALSE)-1)*'Scope 3 Ratios'!$B$7</f>
        <v>100</v>
      </c>
      <c r="AJ107" s="60">
        <f>'Scope 3 Ratios'!$B$2+AF107+AG107+AH107+AI107</f>
        <v>2831.424</v>
      </c>
      <c r="AK107" s="60">
        <f>AJ107*'Scope 3 Ratios'!$B$4*(C107/D107)</f>
        <v>9.10308642</v>
      </c>
      <c r="AL107" s="66" t="s">
        <v>271</v>
      </c>
    </row>
    <row r="108" ht="15.0" customHeight="1">
      <c r="A108" s="63" t="s">
        <v>272</v>
      </c>
      <c r="B108" s="56" t="s">
        <v>119</v>
      </c>
      <c r="C108" s="63">
        <v>16.0</v>
      </c>
      <c r="D108" s="56">
        <f>VLOOKUP(E108,'AWS Platforms Ratios'!$A$2:$B$25,2,FALSE)</f>
        <v>72</v>
      </c>
      <c r="E108" s="63" t="s">
        <v>269</v>
      </c>
      <c r="F108" s="63">
        <v>244.0</v>
      </c>
      <c r="G108" s="63">
        <v>976.0</v>
      </c>
      <c r="H108" s="64" t="s">
        <v>273</v>
      </c>
      <c r="I108" s="63" t="s">
        <v>85</v>
      </c>
      <c r="J108" s="63">
        <v>4.0</v>
      </c>
      <c r="K108" s="58" t="s">
        <v>73</v>
      </c>
      <c r="L108" s="58" t="s">
        <v>73</v>
      </c>
      <c r="M108" s="58" t="s">
        <v>73</v>
      </c>
      <c r="N108" s="58" t="s">
        <v>73</v>
      </c>
      <c r="O108" s="59">
        <f>($C108/$D108)*VLOOKUP($E108,'AWS Platforms Ratios'!$A$2:$O$25,7,FALSE)</f>
        <v>7.773333333</v>
      </c>
      <c r="P108" s="59">
        <f>($C108/$D108)*VLOOKUP($E108,'AWS Platforms Ratios'!$A$2:$O$25,8,FALSE)</f>
        <v>22.19111111</v>
      </c>
      <c r="Q108" s="59">
        <f>($C108/$D108)*VLOOKUP($E108,'AWS Platforms Ratios'!$A$2:$O$25,9,FALSE)</f>
        <v>45.64222222</v>
      </c>
      <c r="R108" s="59">
        <f>($C108/$D108)*VLOOKUP($E108,'AWS Platforms Ratios'!$A$2:$O$25,10,FALSE)</f>
        <v>62.47388889</v>
      </c>
      <c r="S108" s="59">
        <f>$F108*VLOOKUP($E108,'AWS Platforms Ratios'!$A$2:$O$25,11,FALSE)</f>
        <v>48.8</v>
      </c>
      <c r="T108" s="59">
        <f>$F108*VLOOKUP($E108,'AWS Platforms Ratios'!$A$2:$O$25,12,FALSE)</f>
        <v>73.2</v>
      </c>
      <c r="U108" s="59">
        <f>$F108*VLOOKUP($E108,'AWS Platforms Ratios'!$A$2:$O$25,13,FALSE)</f>
        <v>97.6</v>
      </c>
      <c r="V108" s="59">
        <f>$F108*VLOOKUP($E108,'AWS Platforms Ratios'!$A$2:$O$25,14,FALSE)</f>
        <v>146.4</v>
      </c>
      <c r="W108" s="60">
        <f>IF($K108&lt;&gt;"N/A",$M108*(VLOOKUP($L108,'GPU Specs &amp; Ratios'!$B$2:$I$8,5,FALSE)),0)</f>
        <v>0</v>
      </c>
      <c r="X108" s="60">
        <f>IF($K108&lt;&gt;"N/A",$M108*(VLOOKUP($L108,'GPU Specs &amp; Ratios'!$B$2:$I$8,6,FALSE)),0)</f>
        <v>0</v>
      </c>
      <c r="Y108" s="60">
        <f>IF($K108&lt;&gt;"N/A",$M108*(VLOOKUP($L108,'GPU Specs &amp; Ratios'!$B$2:$I$8,7,FALSE)),0)</f>
        <v>0</v>
      </c>
      <c r="Z108" s="60">
        <f>IF($K108&lt;&gt;"N/A",$M108*(VLOOKUP($L108,'GPU Specs &amp; Ratios'!$B$2:$I$8,8,FALSE)),0)</f>
        <v>0</v>
      </c>
      <c r="AA108" s="60">
        <f>(C108/D108)*VLOOKUP($E108,'AWS Platforms Ratios'!$A$2:$O$25,15,FALSE)</f>
        <v>12.88888889</v>
      </c>
      <c r="AB108" s="60">
        <f t="shared" ref="AB108:AE108" si="107">O108+S108+W108+$AA108</f>
        <v>69.46222222</v>
      </c>
      <c r="AC108" s="60">
        <f t="shared" si="107"/>
        <v>108.28</v>
      </c>
      <c r="AD108" s="60">
        <f t="shared" si="107"/>
        <v>156.1311111</v>
      </c>
      <c r="AE108" s="60">
        <f t="shared" si="107"/>
        <v>221.7627778</v>
      </c>
      <c r="AF108" s="60">
        <f>IF(G108&gt;'Scope 3 Ratios'!$B$5,(G108-'Scope 3 Ratios'!$B$5)*('Scope 3 Ratios'!$B$6/'Scope 3 Ratios'!$B$5),0)</f>
        <v>1331.424</v>
      </c>
      <c r="AG108" s="60">
        <f>J108*IF(I108="SSD",'Scope 3 Ratios'!$B$9,'Scope 3 Ratios'!$B$8)</f>
        <v>400</v>
      </c>
      <c r="AH108" s="60">
        <f>IF(K108&lt;&gt;"N/A",K108*'Scope 3 Ratios'!$B$10,0)</f>
        <v>0</v>
      </c>
      <c r="AI108" s="60">
        <f>(VLOOKUP($E108,'AWS Platforms Ratios'!$A$2:$O$25,3,FALSE)-1)*'Scope 3 Ratios'!$B$7</f>
        <v>100</v>
      </c>
      <c r="AJ108" s="60">
        <f>'Scope 3 Ratios'!$B$2+AF108+AG108+AH108+AI108</f>
        <v>2831.424</v>
      </c>
      <c r="AK108" s="60">
        <f>AJ108*'Scope 3 Ratios'!$B$4*(C108/D108)</f>
        <v>18.20617284</v>
      </c>
      <c r="AL108" s="66" t="s">
        <v>274</v>
      </c>
    </row>
    <row r="109" ht="15.0" customHeight="1">
      <c r="A109" s="63" t="s">
        <v>275</v>
      </c>
      <c r="B109" s="56" t="s">
        <v>119</v>
      </c>
      <c r="C109" s="63">
        <v>64.0</v>
      </c>
      <c r="D109" s="56">
        <f>VLOOKUP(E109,'AWS Platforms Ratios'!$A$2:$B$25,2,FALSE)</f>
        <v>72</v>
      </c>
      <c r="E109" s="63" t="s">
        <v>269</v>
      </c>
      <c r="F109" s="63">
        <v>976.0</v>
      </c>
      <c r="G109" s="63">
        <v>976.0</v>
      </c>
      <c r="H109" s="64" t="s">
        <v>276</v>
      </c>
      <c r="I109" s="63" t="s">
        <v>85</v>
      </c>
      <c r="J109" s="63">
        <v>4.0</v>
      </c>
      <c r="K109" s="58" t="s">
        <v>73</v>
      </c>
      <c r="L109" s="58" t="s">
        <v>73</v>
      </c>
      <c r="M109" s="58" t="s">
        <v>73</v>
      </c>
      <c r="N109" s="58" t="s">
        <v>73</v>
      </c>
      <c r="O109" s="59">
        <f>($C109/$D109)*VLOOKUP($E109,'AWS Platforms Ratios'!$A$2:$O$25,7,FALSE)</f>
        <v>31.09333333</v>
      </c>
      <c r="P109" s="59">
        <f>($C109/$D109)*VLOOKUP($E109,'AWS Platforms Ratios'!$A$2:$O$25,8,FALSE)</f>
        <v>88.76444444</v>
      </c>
      <c r="Q109" s="59">
        <f>($C109/$D109)*VLOOKUP($E109,'AWS Platforms Ratios'!$A$2:$O$25,9,FALSE)</f>
        <v>182.5688889</v>
      </c>
      <c r="R109" s="59">
        <f>($C109/$D109)*VLOOKUP($E109,'AWS Platforms Ratios'!$A$2:$O$25,10,FALSE)</f>
        <v>249.8955556</v>
      </c>
      <c r="S109" s="59">
        <f>$F109*VLOOKUP($E109,'AWS Platforms Ratios'!$A$2:$O$25,11,FALSE)</f>
        <v>195.2</v>
      </c>
      <c r="T109" s="59">
        <f>$F109*VLOOKUP($E109,'AWS Platforms Ratios'!$A$2:$O$25,12,FALSE)</f>
        <v>292.8</v>
      </c>
      <c r="U109" s="59">
        <f>$F109*VLOOKUP($E109,'AWS Platforms Ratios'!$A$2:$O$25,13,FALSE)</f>
        <v>390.4</v>
      </c>
      <c r="V109" s="59">
        <f>$F109*VLOOKUP($E109,'AWS Platforms Ratios'!$A$2:$O$25,14,FALSE)</f>
        <v>585.6</v>
      </c>
      <c r="W109" s="60">
        <f>IF($K109&lt;&gt;"N/A",$M109*(VLOOKUP($L109,'GPU Specs &amp; Ratios'!$B$2:$I$8,5,FALSE)),0)</f>
        <v>0</v>
      </c>
      <c r="X109" s="60">
        <f>IF($K109&lt;&gt;"N/A",$M109*(VLOOKUP($L109,'GPU Specs &amp; Ratios'!$B$2:$I$8,6,FALSE)),0)</f>
        <v>0</v>
      </c>
      <c r="Y109" s="60">
        <f>IF($K109&lt;&gt;"N/A",$M109*(VLOOKUP($L109,'GPU Specs &amp; Ratios'!$B$2:$I$8,7,FALSE)),0)</f>
        <v>0</v>
      </c>
      <c r="Z109" s="60">
        <f>IF($K109&lt;&gt;"N/A",$M109*(VLOOKUP($L109,'GPU Specs &amp; Ratios'!$B$2:$I$8,8,FALSE)),0)</f>
        <v>0</v>
      </c>
      <c r="AA109" s="60">
        <f>(C109/D109)*VLOOKUP($E109,'AWS Platforms Ratios'!$A$2:$O$25,15,FALSE)</f>
        <v>51.55555556</v>
      </c>
      <c r="AB109" s="60">
        <f t="shared" ref="AB109:AE109" si="108">O109+S109+W109+$AA109</f>
        <v>277.8488889</v>
      </c>
      <c r="AC109" s="60">
        <f t="shared" si="108"/>
        <v>433.12</v>
      </c>
      <c r="AD109" s="60">
        <f t="shared" si="108"/>
        <v>624.5244444</v>
      </c>
      <c r="AE109" s="60">
        <f t="shared" si="108"/>
        <v>887.0511111</v>
      </c>
      <c r="AF109" s="60">
        <f>IF(G109&gt;'Scope 3 Ratios'!$B$5,(G109-'Scope 3 Ratios'!$B$5)*('Scope 3 Ratios'!$B$6/'Scope 3 Ratios'!$B$5),0)</f>
        <v>1331.424</v>
      </c>
      <c r="AG109" s="60">
        <f>J109*IF(I109="SSD",'Scope 3 Ratios'!$B$9,'Scope 3 Ratios'!$B$8)</f>
        <v>400</v>
      </c>
      <c r="AH109" s="60">
        <f>IF(K109&lt;&gt;"N/A",K109*'Scope 3 Ratios'!$B$10,0)</f>
        <v>0</v>
      </c>
      <c r="AI109" s="60">
        <f>(VLOOKUP($E109,'AWS Platforms Ratios'!$A$2:$O$25,3,FALSE)-1)*'Scope 3 Ratios'!$B$7</f>
        <v>100</v>
      </c>
      <c r="AJ109" s="60">
        <f>'Scope 3 Ratios'!$B$2+AF109+AG109+AH109+AI109</f>
        <v>2831.424</v>
      </c>
      <c r="AK109" s="60">
        <f>AJ109*'Scope 3 Ratios'!$B$4*(C109/D109)</f>
        <v>72.82469136</v>
      </c>
      <c r="AL109" s="66" t="s">
        <v>277</v>
      </c>
    </row>
    <row r="110" ht="15.0" customHeight="1">
      <c r="A110" s="56" t="s">
        <v>278</v>
      </c>
      <c r="B110" s="56" t="s">
        <v>98</v>
      </c>
      <c r="C110" s="56">
        <v>8.0</v>
      </c>
      <c r="D110" s="56">
        <f>VLOOKUP(E110,'AWS Platforms Ratios'!$A$2:$B$25,2,FALSE)</f>
        <v>32</v>
      </c>
      <c r="E110" s="57" t="s">
        <v>90</v>
      </c>
      <c r="F110" s="56">
        <v>15.0</v>
      </c>
      <c r="G110" s="56">
        <v>60.0</v>
      </c>
      <c r="H110" s="57" t="s">
        <v>279</v>
      </c>
      <c r="I110" s="63" t="s">
        <v>85</v>
      </c>
      <c r="J110" s="56">
        <v>2.0</v>
      </c>
      <c r="K110" s="67">
        <v>4.0</v>
      </c>
      <c r="L110" s="67" t="s">
        <v>280</v>
      </c>
      <c r="M110" s="67">
        <v>1.0</v>
      </c>
      <c r="N110" s="67">
        <v>4.0</v>
      </c>
      <c r="O110" s="59">
        <f>($C110/$D110)*VLOOKUP($E110,'AWS Platforms Ratios'!$A$2:$O$25,7,FALSE)</f>
        <v>6.935689655</v>
      </c>
      <c r="P110" s="59">
        <f>($C110/$D110)*VLOOKUP($E110,'AWS Platforms Ratios'!$A$2:$O$25,8,FALSE)</f>
        <v>19.79982759</v>
      </c>
      <c r="Q110" s="59">
        <f>($C110/$D110)*VLOOKUP($E110,'AWS Platforms Ratios'!$A$2:$O$25,9,FALSE)</f>
        <v>40.72387931</v>
      </c>
      <c r="R110" s="59">
        <f>($C110/$D110)*VLOOKUP($E110,'AWS Platforms Ratios'!$A$2:$O$25,10,FALSE)</f>
        <v>55.74178879</v>
      </c>
      <c r="S110" s="59">
        <f>$F110*VLOOKUP($E110,'AWS Platforms Ratios'!$A$2:$O$25,11,FALSE)</f>
        <v>3</v>
      </c>
      <c r="T110" s="59">
        <f>$F110*VLOOKUP($E110,'AWS Platforms Ratios'!$A$2:$O$25,12,FALSE)</f>
        <v>4.5</v>
      </c>
      <c r="U110" s="59">
        <f>$F110*VLOOKUP($E110,'AWS Platforms Ratios'!$A$2:$O$25,13,FALSE)</f>
        <v>6</v>
      </c>
      <c r="V110" s="59">
        <f>$F110*VLOOKUP($E110,'AWS Platforms Ratios'!$A$2:$O$25,14,FALSE)</f>
        <v>9</v>
      </c>
      <c r="W110" s="60">
        <f>IF($K110&lt;&gt;"N/A",$M110*(VLOOKUP($L110,'GPU Specs &amp; Ratios'!$B$2:$I$8,5,FALSE)),0)</f>
        <v>26.12893891</v>
      </c>
      <c r="X110" s="60">
        <f>IF($K110&lt;&gt;"N/A",$M110*(VLOOKUP($L110,'GPU Specs &amp; Ratios'!$B$2:$I$8,6,FALSE)),0)</f>
        <v>71.60860129</v>
      </c>
      <c r="Y110" s="60">
        <f>IF($K110&lt;&gt;"N/A",$M110*(VLOOKUP($L110,'GPU Specs &amp; Ratios'!$B$2:$I$8,7,FALSE)),0)</f>
        <v>169.2593248</v>
      </c>
      <c r="Z110" s="60">
        <f>IF($K110&lt;&gt;"N/A",$M110*(VLOOKUP($L110,'GPU Specs &amp; Ratios'!$B$2:$I$8,8,FALSE)),0)</f>
        <v>229.1726286</v>
      </c>
      <c r="AA110" s="60">
        <f>(C110/D110)*VLOOKUP($E110,'AWS Platforms Ratios'!$A$2:$O$25,15,FALSE)</f>
        <v>11.5</v>
      </c>
      <c r="AB110" s="60">
        <f t="shared" ref="AB110:AE110" si="109">O110+S110+W110+$AA110</f>
        <v>47.56462856</v>
      </c>
      <c r="AC110" s="60">
        <f t="shared" si="109"/>
        <v>107.4084289</v>
      </c>
      <c r="AD110" s="60">
        <f t="shared" si="109"/>
        <v>227.4832041</v>
      </c>
      <c r="AE110" s="60">
        <f t="shared" si="109"/>
        <v>305.4144174</v>
      </c>
      <c r="AF110" s="60">
        <f>IF(G110&gt;'Scope 3 Ratios'!$B$5,(G110-'Scope 3 Ratios'!$B$5)*('Scope 3 Ratios'!$B$6/'Scope 3 Ratios'!$B$5),0)</f>
        <v>61.0236</v>
      </c>
      <c r="AG110" s="60">
        <f>J110*IF(I110="SSD",'Scope 3 Ratios'!$B$9,'Scope 3 Ratios'!$B$8)</f>
        <v>200</v>
      </c>
      <c r="AH110" s="60">
        <f>IF(K110&lt;&gt;"N/A",K110*'Scope 3 Ratios'!$B$10,0)</f>
        <v>600</v>
      </c>
      <c r="AI110" s="60">
        <f>(VLOOKUP($E110,'AWS Platforms Ratios'!$A$2:$O$25,3,FALSE)-1)*'Scope 3 Ratios'!$B$7</f>
        <v>100</v>
      </c>
      <c r="AJ110" s="60">
        <f>'Scope 3 Ratios'!$B$2+AF110+AG110+AH110+AI110</f>
        <v>1961.0236</v>
      </c>
      <c r="AK110" s="60">
        <f>AJ110*'Scope 3 Ratios'!$B$4*(C110/D110)</f>
        <v>14.18564525</v>
      </c>
      <c r="AL110" s="68" t="s">
        <v>281</v>
      </c>
    </row>
    <row r="111" ht="15.0" customHeight="1">
      <c r="A111" s="56" t="s">
        <v>282</v>
      </c>
      <c r="B111" s="56" t="s">
        <v>283</v>
      </c>
      <c r="C111" s="56">
        <v>32.0</v>
      </c>
      <c r="D111" s="56">
        <f>VLOOKUP(E111,'AWS Platforms Ratios'!$A$2:$B$25,2,FALSE)</f>
        <v>32</v>
      </c>
      <c r="E111" s="57" t="s">
        <v>90</v>
      </c>
      <c r="F111" s="56">
        <v>60.0</v>
      </c>
      <c r="G111" s="56">
        <v>60.0</v>
      </c>
      <c r="H111" s="57" t="s">
        <v>91</v>
      </c>
      <c r="I111" s="63" t="s">
        <v>85</v>
      </c>
      <c r="J111" s="56">
        <v>2.0</v>
      </c>
      <c r="K111" s="67">
        <v>4.0</v>
      </c>
      <c r="L111" s="67" t="s">
        <v>280</v>
      </c>
      <c r="M111" s="67">
        <v>4.0</v>
      </c>
      <c r="N111" s="67">
        <v>16.0</v>
      </c>
      <c r="O111" s="59">
        <f>($C111/$D111)*VLOOKUP($E111,'AWS Platforms Ratios'!$A$2:$O$25,7,FALSE)</f>
        <v>27.74275862</v>
      </c>
      <c r="P111" s="59">
        <f>($C111/$D111)*VLOOKUP($E111,'AWS Platforms Ratios'!$A$2:$O$25,8,FALSE)</f>
        <v>79.19931034</v>
      </c>
      <c r="Q111" s="59">
        <f>($C111/$D111)*VLOOKUP($E111,'AWS Platforms Ratios'!$A$2:$O$25,9,FALSE)</f>
        <v>162.8955172</v>
      </c>
      <c r="R111" s="59">
        <f>($C111/$D111)*VLOOKUP($E111,'AWS Platforms Ratios'!$A$2:$O$25,10,FALSE)</f>
        <v>222.9671552</v>
      </c>
      <c r="S111" s="59">
        <f>$F111*VLOOKUP($E111,'AWS Platforms Ratios'!$A$2:$O$25,11,FALSE)</f>
        <v>12</v>
      </c>
      <c r="T111" s="59">
        <f>$F111*VLOOKUP($E111,'AWS Platforms Ratios'!$A$2:$O$25,12,FALSE)</f>
        <v>18</v>
      </c>
      <c r="U111" s="59">
        <f>$F111*VLOOKUP($E111,'AWS Platforms Ratios'!$A$2:$O$25,13,FALSE)</f>
        <v>24</v>
      </c>
      <c r="V111" s="59">
        <f>$F111*VLOOKUP($E111,'AWS Platforms Ratios'!$A$2:$O$25,14,FALSE)</f>
        <v>36</v>
      </c>
      <c r="W111" s="60">
        <f>IF($K111&lt;&gt;"N/A",$M111*(VLOOKUP($L111,'GPU Specs &amp; Ratios'!$B$2:$I$8,5,FALSE)),0)</f>
        <v>104.5157556</v>
      </c>
      <c r="X111" s="60">
        <f>IF($K111&lt;&gt;"N/A",$M111*(VLOOKUP($L111,'GPU Specs &amp; Ratios'!$B$2:$I$8,6,FALSE)),0)</f>
        <v>286.4344051</v>
      </c>
      <c r="Y111" s="60">
        <f>IF($K111&lt;&gt;"N/A",$M111*(VLOOKUP($L111,'GPU Specs &amp; Ratios'!$B$2:$I$8,7,FALSE)),0)</f>
        <v>677.037299</v>
      </c>
      <c r="Z111" s="60">
        <f>IF($K111&lt;&gt;"N/A",$M111*(VLOOKUP($L111,'GPU Specs &amp; Ratios'!$B$2:$I$8,8,FALSE)),0)</f>
        <v>916.6905145</v>
      </c>
      <c r="AA111" s="60">
        <f>(C111/D111)*VLOOKUP($E111,'AWS Platforms Ratios'!$A$2:$O$25,15,FALSE)</f>
        <v>46</v>
      </c>
      <c r="AB111" s="60">
        <f t="shared" ref="AB111:AE111" si="110">O111+S111+W111+$AA111</f>
        <v>190.2585142</v>
      </c>
      <c r="AC111" s="60">
        <f t="shared" si="110"/>
        <v>429.6337155</v>
      </c>
      <c r="AD111" s="60">
        <f t="shared" si="110"/>
        <v>909.9328163</v>
      </c>
      <c r="AE111" s="60">
        <f t="shared" si="110"/>
        <v>1221.65767</v>
      </c>
      <c r="AF111" s="60">
        <f>IF(G111&gt;'Scope 3 Ratios'!$B$5,(G111-'Scope 3 Ratios'!$B$5)*('Scope 3 Ratios'!$B$6/'Scope 3 Ratios'!$B$5),0)</f>
        <v>61.0236</v>
      </c>
      <c r="AG111" s="60">
        <f>J111*IF(I111="SSD",'Scope 3 Ratios'!$B$9,'Scope 3 Ratios'!$B$8)</f>
        <v>200</v>
      </c>
      <c r="AH111" s="60">
        <f>IF(K111&lt;&gt;"N/A",K111*'Scope 3 Ratios'!$B$10,0)</f>
        <v>600</v>
      </c>
      <c r="AI111" s="60">
        <f>(VLOOKUP($E111,'AWS Platforms Ratios'!$A$2:$O$25,3,FALSE)-1)*'Scope 3 Ratios'!$B$7</f>
        <v>100</v>
      </c>
      <c r="AJ111" s="60">
        <f>'Scope 3 Ratios'!$B$2+AF111+AG111+AH111+AI111</f>
        <v>1961.0236</v>
      </c>
      <c r="AK111" s="60">
        <f>AJ111*'Scope 3 Ratios'!$B$4*(C111/D111)</f>
        <v>56.74258102</v>
      </c>
      <c r="AL111" s="68" t="s">
        <v>284</v>
      </c>
    </row>
    <row r="112" ht="15.0" customHeight="1">
      <c r="A112" s="65" t="s">
        <v>285</v>
      </c>
      <c r="B112" s="56" t="s">
        <v>286</v>
      </c>
      <c r="C112" s="65">
        <v>4.0</v>
      </c>
      <c r="D112" s="56">
        <f>VLOOKUP(E112,'AWS Platforms Ratios'!$A$2:$B$25,2,FALSE)</f>
        <v>72</v>
      </c>
      <c r="E112" s="57" t="s">
        <v>269</v>
      </c>
      <c r="F112" s="65">
        <v>30.5</v>
      </c>
      <c r="G112" s="65">
        <v>488.0</v>
      </c>
      <c r="H112" s="69"/>
      <c r="I112" s="65" t="s">
        <v>72</v>
      </c>
      <c r="J112" s="65">
        <v>0.0</v>
      </c>
      <c r="K112" s="58">
        <v>4.0</v>
      </c>
      <c r="L112" s="58" t="s">
        <v>287</v>
      </c>
      <c r="M112" s="67">
        <v>1.0</v>
      </c>
      <c r="N112" s="58">
        <v>8.0</v>
      </c>
      <c r="O112" s="59">
        <f>($C112/$D112)*VLOOKUP($E112,'AWS Platforms Ratios'!$A$2:$O$25,7,FALSE)</f>
        <v>1.943333333</v>
      </c>
      <c r="P112" s="59">
        <f>($C112/$D112)*VLOOKUP($E112,'AWS Platforms Ratios'!$A$2:$O$25,8,FALSE)</f>
        <v>5.547777778</v>
      </c>
      <c r="Q112" s="59">
        <f>($C112/$D112)*VLOOKUP($E112,'AWS Platforms Ratios'!$A$2:$O$25,9,FALSE)</f>
        <v>11.41055556</v>
      </c>
      <c r="R112" s="59">
        <f>($C112/$D112)*VLOOKUP($E112,'AWS Platforms Ratios'!$A$2:$O$25,10,FALSE)</f>
        <v>15.61847222</v>
      </c>
      <c r="S112" s="59">
        <f>$F112*VLOOKUP($E112,'AWS Platforms Ratios'!$A$2:$O$25,11,FALSE)</f>
        <v>6.1</v>
      </c>
      <c r="T112" s="59">
        <f>$F112*VLOOKUP($E112,'AWS Platforms Ratios'!$A$2:$O$25,12,FALSE)</f>
        <v>9.15</v>
      </c>
      <c r="U112" s="59">
        <f>$F112*VLOOKUP($E112,'AWS Platforms Ratios'!$A$2:$O$25,13,FALSE)</f>
        <v>12.2</v>
      </c>
      <c r="V112" s="59">
        <f>$F112*VLOOKUP($E112,'AWS Platforms Ratios'!$A$2:$O$25,14,FALSE)</f>
        <v>18.3</v>
      </c>
      <c r="W112" s="60">
        <f>IF($K112&lt;&gt;"N/A",$M112*(VLOOKUP($L112,'GPU Specs &amp; Ratios'!$B$2:$I$8,5,FALSE)),0)</f>
        <v>34.83858521</v>
      </c>
      <c r="X112" s="60">
        <f>IF($K112&lt;&gt;"N/A",$M112*(VLOOKUP($L112,'GPU Specs &amp; Ratios'!$B$2:$I$8,6,FALSE)),0)</f>
        <v>95.47813505</v>
      </c>
      <c r="Y112" s="60">
        <f>IF($K112&lt;&gt;"N/A",$M112*(VLOOKUP($L112,'GPU Specs &amp; Ratios'!$B$2:$I$8,7,FALSE)),0)</f>
        <v>225.6790997</v>
      </c>
      <c r="Z112" s="60">
        <f>IF($K112&lt;&gt;"N/A",$M112*(VLOOKUP($L112,'GPU Specs &amp; Ratios'!$B$2:$I$8,8,FALSE)),0)</f>
        <v>305.5635048</v>
      </c>
      <c r="AA112" s="60">
        <f>(C112/D112)*VLOOKUP($E112,'AWS Platforms Ratios'!$A$2:$O$25,15,FALSE)</f>
        <v>3.222222222</v>
      </c>
      <c r="AB112" s="60">
        <f t="shared" ref="AB112:AE112" si="111">O112+S112+W112+$AA112</f>
        <v>46.10414076</v>
      </c>
      <c r="AC112" s="60">
        <f t="shared" si="111"/>
        <v>113.398135</v>
      </c>
      <c r="AD112" s="60">
        <f t="shared" si="111"/>
        <v>252.5118775</v>
      </c>
      <c r="AE112" s="60">
        <f t="shared" si="111"/>
        <v>342.7041993</v>
      </c>
      <c r="AF112" s="60">
        <f>IF(G112&gt;'Scope 3 Ratios'!$B$5,(G112-'Scope 3 Ratios'!$B$5)*('Scope 3 Ratios'!$B$6/'Scope 3 Ratios'!$B$5),0)</f>
        <v>654.6168</v>
      </c>
      <c r="AG112" s="60">
        <f>J112*IF(I112="SSD",'Scope 3 Ratios'!$B$9,'Scope 3 Ratios'!$B$8)</f>
        <v>0</v>
      </c>
      <c r="AH112" s="60">
        <f>IF(K112&lt;&gt;"N/A",K112*'Scope 3 Ratios'!$B$10,0)</f>
        <v>600</v>
      </c>
      <c r="AI112" s="60">
        <f>(VLOOKUP($E112,'AWS Platforms Ratios'!$A$2:$O$25,3,FALSE)-1)*'Scope 3 Ratios'!$B$7</f>
        <v>100</v>
      </c>
      <c r="AJ112" s="60">
        <f>'Scope 3 Ratios'!$B$2+AF112+AG112+AH112+AI112</f>
        <v>2354.6168</v>
      </c>
      <c r="AK112" s="60">
        <f>AJ112*'Scope 3 Ratios'!$B$4*(C112/D112)</f>
        <v>3.78507073</v>
      </c>
      <c r="AL112" s="61" t="s">
        <v>288</v>
      </c>
    </row>
    <row r="113" ht="15.0" customHeight="1">
      <c r="A113" s="65" t="s">
        <v>289</v>
      </c>
      <c r="B113" s="56" t="s">
        <v>290</v>
      </c>
      <c r="C113" s="65">
        <v>16.0</v>
      </c>
      <c r="D113" s="56">
        <f>VLOOKUP(E113,'AWS Platforms Ratios'!$A$2:$B$25,2,FALSE)</f>
        <v>72</v>
      </c>
      <c r="E113" s="57" t="s">
        <v>269</v>
      </c>
      <c r="F113" s="65">
        <v>122.0</v>
      </c>
      <c r="G113" s="65">
        <v>488.0</v>
      </c>
      <c r="H113" s="69"/>
      <c r="I113" s="65" t="s">
        <v>72</v>
      </c>
      <c r="J113" s="65">
        <v>0.0</v>
      </c>
      <c r="K113" s="58">
        <v>4.0</v>
      </c>
      <c r="L113" s="58" t="s">
        <v>287</v>
      </c>
      <c r="M113" s="67">
        <v>1.0</v>
      </c>
      <c r="N113" s="58">
        <v>8.0</v>
      </c>
      <c r="O113" s="59">
        <f>($C113/$D113)*VLOOKUP($E113,'AWS Platforms Ratios'!$A$2:$O$25,7,FALSE)</f>
        <v>7.773333333</v>
      </c>
      <c r="P113" s="59">
        <f>($C113/$D113)*VLOOKUP($E113,'AWS Platforms Ratios'!$A$2:$O$25,8,FALSE)</f>
        <v>22.19111111</v>
      </c>
      <c r="Q113" s="59">
        <f>($C113/$D113)*VLOOKUP($E113,'AWS Platforms Ratios'!$A$2:$O$25,9,FALSE)</f>
        <v>45.64222222</v>
      </c>
      <c r="R113" s="59">
        <f>($C113/$D113)*VLOOKUP($E113,'AWS Platforms Ratios'!$A$2:$O$25,10,FALSE)</f>
        <v>62.47388889</v>
      </c>
      <c r="S113" s="59">
        <f>$F113*VLOOKUP($E113,'AWS Platforms Ratios'!$A$2:$O$25,11,FALSE)</f>
        <v>24.4</v>
      </c>
      <c r="T113" s="59">
        <f>$F113*VLOOKUP($E113,'AWS Platforms Ratios'!$A$2:$O$25,12,FALSE)</f>
        <v>36.6</v>
      </c>
      <c r="U113" s="59">
        <f>$F113*VLOOKUP($E113,'AWS Platforms Ratios'!$A$2:$O$25,13,FALSE)</f>
        <v>48.8</v>
      </c>
      <c r="V113" s="59">
        <f>$F113*VLOOKUP($E113,'AWS Platforms Ratios'!$A$2:$O$25,14,FALSE)</f>
        <v>73.2</v>
      </c>
      <c r="W113" s="60">
        <f>IF($K113&lt;&gt;"N/A",$M113*(VLOOKUP($L113,'GPU Specs &amp; Ratios'!$B$2:$I$8,5,FALSE)),0)</f>
        <v>34.83858521</v>
      </c>
      <c r="X113" s="60">
        <f>IF($K113&lt;&gt;"N/A",$M113*(VLOOKUP($L113,'GPU Specs &amp; Ratios'!$B$2:$I$8,6,FALSE)),0)</f>
        <v>95.47813505</v>
      </c>
      <c r="Y113" s="60">
        <f>IF($K113&lt;&gt;"N/A",$M113*(VLOOKUP($L113,'GPU Specs &amp; Ratios'!$B$2:$I$8,7,FALSE)),0)</f>
        <v>225.6790997</v>
      </c>
      <c r="Z113" s="60">
        <f>IF($K113&lt;&gt;"N/A",$M113*(VLOOKUP($L113,'GPU Specs &amp; Ratios'!$B$2:$I$8,8,FALSE)),0)</f>
        <v>305.5635048</v>
      </c>
      <c r="AA113" s="60">
        <f>(C113/D113)*VLOOKUP($E113,'AWS Platforms Ratios'!$A$2:$O$25,15,FALSE)</f>
        <v>12.88888889</v>
      </c>
      <c r="AB113" s="60">
        <f t="shared" ref="AB113:AE113" si="112">O113+S113+W113+$AA113</f>
        <v>79.90080743</v>
      </c>
      <c r="AC113" s="60">
        <f t="shared" si="112"/>
        <v>167.158135</v>
      </c>
      <c r="AD113" s="60">
        <f t="shared" si="112"/>
        <v>333.0102108</v>
      </c>
      <c r="AE113" s="60">
        <f t="shared" si="112"/>
        <v>454.1262826</v>
      </c>
      <c r="AF113" s="60">
        <f>IF(G113&gt;'Scope 3 Ratios'!$B$5,(G113-'Scope 3 Ratios'!$B$5)*('Scope 3 Ratios'!$B$6/'Scope 3 Ratios'!$B$5),0)</f>
        <v>654.6168</v>
      </c>
      <c r="AG113" s="60">
        <f>J113*IF(I113="SSD",'Scope 3 Ratios'!$B$9,'Scope 3 Ratios'!$B$8)</f>
        <v>0</v>
      </c>
      <c r="AH113" s="60">
        <f>IF(K113&lt;&gt;"N/A",K113*'Scope 3 Ratios'!$B$10,0)</f>
        <v>600</v>
      </c>
      <c r="AI113" s="60">
        <f>(VLOOKUP($E113,'AWS Platforms Ratios'!$A$2:$O$25,3,FALSE)-1)*'Scope 3 Ratios'!$B$7</f>
        <v>100</v>
      </c>
      <c r="AJ113" s="60">
        <f>'Scope 3 Ratios'!$B$2+AF113+AG113+AH113+AI113</f>
        <v>2354.6168</v>
      </c>
      <c r="AK113" s="60">
        <f>AJ113*'Scope 3 Ratios'!$B$4*(C113/D113)</f>
        <v>15.14028292</v>
      </c>
      <c r="AL113" s="61" t="s">
        <v>288</v>
      </c>
    </row>
    <row r="114" ht="15.0" customHeight="1">
      <c r="A114" s="65" t="s">
        <v>291</v>
      </c>
      <c r="B114" s="56" t="s">
        <v>290</v>
      </c>
      <c r="C114" s="65">
        <v>32.0</v>
      </c>
      <c r="D114" s="56">
        <f>VLOOKUP(E114,'AWS Platforms Ratios'!$A$2:$B$25,2,FALSE)</f>
        <v>72</v>
      </c>
      <c r="E114" s="57" t="s">
        <v>269</v>
      </c>
      <c r="F114" s="65">
        <v>244.0</v>
      </c>
      <c r="G114" s="65">
        <v>488.0</v>
      </c>
      <c r="H114" s="69"/>
      <c r="I114" s="65" t="s">
        <v>72</v>
      </c>
      <c r="J114" s="65">
        <v>0.0</v>
      </c>
      <c r="K114" s="58">
        <v>4.0</v>
      </c>
      <c r="L114" s="58" t="s">
        <v>287</v>
      </c>
      <c r="M114" s="67">
        <v>2.0</v>
      </c>
      <c r="N114" s="58">
        <v>16.0</v>
      </c>
      <c r="O114" s="59">
        <f>($C114/$D114)*VLOOKUP($E114,'AWS Platforms Ratios'!$A$2:$O$25,7,FALSE)</f>
        <v>15.54666667</v>
      </c>
      <c r="P114" s="59">
        <f>($C114/$D114)*VLOOKUP($E114,'AWS Platforms Ratios'!$A$2:$O$25,8,FALSE)</f>
        <v>44.38222222</v>
      </c>
      <c r="Q114" s="59">
        <f>($C114/$D114)*VLOOKUP($E114,'AWS Platforms Ratios'!$A$2:$O$25,9,FALSE)</f>
        <v>91.28444444</v>
      </c>
      <c r="R114" s="59">
        <f>($C114/$D114)*VLOOKUP($E114,'AWS Platforms Ratios'!$A$2:$O$25,10,FALSE)</f>
        <v>124.9477778</v>
      </c>
      <c r="S114" s="59">
        <f>$F114*VLOOKUP($E114,'AWS Platforms Ratios'!$A$2:$O$25,11,FALSE)</f>
        <v>48.8</v>
      </c>
      <c r="T114" s="59">
        <f>$F114*VLOOKUP($E114,'AWS Platforms Ratios'!$A$2:$O$25,12,FALSE)</f>
        <v>73.2</v>
      </c>
      <c r="U114" s="59">
        <f>$F114*VLOOKUP($E114,'AWS Platforms Ratios'!$A$2:$O$25,13,FALSE)</f>
        <v>97.6</v>
      </c>
      <c r="V114" s="59">
        <f>$F114*VLOOKUP($E114,'AWS Platforms Ratios'!$A$2:$O$25,14,FALSE)</f>
        <v>146.4</v>
      </c>
      <c r="W114" s="60">
        <f>IF($K114&lt;&gt;"N/A",$M114*(VLOOKUP($L114,'GPU Specs &amp; Ratios'!$B$2:$I$8,5,FALSE)),0)</f>
        <v>69.67717042</v>
      </c>
      <c r="X114" s="60">
        <f>IF($K114&lt;&gt;"N/A",$M114*(VLOOKUP($L114,'GPU Specs &amp; Ratios'!$B$2:$I$8,6,FALSE)),0)</f>
        <v>190.9562701</v>
      </c>
      <c r="Y114" s="60">
        <f>IF($K114&lt;&gt;"N/A",$M114*(VLOOKUP($L114,'GPU Specs &amp; Ratios'!$B$2:$I$8,7,FALSE)),0)</f>
        <v>451.3581994</v>
      </c>
      <c r="Z114" s="60">
        <f>IF($K114&lt;&gt;"N/A",$M114*(VLOOKUP($L114,'GPU Specs &amp; Ratios'!$B$2:$I$8,8,FALSE)),0)</f>
        <v>611.1270096</v>
      </c>
      <c r="AA114" s="60">
        <f>(C114/D114)*VLOOKUP($E114,'AWS Platforms Ratios'!$A$2:$O$25,15,FALSE)</f>
        <v>25.77777778</v>
      </c>
      <c r="AB114" s="60">
        <f t="shared" ref="AB114:AE114" si="113">O114+S114+W114+$AA114</f>
        <v>159.8016149</v>
      </c>
      <c r="AC114" s="60">
        <f t="shared" si="113"/>
        <v>334.3162701</v>
      </c>
      <c r="AD114" s="60">
        <f t="shared" si="113"/>
        <v>666.0204216</v>
      </c>
      <c r="AE114" s="60">
        <f t="shared" si="113"/>
        <v>908.2525652</v>
      </c>
      <c r="AF114" s="60">
        <f>IF(G114&gt;'Scope 3 Ratios'!$B$5,(G114-'Scope 3 Ratios'!$B$5)*('Scope 3 Ratios'!$B$6/'Scope 3 Ratios'!$B$5),0)</f>
        <v>654.6168</v>
      </c>
      <c r="AG114" s="60">
        <f>J114*IF(I114="SSD",'Scope 3 Ratios'!$B$9,'Scope 3 Ratios'!$B$8)</f>
        <v>0</v>
      </c>
      <c r="AH114" s="60">
        <f>IF(K114&lt;&gt;"N/A",K114*'Scope 3 Ratios'!$B$10,0)</f>
        <v>600</v>
      </c>
      <c r="AI114" s="60">
        <f>(VLOOKUP($E114,'AWS Platforms Ratios'!$A$2:$O$25,3,FALSE)-1)*'Scope 3 Ratios'!$B$7</f>
        <v>100</v>
      </c>
      <c r="AJ114" s="60">
        <f>'Scope 3 Ratios'!$B$2+AF114+AG114+AH114+AI114</f>
        <v>2354.6168</v>
      </c>
      <c r="AK114" s="60">
        <f>AJ114*'Scope 3 Ratios'!$B$4*(C114/D114)</f>
        <v>30.28056584</v>
      </c>
      <c r="AL114" s="61" t="s">
        <v>292</v>
      </c>
    </row>
    <row r="115" ht="15.0" customHeight="1">
      <c r="A115" s="65" t="s">
        <v>293</v>
      </c>
      <c r="B115" s="56" t="s">
        <v>290</v>
      </c>
      <c r="C115" s="65">
        <v>64.0</v>
      </c>
      <c r="D115" s="56">
        <f>VLOOKUP(E115,'AWS Platforms Ratios'!$A$2:$B$25,2,FALSE)</f>
        <v>72</v>
      </c>
      <c r="E115" s="57" t="s">
        <v>269</v>
      </c>
      <c r="F115" s="65">
        <v>488.0</v>
      </c>
      <c r="G115" s="65">
        <v>488.0</v>
      </c>
      <c r="H115" s="69"/>
      <c r="I115" s="65" t="s">
        <v>72</v>
      </c>
      <c r="J115" s="65">
        <v>0.0</v>
      </c>
      <c r="K115" s="58">
        <v>4.0</v>
      </c>
      <c r="L115" s="58" t="s">
        <v>287</v>
      </c>
      <c r="M115" s="67">
        <v>4.0</v>
      </c>
      <c r="N115" s="58">
        <v>32.0</v>
      </c>
      <c r="O115" s="59">
        <f>($C115/$D115)*VLOOKUP($E115,'AWS Platforms Ratios'!$A$2:$O$25,7,FALSE)</f>
        <v>31.09333333</v>
      </c>
      <c r="P115" s="59">
        <f>($C115/$D115)*VLOOKUP($E115,'AWS Platforms Ratios'!$A$2:$O$25,8,FALSE)</f>
        <v>88.76444444</v>
      </c>
      <c r="Q115" s="59">
        <f>($C115/$D115)*VLOOKUP($E115,'AWS Platforms Ratios'!$A$2:$O$25,9,FALSE)</f>
        <v>182.5688889</v>
      </c>
      <c r="R115" s="59">
        <f>($C115/$D115)*VLOOKUP($E115,'AWS Platforms Ratios'!$A$2:$O$25,10,FALSE)</f>
        <v>249.8955556</v>
      </c>
      <c r="S115" s="59">
        <f>$F115*VLOOKUP($E115,'AWS Platforms Ratios'!$A$2:$O$25,11,FALSE)</f>
        <v>97.6</v>
      </c>
      <c r="T115" s="59">
        <f>$F115*VLOOKUP($E115,'AWS Platforms Ratios'!$A$2:$O$25,12,FALSE)</f>
        <v>146.4</v>
      </c>
      <c r="U115" s="59">
        <f>$F115*VLOOKUP($E115,'AWS Platforms Ratios'!$A$2:$O$25,13,FALSE)</f>
        <v>195.2</v>
      </c>
      <c r="V115" s="59">
        <f>$F115*VLOOKUP($E115,'AWS Platforms Ratios'!$A$2:$O$25,14,FALSE)</f>
        <v>292.8</v>
      </c>
      <c r="W115" s="60">
        <f>IF($K115&lt;&gt;"N/A",$M115*(VLOOKUP($L115,'GPU Specs &amp; Ratios'!$B$2:$I$8,5,FALSE)),0)</f>
        <v>139.3543408</v>
      </c>
      <c r="X115" s="60">
        <f>IF($K115&lt;&gt;"N/A",$M115*(VLOOKUP($L115,'GPU Specs &amp; Ratios'!$B$2:$I$8,6,FALSE)),0)</f>
        <v>381.9125402</v>
      </c>
      <c r="Y115" s="60">
        <f>IF($K115&lt;&gt;"N/A",$M115*(VLOOKUP($L115,'GPU Specs &amp; Ratios'!$B$2:$I$8,7,FALSE)),0)</f>
        <v>902.7163987</v>
      </c>
      <c r="Z115" s="60">
        <f>IF($K115&lt;&gt;"N/A",$M115*(VLOOKUP($L115,'GPU Specs &amp; Ratios'!$B$2:$I$8,8,FALSE)),0)</f>
        <v>1222.254019</v>
      </c>
      <c r="AA115" s="60">
        <f>(C115/D115)*VLOOKUP($E115,'AWS Platforms Ratios'!$A$2:$O$25,15,FALSE)</f>
        <v>51.55555556</v>
      </c>
      <c r="AB115" s="60">
        <f t="shared" ref="AB115:AE115" si="114">O115+S115+W115+$AA115</f>
        <v>319.6032297</v>
      </c>
      <c r="AC115" s="60">
        <f t="shared" si="114"/>
        <v>668.6325402</v>
      </c>
      <c r="AD115" s="60">
        <f t="shared" si="114"/>
        <v>1332.040843</v>
      </c>
      <c r="AE115" s="60">
        <f t="shared" si="114"/>
        <v>1816.50513</v>
      </c>
      <c r="AF115" s="60">
        <f>IF(G115&gt;'Scope 3 Ratios'!$B$5,(G115-'Scope 3 Ratios'!$B$5)*('Scope 3 Ratios'!$B$6/'Scope 3 Ratios'!$B$5),0)</f>
        <v>654.6168</v>
      </c>
      <c r="AG115" s="60">
        <f>J115*IF(I115="SSD",'Scope 3 Ratios'!$B$9,'Scope 3 Ratios'!$B$8)</f>
        <v>0</v>
      </c>
      <c r="AH115" s="60">
        <f>IF(K115&lt;&gt;"N/A",K115*'Scope 3 Ratios'!$B$10,0)</f>
        <v>600</v>
      </c>
      <c r="AI115" s="60">
        <f>(VLOOKUP($E115,'AWS Platforms Ratios'!$A$2:$O$25,3,FALSE)-1)*'Scope 3 Ratios'!$B$7</f>
        <v>100</v>
      </c>
      <c r="AJ115" s="60">
        <f>'Scope 3 Ratios'!$B$2+AF115+AG115+AH115+AI115</f>
        <v>2354.6168</v>
      </c>
      <c r="AK115" s="60">
        <f>AJ115*'Scope 3 Ratios'!$B$4*(C115/D115)</f>
        <v>60.56113169</v>
      </c>
      <c r="AL115" s="61" t="s">
        <v>294</v>
      </c>
    </row>
    <row r="116" ht="15.0" customHeight="1">
      <c r="A116" s="56" t="s">
        <v>295</v>
      </c>
      <c r="B116" s="56" t="s">
        <v>296</v>
      </c>
      <c r="C116" s="56">
        <v>4.0</v>
      </c>
      <c r="D116" s="56">
        <f>VLOOKUP(E116,'AWS Platforms Ratios'!$A$2:$B$25,2,FALSE)</f>
        <v>96</v>
      </c>
      <c r="E116" s="57" t="s">
        <v>237</v>
      </c>
      <c r="F116" s="56">
        <v>16.0</v>
      </c>
      <c r="G116" s="56">
        <v>384.0</v>
      </c>
      <c r="H116" s="57">
        <v>125.0</v>
      </c>
      <c r="I116" s="56" t="s">
        <v>85</v>
      </c>
      <c r="J116" s="56">
        <v>2.0</v>
      </c>
      <c r="K116" s="58">
        <v>8.0</v>
      </c>
      <c r="L116" s="58" t="s">
        <v>297</v>
      </c>
      <c r="M116" s="67">
        <v>1.0</v>
      </c>
      <c r="N116" s="58">
        <v>16.0</v>
      </c>
      <c r="O116" s="59">
        <f>($C116/$D116)*VLOOKUP($E116,'AWS Platforms Ratios'!$A$2:$O$25,7,FALSE)</f>
        <v>2.279583333</v>
      </c>
      <c r="P116" s="59">
        <f>($C116/$D116)*VLOOKUP($E116,'AWS Platforms Ratios'!$A$2:$O$25,8,FALSE)</f>
        <v>5.746666667</v>
      </c>
      <c r="Q116" s="59">
        <f>($C116/$D116)*VLOOKUP($E116,'AWS Platforms Ratios'!$A$2:$O$25,9,FALSE)</f>
        <v>12.78875</v>
      </c>
      <c r="R116" s="59">
        <f>($C116/$D116)*VLOOKUP($E116,'AWS Platforms Ratios'!$A$2:$O$25,10,FALSE)</f>
        <v>18.55760417</v>
      </c>
      <c r="S116" s="59">
        <f>$F116*VLOOKUP($E116,'AWS Platforms Ratios'!$A$2:$O$25,11,FALSE)</f>
        <v>2.488125</v>
      </c>
      <c r="T116" s="59">
        <f>$F116*VLOOKUP($E116,'AWS Platforms Ratios'!$A$2:$O$25,12,FALSE)</f>
        <v>4.117916667</v>
      </c>
      <c r="U116" s="59">
        <f>$F116*VLOOKUP($E116,'AWS Platforms Ratios'!$A$2:$O$25,13,FALSE)</f>
        <v>7.370416667</v>
      </c>
      <c r="V116" s="59">
        <f>$F116*VLOOKUP($E116,'AWS Platforms Ratios'!$A$2:$O$25,14,FALSE)</f>
        <v>10.62291667</v>
      </c>
      <c r="W116" s="60">
        <f>IF($K116&lt;&gt;"N/A",$M116*(VLOOKUP($L116,'GPU Specs &amp; Ratios'!$B$2:$I$8,5,FALSE)),0)</f>
        <v>8.129003215</v>
      </c>
      <c r="X116" s="60">
        <f>IF($K116&lt;&gt;"N/A",$M116*(VLOOKUP($L116,'GPU Specs &amp; Ratios'!$B$2:$I$8,6,FALSE)),0)</f>
        <v>22.27823151</v>
      </c>
      <c r="Y116" s="60">
        <f>IF($K116&lt;&gt;"N/A",$M116*(VLOOKUP($L116,'GPU Specs &amp; Ratios'!$B$2:$I$8,7,FALSE)),0)</f>
        <v>52.65845659</v>
      </c>
      <c r="Z116" s="60">
        <f>IF($K116&lt;&gt;"N/A",$M116*(VLOOKUP($L116,'GPU Specs &amp; Ratios'!$B$2:$I$8,8,FALSE)),0)</f>
        <v>71.29815113</v>
      </c>
      <c r="AA116" s="60">
        <f>(C116/D116)*VLOOKUP($E116,'AWS Platforms Ratios'!$A$2:$O$25,15,FALSE)</f>
        <v>3.5</v>
      </c>
      <c r="AB116" s="60">
        <f t="shared" ref="AB116:AE116" si="115">O116+S116+W116+$AA116</f>
        <v>16.39671155</v>
      </c>
      <c r="AC116" s="60">
        <f t="shared" si="115"/>
        <v>35.64281484</v>
      </c>
      <c r="AD116" s="60">
        <f t="shared" si="115"/>
        <v>76.31762326</v>
      </c>
      <c r="AE116" s="60">
        <f t="shared" si="115"/>
        <v>103.978672</v>
      </c>
      <c r="AF116" s="60">
        <f>IF(G116&gt;'Scope 3 Ratios'!$B$5,(G116-'Scope 3 Ratios'!$B$5)*('Scope 3 Ratios'!$B$6/'Scope 3 Ratios'!$B$5),0)</f>
        <v>510.3792</v>
      </c>
      <c r="AG116" s="60">
        <f>J116*IF(I116="SSD",'Scope 3 Ratios'!$B$9,'Scope 3 Ratios'!$B$8)</f>
        <v>200</v>
      </c>
      <c r="AH116" s="60">
        <f>IF(K116&lt;&gt;"N/A",K116*'Scope 3 Ratios'!$B$10,0)</f>
        <v>1200</v>
      </c>
      <c r="AI116" s="60">
        <f>(VLOOKUP($E116,'AWS Platforms Ratios'!$A$2:$O$25,3,FALSE)-1)*'Scope 3 Ratios'!$B$7</f>
        <v>100</v>
      </c>
      <c r="AJ116" s="60">
        <f>'Scope 3 Ratios'!$B$2+AF116+AG116+AH116+AI116</f>
        <v>3010.3792</v>
      </c>
      <c r="AK116" s="60">
        <f>AJ116*'Scope 3 Ratios'!$B$4*(C116/D116)</f>
        <v>3.629411651</v>
      </c>
      <c r="AL116" s="61" t="s">
        <v>298</v>
      </c>
    </row>
    <row r="117" ht="15.0" customHeight="1">
      <c r="A117" s="56" t="s">
        <v>299</v>
      </c>
      <c r="B117" s="56" t="s">
        <v>296</v>
      </c>
      <c r="C117" s="56">
        <v>8.0</v>
      </c>
      <c r="D117" s="56">
        <f>VLOOKUP(E117,'AWS Platforms Ratios'!$A$2:$B$25,2,FALSE)</f>
        <v>96</v>
      </c>
      <c r="E117" s="57" t="s">
        <v>237</v>
      </c>
      <c r="F117" s="56">
        <v>32.0</v>
      </c>
      <c r="G117" s="56">
        <v>384.0</v>
      </c>
      <c r="H117" s="57">
        <v>225.0</v>
      </c>
      <c r="I117" s="56" t="s">
        <v>85</v>
      </c>
      <c r="J117" s="56">
        <v>2.0</v>
      </c>
      <c r="K117" s="58">
        <v>8.0</v>
      </c>
      <c r="L117" s="58" t="s">
        <v>297</v>
      </c>
      <c r="M117" s="67">
        <v>1.0</v>
      </c>
      <c r="N117" s="58">
        <v>16.0</v>
      </c>
      <c r="O117" s="59">
        <f>($C117/$D117)*VLOOKUP($E117,'AWS Platforms Ratios'!$A$2:$O$25,7,FALSE)</f>
        <v>4.559166667</v>
      </c>
      <c r="P117" s="59">
        <f>($C117/$D117)*VLOOKUP($E117,'AWS Platforms Ratios'!$A$2:$O$25,8,FALSE)</f>
        <v>11.49333333</v>
      </c>
      <c r="Q117" s="59">
        <f>($C117/$D117)*VLOOKUP($E117,'AWS Platforms Ratios'!$A$2:$O$25,9,FALSE)</f>
        <v>25.5775</v>
      </c>
      <c r="R117" s="59">
        <f>($C117/$D117)*VLOOKUP($E117,'AWS Platforms Ratios'!$A$2:$O$25,10,FALSE)</f>
        <v>37.11520833</v>
      </c>
      <c r="S117" s="59">
        <f>$F117*VLOOKUP($E117,'AWS Platforms Ratios'!$A$2:$O$25,11,FALSE)</f>
        <v>4.97625</v>
      </c>
      <c r="T117" s="59">
        <f>$F117*VLOOKUP($E117,'AWS Platforms Ratios'!$A$2:$O$25,12,FALSE)</f>
        <v>8.235833333</v>
      </c>
      <c r="U117" s="59">
        <f>$F117*VLOOKUP($E117,'AWS Platforms Ratios'!$A$2:$O$25,13,FALSE)</f>
        <v>14.74083333</v>
      </c>
      <c r="V117" s="59">
        <f>$F117*VLOOKUP($E117,'AWS Platforms Ratios'!$A$2:$O$25,14,FALSE)</f>
        <v>21.24583333</v>
      </c>
      <c r="W117" s="60">
        <f>IF($K117&lt;&gt;"N/A",$M117*(VLOOKUP($L117,'GPU Specs &amp; Ratios'!$B$2:$I$8,5,FALSE)),0)</f>
        <v>8.129003215</v>
      </c>
      <c r="X117" s="60">
        <f>IF($K117&lt;&gt;"N/A",$M117*(VLOOKUP($L117,'GPU Specs &amp; Ratios'!$B$2:$I$8,6,FALSE)),0)</f>
        <v>22.27823151</v>
      </c>
      <c r="Y117" s="60">
        <f>IF($K117&lt;&gt;"N/A",$M117*(VLOOKUP($L117,'GPU Specs &amp; Ratios'!$B$2:$I$8,7,FALSE)),0)</f>
        <v>52.65845659</v>
      </c>
      <c r="Z117" s="60">
        <f>IF($K117&lt;&gt;"N/A",$M117*(VLOOKUP($L117,'GPU Specs &amp; Ratios'!$B$2:$I$8,8,FALSE)),0)</f>
        <v>71.29815113</v>
      </c>
      <c r="AA117" s="60">
        <f>(C117/D117)*VLOOKUP($E117,'AWS Platforms Ratios'!$A$2:$O$25,15,FALSE)</f>
        <v>7</v>
      </c>
      <c r="AB117" s="60">
        <f t="shared" ref="AB117:AE117" si="116">O117+S117+W117+$AA117</f>
        <v>24.66441988</v>
      </c>
      <c r="AC117" s="60">
        <f t="shared" si="116"/>
        <v>49.00739818</v>
      </c>
      <c r="AD117" s="60">
        <f t="shared" si="116"/>
        <v>99.97678992</v>
      </c>
      <c r="AE117" s="60">
        <f t="shared" si="116"/>
        <v>136.6591928</v>
      </c>
      <c r="AF117" s="60">
        <f>IF(G117&gt;'Scope 3 Ratios'!$B$5,(G117-'Scope 3 Ratios'!$B$5)*('Scope 3 Ratios'!$B$6/'Scope 3 Ratios'!$B$5),0)</f>
        <v>510.3792</v>
      </c>
      <c r="AG117" s="60">
        <f>J117*IF(I117="SSD",'Scope 3 Ratios'!$B$9,'Scope 3 Ratios'!$B$8)</f>
        <v>200</v>
      </c>
      <c r="AH117" s="60">
        <f>IF(K117&lt;&gt;"N/A",K117*'Scope 3 Ratios'!$B$10,0)</f>
        <v>1200</v>
      </c>
      <c r="AI117" s="60">
        <f>(VLOOKUP($E117,'AWS Platforms Ratios'!$A$2:$O$25,3,FALSE)-1)*'Scope 3 Ratios'!$B$7</f>
        <v>100</v>
      </c>
      <c r="AJ117" s="60">
        <f>'Scope 3 Ratios'!$B$2+AF117+AG117+AH117+AI117</f>
        <v>3010.3792</v>
      </c>
      <c r="AK117" s="60">
        <f>AJ117*'Scope 3 Ratios'!$B$4*(C117/D117)</f>
        <v>7.258823302</v>
      </c>
      <c r="AL117" s="58" t="s">
        <v>298</v>
      </c>
    </row>
    <row r="118" ht="15.0" customHeight="1">
      <c r="A118" s="56" t="s">
        <v>300</v>
      </c>
      <c r="B118" s="56" t="s">
        <v>296</v>
      </c>
      <c r="C118" s="56">
        <v>16.0</v>
      </c>
      <c r="D118" s="56">
        <f>VLOOKUP(E118,'AWS Platforms Ratios'!$A$2:$B$25,2,FALSE)</f>
        <v>96</v>
      </c>
      <c r="E118" s="57" t="s">
        <v>237</v>
      </c>
      <c r="F118" s="56">
        <v>64.0</v>
      </c>
      <c r="G118" s="56">
        <v>384.0</v>
      </c>
      <c r="H118" s="57">
        <v>225.0</v>
      </c>
      <c r="I118" s="56" t="s">
        <v>85</v>
      </c>
      <c r="J118" s="56">
        <v>2.0</v>
      </c>
      <c r="K118" s="58">
        <v>8.0</v>
      </c>
      <c r="L118" s="58" t="s">
        <v>297</v>
      </c>
      <c r="M118" s="67">
        <v>1.0</v>
      </c>
      <c r="N118" s="58">
        <v>16.0</v>
      </c>
      <c r="O118" s="59">
        <f>($C118/$D118)*VLOOKUP($E118,'AWS Platforms Ratios'!$A$2:$O$25,7,FALSE)</f>
        <v>9.118333333</v>
      </c>
      <c r="P118" s="59">
        <f>($C118/$D118)*VLOOKUP($E118,'AWS Platforms Ratios'!$A$2:$O$25,8,FALSE)</f>
        <v>22.98666667</v>
      </c>
      <c r="Q118" s="59">
        <f>($C118/$D118)*VLOOKUP($E118,'AWS Platforms Ratios'!$A$2:$O$25,9,FALSE)</f>
        <v>51.155</v>
      </c>
      <c r="R118" s="59">
        <f>($C118/$D118)*VLOOKUP($E118,'AWS Platforms Ratios'!$A$2:$O$25,10,FALSE)</f>
        <v>74.23041667</v>
      </c>
      <c r="S118" s="59">
        <f>$F118*VLOOKUP($E118,'AWS Platforms Ratios'!$A$2:$O$25,11,FALSE)</f>
        <v>9.9525</v>
      </c>
      <c r="T118" s="59">
        <f>$F118*VLOOKUP($E118,'AWS Platforms Ratios'!$A$2:$O$25,12,FALSE)</f>
        <v>16.47166667</v>
      </c>
      <c r="U118" s="59">
        <f>$F118*VLOOKUP($E118,'AWS Platforms Ratios'!$A$2:$O$25,13,FALSE)</f>
        <v>29.48166667</v>
      </c>
      <c r="V118" s="59">
        <f>$F118*VLOOKUP($E118,'AWS Platforms Ratios'!$A$2:$O$25,14,FALSE)</f>
        <v>42.49166667</v>
      </c>
      <c r="W118" s="60">
        <f>IF($K118&lt;&gt;"N/A",$M118*(VLOOKUP($L118,'GPU Specs &amp; Ratios'!$B$2:$I$8,5,FALSE)),0)</f>
        <v>8.129003215</v>
      </c>
      <c r="X118" s="60">
        <f>IF($K118&lt;&gt;"N/A",$M118*(VLOOKUP($L118,'GPU Specs &amp; Ratios'!$B$2:$I$8,6,FALSE)),0)</f>
        <v>22.27823151</v>
      </c>
      <c r="Y118" s="60">
        <f>IF($K118&lt;&gt;"N/A",$M118*(VLOOKUP($L118,'GPU Specs &amp; Ratios'!$B$2:$I$8,7,FALSE)),0)</f>
        <v>52.65845659</v>
      </c>
      <c r="Z118" s="60">
        <f>IF($K118&lt;&gt;"N/A",$M118*(VLOOKUP($L118,'GPU Specs &amp; Ratios'!$B$2:$I$8,8,FALSE)),0)</f>
        <v>71.29815113</v>
      </c>
      <c r="AA118" s="60">
        <f>(C118/D118)*VLOOKUP($E118,'AWS Platforms Ratios'!$A$2:$O$25,15,FALSE)</f>
        <v>14</v>
      </c>
      <c r="AB118" s="60">
        <f t="shared" ref="AB118:AE118" si="117">O118+S118+W118+$AA118</f>
        <v>41.19983655</v>
      </c>
      <c r="AC118" s="60">
        <f t="shared" si="117"/>
        <v>75.73656484</v>
      </c>
      <c r="AD118" s="60">
        <f t="shared" si="117"/>
        <v>147.2951233</v>
      </c>
      <c r="AE118" s="60">
        <f t="shared" si="117"/>
        <v>202.0202345</v>
      </c>
      <c r="AF118" s="60">
        <f>IF(G118&gt;'Scope 3 Ratios'!$B$5,(G118-'Scope 3 Ratios'!$B$5)*('Scope 3 Ratios'!$B$6/'Scope 3 Ratios'!$B$5),0)</f>
        <v>510.3792</v>
      </c>
      <c r="AG118" s="60">
        <f>J118*IF(I118="SSD",'Scope 3 Ratios'!$B$9,'Scope 3 Ratios'!$B$8)</f>
        <v>200</v>
      </c>
      <c r="AH118" s="60">
        <f>IF(K118&lt;&gt;"N/A",K118*'Scope 3 Ratios'!$B$10,0)</f>
        <v>1200</v>
      </c>
      <c r="AI118" s="60">
        <f>(VLOOKUP($E118,'AWS Platforms Ratios'!$A$2:$O$25,3,FALSE)-1)*'Scope 3 Ratios'!$B$7</f>
        <v>100</v>
      </c>
      <c r="AJ118" s="60">
        <f>'Scope 3 Ratios'!$B$2+AF118+AG118+AH118+AI118</f>
        <v>3010.3792</v>
      </c>
      <c r="AK118" s="60">
        <f>AJ118*'Scope 3 Ratios'!$B$4*(C118/D118)</f>
        <v>14.5176466</v>
      </c>
      <c r="AL118" s="58" t="s">
        <v>298</v>
      </c>
    </row>
    <row r="119" ht="15.0" customHeight="1">
      <c r="A119" s="56" t="s">
        <v>301</v>
      </c>
      <c r="B119" s="56" t="s">
        <v>296</v>
      </c>
      <c r="C119" s="56">
        <v>32.0</v>
      </c>
      <c r="D119" s="56">
        <f>VLOOKUP(E119,'AWS Platforms Ratios'!$A$2:$B$25,2,FALSE)</f>
        <v>96</v>
      </c>
      <c r="E119" s="57" t="s">
        <v>237</v>
      </c>
      <c r="F119" s="56">
        <v>128.0</v>
      </c>
      <c r="G119" s="56">
        <v>384.0</v>
      </c>
      <c r="H119" s="57" t="s">
        <v>302</v>
      </c>
      <c r="I119" s="56" t="s">
        <v>85</v>
      </c>
      <c r="J119" s="56">
        <v>2.0</v>
      </c>
      <c r="K119" s="58">
        <v>8.0</v>
      </c>
      <c r="L119" s="58" t="s">
        <v>297</v>
      </c>
      <c r="M119" s="67">
        <v>1.0</v>
      </c>
      <c r="N119" s="58">
        <v>16.0</v>
      </c>
      <c r="O119" s="59">
        <f>($C119/$D119)*VLOOKUP($E119,'AWS Platforms Ratios'!$A$2:$O$25,7,FALSE)</f>
        <v>18.23666667</v>
      </c>
      <c r="P119" s="59">
        <f>($C119/$D119)*VLOOKUP($E119,'AWS Platforms Ratios'!$A$2:$O$25,8,FALSE)</f>
        <v>45.97333333</v>
      </c>
      <c r="Q119" s="59">
        <f>($C119/$D119)*VLOOKUP($E119,'AWS Platforms Ratios'!$A$2:$O$25,9,FALSE)</f>
        <v>102.31</v>
      </c>
      <c r="R119" s="59">
        <f>($C119/$D119)*VLOOKUP($E119,'AWS Platforms Ratios'!$A$2:$O$25,10,FALSE)</f>
        <v>148.4608333</v>
      </c>
      <c r="S119" s="59">
        <f>$F119*VLOOKUP($E119,'AWS Platforms Ratios'!$A$2:$O$25,11,FALSE)</f>
        <v>19.905</v>
      </c>
      <c r="T119" s="59">
        <f>$F119*VLOOKUP($E119,'AWS Platforms Ratios'!$A$2:$O$25,12,FALSE)</f>
        <v>32.94333333</v>
      </c>
      <c r="U119" s="59">
        <f>$F119*VLOOKUP($E119,'AWS Platforms Ratios'!$A$2:$O$25,13,FALSE)</f>
        <v>58.96333333</v>
      </c>
      <c r="V119" s="59">
        <f>$F119*VLOOKUP($E119,'AWS Platforms Ratios'!$A$2:$O$25,14,FALSE)</f>
        <v>84.98333333</v>
      </c>
      <c r="W119" s="60">
        <f>IF($K119&lt;&gt;"N/A",$M119*(VLOOKUP($L119,'GPU Specs &amp; Ratios'!$B$2:$I$8,5,FALSE)),0)</f>
        <v>8.129003215</v>
      </c>
      <c r="X119" s="60">
        <f>IF($K119&lt;&gt;"N/A",$M119*(VLOOKUP($L119,'GPU Specs &amp; Ratios'!$B$2:$I$8,6,FALSE)),0)</f>
        <v>22.27823151</v>
      </c>
      <c r="Y119" s="60">
        <f>IF($K119&lt;&gt;"N/A",$M119*(VLOOKUP($L119,'GPU Specs &amp; Ratios'!$B$2:$I$8,7,FALSE)),0)</f>
        <v>52.65845659</v>
      </c>
      <c r="Z119" s="60">
        <f>IF($K119&lt;&gt;"N/A",$M119*(VLOOKUP($L119,'GPU Specs &amp; Ratios'!$B$2:$I$8,8,FALSE)),0)</f>
        <v>71.29815113</v>
      </c>
      <c r="AA119" s="60">
        <f>(C119/D119)*VLOOKUP($E119,'AWS Platforms Ratios'!$A$2:$O$25,15,FALSE)</f>
        <v>28</v>
      </c>
      <c r="AB119" s="60">
        <f t="shared" ref="AB119:AE119" si="118">O119+S119+W119+$AA119</f>
        <v>74.27066988</v>
      </c>
      <c r="AC119" s="60">
        <f t="shared" si="118"/>
        <v>129.1948982</v>
      </c>
      <c r="AD119" s="60">
        <f t="shared" si="118"/>
        <v>241.9317899</v>
      </c>
      <c r="AE119" s="60">
        <f t="shared" si="118"/>
        <v>332.7423178</v>
      </c>
      <c r="AF119" s="60">
        <f>IF(G119&gt;'Scope 3 Ratios'!$B$5,(G119-'Scope 3 Ratios'!$B$5)*('Scope 3 Ratios'!$B$6/'Scope 3 Ratios'!$B$5),0)</f>
        <v>510.3792</v>
      </c>
      <c r="AG119" s="60">
        <f>J119*IF(I119="SSD",'Scope 3 Ratios'!$B$9,'Scope 3 Ratios'!$B$8)</f>
        <v>200</v>
      </c>
      <c r="AH119" s="60">
        <f>IF(K119&lt;&gt;"N/A",K119*'Scope 3 Ratios'!$B$10,0)</f>
        <v>1200</v>
      </c>
      <c r="AI119" s="60">
        <f>(VLOOKUP($E119,'AWS Platforms Ratios'!$A$2:$O$25,3,FALSE)-1)*'Scope 3 Ratios'!$B$7</f>
        <v>100</v>
      </c>
      <c r="AJ119" s="60">
        <f>'Scope 3 Ratios'!$B$2+AF119+AG119+AH119+AI119</f>
        <v>3010.3792</v>
      </c>
      <c r="AK119" s="60">
        <f>AJ119*'Scope 3 Ratios'!$B$4*(C119/D119)</f>
        <v>29.03529321</v>
      </c>
      <c r="AL119" s="58" t="s">
        <v>298</v>
      </c>
    </row>
    <row r="120" ht="15.0" customHeight="1">
      <c r="A120" s="56" t="s">
        <v>303</v>
      </c>
      <c r="B120" s="56" t="s">
        <v>296</v>
      </c>
      <c r="C120" s="56">
        <v>64.0</v>
      </c>
      <c r="D120" s="56">
        <f>VLOOKUP(E120,'AWS Platforms Ratios'!$A$2:$B$25,2,FALSE)</f>
        <v>96</v>
      </c>
      <c r="E120" s="57" t="s">
        <v>237</v>
      </c>
      <c r="F120" s="56">
        <v>256.0</v>
      </c>
      <c r="G120" s="56">
        <v>384.0</v>
      </c>
      <c r="H120" s="57" t="s">
        <v>302</v>
      </c>
      <c r="I120" s="56" t="s">
        <v>85</v>
      </c>
      <c r="J120" s="56">
        <v>2.0</v>
      </c>
      <c r="K120" s="58">
        <v>8.0</v>
      </c>
      <c r="L120" s="58" t="s">
        <v>297</v>
      </c>
      <c r="M120" s="67">
        <v>1.0</v>
      </c>
      <c r="N120" s="58">
        <v>16.0</v>
      </c>
      <c r="O120" s="59">
        <f>($C120/$D120)*VLOOKUP($E120,'AWS Platforms Ratios'!$A$2:$O$25,7,FALSE)</f>
        <v>36.47333333</v>
      </c>
      <c r="P120" s="59">
        <f>($C120/$D120)*VLOOKUP($E120,'AWS Platforms Ratios'!$A$2:$O$25,8,FALSE)</f>
        <v>91.94666667</v>
      </c>
      <c r="Q120" s="59">
        <f>($C120/$D120)*VLOOKUP($E120,'AWS Platforms Ratios'!$A$2:$O$25,9,FALSE)</f>
        <v>204.62</v>
      </c>
      <c r="R120" s="59">
        <f>($C120/$D120)*VLOOKUP($E120,'AWS Platforms Ratios'!$A$2:$O$25,10,FALSE)</f>
        <v>296.9216667</v>
      </c>
      <c r="S120" s="59">
        <f>$F120*VLOOKUP($E120,'AWS Platforms Ratios'!$A$2:$O$25,11,FALSE)</f>
        <v>39.81</v>
      </c>
      <c r="T120" s="59">
        <f>$F120*VLOOKUP($E120,'AWS Platforms Ratios'!$A$2:$O$25,12,FALSE)</f>
        <v>65.88666667</v>
      </c>
      <c r="U120" s="59">
        <f>$F120*VLOOKUP($E120,'AWS Platforms Ratios'!$A$2:$O$25,13,FALSE)</f>
        <v>117.9266667</v>
      </c>
      <c r="V120" s="59">
        <f>$F120*VLOOKUP($E120,'AWS Platforms Ratios'!$A$2:$O$25,14,FALSE)</f>
        <v>169.9666667</v>
      </c>
      <c r="W120" s="60">
        <f>IF($K120&lt;&gt;"N/A",$M120*(VLOOKUP($L120,'GPU Specs &amp; Ratios'!$B$2:$I$8,5,FALSE)),0)</f>
        <v>8.129003215</v>
      </c>
      <c r="X120" s="60">
        <f>IF($K120&lt;&gt;"N/A",$M120*(VLOOKUP($L120,'GPU Specs &amp; Ratios'!$B$2:$I$8,6,FALSE)),0)</f>
        <v>22.27823151</v>
      </c>
      <c r="Y120" s="60">
        <f>IF($K120&lt;&gt;"N/A",$M120*(VLOOKUP($L120,'GPU Specs &amp; Ratios'!$B$2:$I$8,7,FALSE)),0)</f>
        <v>52.65845659</v>
      </c>
      <c r="Z120" s="60">
        <f>IF($K120&lt;&gt;"N/A",$M120*(VLOOKUP($L120,'GPU Specs &amp; Ratios'!$B$2:$I$8,8,FALSE)),0)</f>
        <v>71.29815113</v>
      </c>
      <c r="AA120" s="60">
        <f>(C120/D120)*VLOOKUP($E120,'AWS Platforms Ratios'!$A$2:$O$25,15,FALSE)</f>
        <v>56</v>
      </c>
      <c r="AB120" s="60">
        <f t="shared" ref="AB120:AE120" si="119">O120+S120+W120+$AA120</f>
        <v>140.4123365</v>
      </c>
      <c r="AC120" s="60">
        <f t="shared" si="119"/>
        <v>236.1115648</v>
      </c>
      <c r="AD120" s="60">
        <f t="shared" si="119"/>
        <v>431.2051233</v>
      </c>
      <c r="AE120" s="60">
        <f t="shared" si="119"/>
        <v>594.1864845</v>
      </c>
      <c r="AF120" s="60">
        <f>IF(G120&gt;'Scope 3 Ratios'!$B$5,(G120-'Scope 3 Ratios'!$B$5)*('Scope 3 Ratios'!$B$6/'Scope 3 Ratios'!$B$5),0)</f>
        <v>510.3792</v>
      </c>
      <c r="AG120" s="60">
        <f>J120*IF(I120="SSD",'Scope 3 Ratios'!$B$9,'Scope 3 Ratios'!$B$8)</f>
        <v>200</v>
      </c>
      <c r="AH120" s="60">
        <f>IF(K120&lt;&gt;"N/A",K120*'Scope 3 Ratios'!$B$10,0)</f>
        <v>1200</v>
      </c>
      <c r="AI120" s="60">
        <f>(VLOOKUP($E120,'AWS Platforms Ratios'!$A$2:$O$25,3,FALSE)-1)*'Scope 3 Ratios'!$B$7</f>
        <v>100</v>
      </c>
      <c r="AJ120" s="60">
        <f>'Scope 3 Ratios'!$B$2+AF120+AG120+AH120+AI120</f>
        <v>3010.3792</v>
      </c>
      <c r="AK120" s="60">
        <f>AJ120*'Scope 3 Ratios'!$B$4*(C120/D120)</f>
        <v>58.07058642</v>
      </c>
      <c r="AL120" s="58" t="s">
        <v>298</v>
      </c>
    </row>
    <row r="121" ht="15.0" customHeight="1">
      <c r="A121" s="56" t="s">
        <v>304</v>
      </c>
      <c r="B121" s="56" t="s">
        <v>296</v>
      </c>
      <c r="C121" s="56">
        <v>48.0</v>
      </c>
      <c r="D121" s="56">
        <f>VLOOKUP(E121,'AWS Platforms Ratios'!$A$2:$B$25,2,FALSE)</f>
        <v>96</v>
      </c>
      <c r="E121" s="57" t="s">
        <v>237</v>
      </c>
      <c r="F121" s="56">
        <v>192.0</v>
      </c>
      <c r="G121" s="56">
        <v>384.0</v>
      </c>
      <c r="H121" s="57" t="s">
        <v>302</v>
      </c>
      <c r="I121" s="56" t="s">
        <v>85</v>
      </c>
      <c r="J121" s="56">
        <v>2.0</v>
      </c>
      <c r="K121" s="58">
        <v>8.0</v>
      </c>
      <c r="L121" s="58" t="s">
        <v>297</v>
      </c>
      <c r="M121" s="67">
        <v>4.0</v>
      </c>
      <c r="N121" s="58">
        <v>64.0</v>
      </c>
      <c r="O121" s="59">
        <f>($C121/$D121)*VLOOKUP($E121,'AWS Platforms Ratios'!$A$2:$O$25,7,FALSE)</f>
        <v>27.355</v>
      </c>
      <c r="P121" s="59">
        <f>($C121/$D121)*VLOOKUP($E121,'AWS Platforms Ratios'!$A$2:$O$25,8,FALSE)</f>
        <v>68.96</v>
      </c>
      <c r="Q121" s="59">
        <f>($C121/$D121)*VLOOKUP($E121,'AWS Platforms Ratios'!$A$2:$O$25,9,FALSE)</f>
        <v>153.465</v>
      </c>
      <c r="R121" s="59">
        <f>($C121/$D121)*VLOOKUP($E121,'AWS Platforms Ratios'!$A$2:$O$25,10,FALSE)</f>
        <v>222.69125</v>
      </c>
      <c r="S121" s="59">
        <f>$F121*VLOOKUP($E121,'AWS Platforms Ratios'!$A$2:$O$25,11,FALSE)</f>
        <v>29.8575</v>
      </c>
      <c r="T121" s="59">
        <f>$F121*VLOOKUP($E121,'AWS Platforms Ratios'!$A$2:$O$25,12,FALSE)</f>
        <v>49.415</v>
      </c>
      <c r="U121" s="59">
        <f>$F121*VLOOKUP($E121,'AWS Platforms Ratios'!$A$2:$O$25,13,FALSE)</f>
        <v>88.445</v>
      </c>
      <c r="V121" s="59">
        <f>$F121*VLOOKUP($E121,'AWS Platforms Ratios'!$A$2:$O$25,14,FALSE)</f>
        <v>127.475</v>
      </c>
      <c r="W121" s="60">
        <f>IF($K121&lt;&gt;"N/A",$M121*(VLOOKUP($L121,'GPU Specs &amp; Ratios'!$B$2:$I$8,5,FALSE)),0)</f>
        <v>32.51601286</v>
      </c>
      <c r="X121" s="60">
        <f>IF($K121&lt;&gt;"N/A",$M121*(VLOOKUP($L121,'GPU Specs &amp; Ratios'!$B$2:$I$8,6,FALSE)),0)</f>
        <v>89.11292605</v>
      </c>
      <c r="Y121" s="60">
        <f>IF($K121&lt;&gt;"N/A",$M121*(VLOOKUP($L121,'GPU Specs &amp; Ratios'!$B$2:$I$8,7,FALSE)),0)</f>
        <v>210.6338264</v>
      </c>
      <c r="Z121" s="60">
        <f>IF($K121&lt;&gt;"N/A",$M121*(VLOOKUP($L121,'GPU Specs &amp; Ratios'!$B$2:$I$8,8,FALSE)),0)</f>
        <v>285.1926045</v>
      </c>
      <c r="AA121" s="60">
        <f>(C121/D121)*VLOOKUP($E121,'AWS Platforms Ratios'!$A$2:$O$25,15,FALSE)</f>
        <v>42</v>
      </c>
      <c r="AB121" s="60">
        <f t="shared" ref="AB121:AE121" si="120">O121+S121+W121+$AA121</f>
        <v>131.7285129</v>
      </c>
      <c r="AC121" s="60">
        <f t="shared" si="120"/>
        <v>249.487926</v>
      </c>
      <c r="AD121" s="60">
        <f t="shared" si="120"/>
        <v>494.5438264</v>
      </c>
      <c r="AE121" s="60">
        <f t="shared" si="120"/>
        <v>677.3588545</v>
      </c>
      <c r="AF121" s="60">
        <f>IF(G121&gt;'Scope 3 Ratios'!$B$5,(G121-'Scope 3 Ratios'!$B$5)*('Scope 3 Ratios'!$B$6/'Scope 3 Ratios'!$B$5),0)</f>
        <v>510.3792</v>
      </c>
      <c r="AG121" s="60">
        <f>J121*IF(I121="SSD",'Scope 3 Ratios'!$B$9,'Scope 3 Ratios'!$B$8)</f>
        <v>200</v>
      </c>
      <c r="AH121" s="60">
        <f>IF(K121&lt;&gt;"N/A",K121*'Scope 3 Ratios'!$B$10,0)</f>
        <v>1200</v>
      </c>
      <c r="AI121" s="60">
        <f>(VLOOKUP($E121,'AWS Platforms Ratios'!$A$2:$O$25,3,FALSE)-1)*'Scope 3 Ratios'!$B$7</f>
        <v>100</v>
      </c>
      <c r="AJ121" s="60">
        <f>'Scope 3 Ratios'!$B$2+AF121+AG121+AH121+AI121</f>
        <v>3010.3792</v>
      </c>
      <c r="AK121" s="60">
        <f>AJ121*'Scope 3 Ratios'!$B$4*(C121/D121)</f>
        <v>43.55293981</v>
      </c>
      <c r="AL121" s="58" t="s">
        <v>298</v>
      </c>
    </row>
    <row r="122" ht="15.0" customHeight="1">
      <c r="A122" s="56" t="s">
        <v>305</v>
      </c>
      <c r="B122" s="56" t="s">
        <v>296</v>
      </c>
      <c r="C122" s="56">
        <v>96.0</v>
      </c>
      <c r="D122" s="56">
        <f>VLOOKUP(E122,'AWS Platforms Ratios'!$A$2:$B$25,2,FALSE)</f>
        <v>96</v>
      </c>
      <c r="E122" s="57" t="s">
        <v>237</v>
      </c>
      <c r="F122" s="56">
        <v>384.0</v>
      </c>
      <c r="G122" s="56">
        <v>384.0</v>
      </c>
      <c r="H122" s="57" t="s">
        <v>306</v>
      </c>
      <c r="I122" s="56" t="s">
        <v>85</v>
      </c>
      <c r="J122" s="56">
        <v>2.0</v>
      </c>
      <c r="K122" s="58">
        <v>8.0</v>
      </c>
      <c r="L122" s="58" t="s">
        <v>297</v>
      </c>
      <c r="M122" s="67">
        <v>8.0</v>
      </c>
      <c r="N122" s="58">
        <v>128.0</v>
      </c>
      <c r="O122" s="59">
        <f>($C122/$D122)*VLOOKUP($E122,'AWS Platforms Ratios'!$A$2:$O$25,7,FALSE)</f>
        <v>54.71</v>
      </c>
      <c r="P122" s="59">
        <f>($C122/$D122)*VLOOKUP($E122,'AWS Platforms Ratios'!$A$2:$O$25,8,FALSE)</f>
        <v>137.92</v>
      </c>
      <c r="Q122" s="59">
        <f>($C122/$D122)*VLOOKUP($E122,'AWS Platforms Ratios'!$A$2:$O$25,9,FALSE)</f>
        <v>306.93</v>
      </c>
      <c r="R122" s="59">
        <f>($C122/$D122)*VLOOKUP($E122,'AWS Platforms Ratios'!$A$2:$O$25,10,FALSE)</f>
        <v>445.3825</v>
      </c>
      <c r="S122" s="59">
        <f>$F122*VLOOKUP($E122,'AWS Platforms Ratios'!$A$2:$O$25,11,FALSE)</f>
        <v>59.715</v>
      </c>
      <c r="T122" s="59">
        <f>$F122*VLOOKUP($E122,'AWS Platforms Ratios'!$A$2:$O$25,12,FALSE)</f>
        <v>98.83</v>
      </c>
      <c r="U122" s="59">
        <f>$F122*VLOOKUP($E122,'AWS Platforms Ratios'!$A$2:$O$25,13,FALSE)</f>
        <v>176.89</v>
      </c>
      <c r="V122" s="59">
        <f>$F122*VLOOKUP($E122,'AWS Platforms Ratios'!$A$2:$O$25,14,FALSE)</f>
        <v>254.95</v>
      </c>
      <c r="W122" s="60">
        <f>IF($K122&lt;&gt;"N/A",$M122*(VLOOKUP($L122,'GPU Specs &amp; Ratios'!$B$2:$I$8,5,FALSE)),0)</f>
        <v>65.03202572</v>
      </c>
      <c r="X122" s="60">
        <f>IF($K122&lt;&gt;"N/A",$M122*(VLOOKUP($L122,'GPU Specs &amp; Ratios'!$B$2:$I$8,6,FALSE)),0)</f>
        <v>178.2258521</v>
      </c>
      <c r="Y122" s="60">
        <f>IF($K122&lt;&gt;"N/A",$M122*(VLOOKUP($L122,'GPU Specs &amp; Ratios'!$B$2:$I$8,7,FALSE)),0)</f>
        <v>421.2676527</v>
      </c>
      <c r="Z122" s="60">
        <f>IF($K122&lt;&gt;"N/A",$M122*(VLOOKUP($L122,'GPU Specs &amp; Ratios'!$B$2:$I$8,8,FALSE)),0)</f>
        <v>570.385209</v>
      </c>
      <c r="AA122" s="60">
        <f>(C122/D122)*VLOOKUP($E122,'AWS Platforms Ratios'!$A$2:$O$25,15,FALSE)</f>
        <v>84</v>
      </c>
      <c r="AB122" s="60">
        <f t="shared" ref="AB122:AE122" si="121">O122+S122+W122+$AA122</f>
        <v>263.4570257</v>
      </c>
      <c r="AC122" s="60">
        <f t="shared" si="121"/>
        <v>498.9758521</v>
      </c>
      <c r="AD122" s="60">
        <f t="shared" si="121"/>
        <v>989.0876527</v>
      </c>
      <c r="AE122" s="60">
        <f t="shared" si="121"/>
        <v>1354.717709</v>
      </c>
      <c r="AF122" s="60">
        <f>IF(G122&gt;'Scope 3 Ratios'!$B$5,(G122-'Scope 3 Ratios'!$B$5)*('Scope 3 Ratios'!$B$6/'Scope 3 Ratios'!$B$5),0)</f>
        <v>510.3792</v>
      </c>
      <c r="AG122" s="60">
        <f>J122*IF(I122="SSD",'Scope 3 Ratios'!$B$9,'Scope 3 Ratios'!$B$8)</f>
        <v>200</v>
      </c>
      <c r="AH122" s="60">
        <f>IF(K122&lt;&gt;"N/A",K122*'Scope 3 Ratios'!$B$10,0)</f>
        <v>1200</v>
      </c>
      <c r="AI122" s="60">
        <f>(VLOOKUP($E122,'AWS Platforms Ratios'!$A$2:$O$25,3,FALSE)-1)*'Scope 3 Ratios'!$B$7</f>
        <v>100</v>
      </c>
      <c r="AJ122" s="60">
        <f>'Scope 3 Ratios'!$B$2+AF122+AG122+AH122+AI122</f>
        <v>3010.3792</v>
      </c>
      <c r="AK122" s="60">
        <f>AJ122*'Scope 3 Ratios'!$B$4*(C122/D122)</f>
        <v>87.10587963</v>
      </c>
      <c r="AL122" s="58" t="s">
        <v>298</v>
      </c>
    </row>
    <row r="123" ht="15.0" customHeight="1">
      <c r="A123" s="56" t="s">
        <v>307</v>
      </c>
      <c r="B123" s="56" t="s">
        <v>296</v>
      </c>
      <c r="C123" s="56">
        <v>16.0</v>
      </c>
      <c r="D123" s="56">
        <f>VLOOKUP(E123,'AWS Platforms Ratios'!$A$2:$B$25,2,FALSE)</f>
        <v>96</v>
      </c>
      <c r="E123" s="57" t="s">
        <v>135</v>
      </c>
      <c r="F123" s="56">
        <v>64.0</v>
      </c>
      <c r="G123" s="56">
        <v>384.0</v>
      </c>
      <c r="H123" s="57">
        <v>600.0</v>
      </c>
      <c r="I123" s="56" t="s">
        <v>85</v>
      </c>
      <c r="J123" s="56">
        <v>2.0</v>
      </c>
      <c r="K123" s="58">
        <v>4.0</v>
      </c>
      <c r="L123" s="58" t="s">
        <v>308</v>
      </c>
      <c r="M123" s="67">
        <v>1.0</v>
      </c>
      <c r="N123" s="58">
        <v>8.0</v>
      </c>
      <c r="O123" s="59">
        <f>($C123/$D123)*VLOOKUP($E123,'AWS Platforms Ratios'!$A$2:$O$25,7,FALSE)</f>
        <v>5.419335477</v>
      </c>
      <c r="P123" s="59">
        <f>($C123/$D123)*VLOOKUP($E123,'AWS Platforms Ratios'!$A$2:$O$25,8,FALSE)</f>
        <v>14.85215434</v>
      </c>
      <c r="Q123" s="59">
        <f>($C123/$D123)*VLOOKUP($E123,'AWS Platforms Ratios'!$A$2:$O$25,9,FALSE)</f>
        <v>35.10563773</v>
      </c>
      <c r="R123" s="59">
        <f>($C123/$D123)*VLOOKUP($E123,'AWS Platforms Ratios'!$A$2:$O$25,10,FALSE)</f>
        <v>47.53210075</v>
      </c>
      <c r="S123" s="59">
        <f>$F123*VLOOKUP($E123,'AWS Platforms Ratios'!$A$2:$O$25,11,FALSE)</f>
        <v>12.8</v>
      </c>
      <c r="T123" s="59">
        <f>$F123*VLOOKUP($E123,'AWS Platforms Ratios'!$A$2:$O$25,12,FALSE)</f>
        <v>19.2</v>
      </c>
      <c r="U123" s="59">
        <f>$F123*VLOOKUP($E123,'AWS Platforms Ratios'!$A$2:$O$25,13,FALSE)</f>
        <v>25.6</v>
      </c>
      <c r="V123" s="59">
        <f>$F123*VLOOKUP($E123,'AWS Platforms Ratios'!$A$2:$O$25,14,FALSE)</f>
        <v>38.4</v>
      </c>
      <c r="W123" s="60">
        <f>IF($K123&lt;&gt;"N/A",$M123*(VLOOKUP($L123,'GPU Specs &amp; Ratios'!$B$2:$I$8,5,FALSE)),0)</f>
        <v>26.12893891</v>
      </c>
      <c r="X123" s="60">
        <f>IF($K123&lt;&gt;"N/A",$M123*(VLOOKUP($L123,'GPU Specs &amp; Ratios'!$B$2:$I$8,6,FALSE)),0)</f>
        <v>71.60860129</v>
      </c>
      <c r="Y123" s="60">
        <f>IF($K123&lt;&gt;"N/A",$M123*(VLOOKUP($L123,'GPU Specs &amp; Ratios'!$B$2:$I$8,7,FALSE)),0)</f>
        <v>169.2593248</v>
      </c>
      <c r="Z123" s="60">
        <f>IF($K123&lt;&gt;"N/A",$M123*(VLOOKUP($L123,'GPU Specs &amp; Ratios'!$B$2:$I$8,8,FALSE)),0)</f>
        <v>229.1726286</v>
      </c>
      <c r="AA123" s="60">
        <f>(C123/D123)*VLOOKUP($E123,'AWS Platforms Ratios'!$A$2:$O$25,15,FALSE)</f>
        <v>9.333333333</v>
      </c>
      <c r="AB123" s="60">
        <f t="shared" ref="AB123:AE123" si="122">O123+S123+W123+$AA123</f>
        <v>53.68160772</v>
      </c>
      <c r="AC123" s="60">
        <f t="shared" si="122"/>
        <v>114.994089</v>
      </c>
      <c r="AD123" s="60">
        <f t="shared" si="122"/>
        <v>239.2982958</v>
      </c>
      <c r="AE123" s="60">
        <f t="shared" si="122"/>
        <v>324.4380627</v>
      </c>
      <c r="AF123" s="60">
        <f>IF(G123&gt;'Scope 3 Ratios'!$B$5,(G123-'Scope 3 Ratios'!$B$5)*('Scope 3 Ratios'!$B$6/'Scope 3 Ratios'!$B$5),0)</f>
        <v>510.3792</v>
      </c>
      <c r="AG123" s="60">
        <f>J123*IF(I123="SSD",'Scope 3 Ratios'!$B$9,'Scope 3 Ratios'!$B$8)</f>
        <v>200</v>
      </c>
      <c r="AH123" s="60">
        <f>IF(K123&lt;&gt;"N/A",K123*'Scope 3 Ratios'!$B$10,0)</f>
        <v>600</v>
      </c>
      <c r="AI123" s="60">
        <f>(VLOOKUP($E123,'AWS Platforms Ratios'!$A$2:$O$25,3,FALSE)-1)*'Scope 3 Ratios'!$B$7</f>
        <v>0</v>
      </c>
      <c r="AJ123" s="60">
        <f>'Scope 3 Ratios'!$B$2+AF123+AG123+AH123+AI123</f>
        <v>2310.3792</v>
      </c>
      <c r="AK123" s="60">
        <f>AJ123*'Scope 3 Ratios'!$B$4*(C123/D123)</f>
        <v>11.141875</v>
      </c>
      <c r="AL123" s="58" t="s">
        <v>309</v>
      </c>
    </row>
    <row r="124" ht="15.0" customHeight="1">
      <c r="A124" s="56" t="s">
        <v>310</v>
      </c>
      <c r="B124" s="56" t="s">
        <v>296</v>
      </c>
      <c r="C124" s="56">
        <v>32.0</v>
      </c>
      <c r="D124" s="56">
        <f>VLOOKUP(E124,'AWS Platforms Ratios'!$A$2:$B$25,2,FALSE)</f>
        <v>96</v>
      </c>
      <c r="E124" s="57" t="s">
        <v>135</v>
      </c>
      <c r="F124" s="56">
        <v>128.0</v>
      </c>
      <c r="G124" s="56">
        <v>384.0</v>
      </c>
      <c r="H124" s="57">
        <v>1200.0</v>
      </c>
      <c r="I124" s="56" t="s">
        <v>85</v>
      </c>
      <c r="J124" s="56">
        <v>2.0</v>
      </c>
      <c r="K124" s="58">
        <v>4.0</v>
      </c>
      <c r="L124" s="58" t="s">
        <v>308</v>
      </c>
      <c r="M124" s="67">
        <v>2.0</v>
      </c>
      <c r="N124" s="58">
        <v>16.0</v>
      </c>
      <c r="O124" s="59">
        <f>($C124/$D124)*VLOOKUP($E124,'AWS Platforms Ratios'!$A$2:$O$25,7,FALSE)</f>
        <v>10.83867095</v>
      </c>
      <c r="P124" s="59">
        <f>($C124/$D124)*VLOOKUP($E124,'AWS Platforms Ratios'!$A$2:$O$25,8,FALSE)</f>
        <v>29.70430868</v>
      </c>
      <c r="Q124" s="59">
        <f>($C124/$D124)*VLOOKUP($E124,'AWS Platforms Ratios'!$A$2:$O$25,9,FALSE)</f>
        <v>70.21127546</v>
      </c>
      <c r="R124" s="59">
        <f>($C124/$D124)*VLOOKUP($E124,'AWS Platforms Ratios'!$A$2:$O$25,10,FALSE)</f>
        <v>95.0642015</v>
      </c>
      <c r="S124" s="59">
        <f>$F124*VLOOKUP($E124,'AWS Platforms Ratios'!$A$2:$O$25,11,FALSE)</f>
        <v>25.6</v>
      </c>
      <c r="T124" s="59">
        <f>$F124*VLOOKUP($E124,'AWS Platforms Ratios'!$A$2:$O$25,12,FALSE)</f>
        <v>38.4</v>
      </c>
      <c r="U124" s="59">
        <f>$F124*VLOOKUP($E124,'AWS Platforms Ratios'!$A$2:$O$25,13,FALSE)</f>
        <v>51.2</v>
      </c>
      <c r="V124" s="59">
        <f>$F124*VLOOKUP($E124,'AWS Platforms Ratios'!$A$2:$O$25,14,FALSE)</f>
        <v>76.8</v>
      </c>
      <c r="W124" s="60">
        <f>IF($K124&lt;&gt;"N/A",$M124*(VLOOKUP($L124,'GPU Specs &amp; Ratios'!$B$2:$I$8,5,FALSE)),0)</f>
        <v>52.25787781</v>
      </c>
      <c r="X124" s="60">
        <f>IF($K124&lt;&gt;"N/A",$M124*(VLOOKUP($L124,'GPU Specs &amp; Ratios'!$B$2:$I$8,6,FALSE)),0)</f>
        <v>143.2172026</v>
      </c>
      <c r="Y124" s="60">
        <f>IF($K124&lt;&gt;"N/A",$M124*(VLOOKUP($L124,'GPU Specs &amp; Ratios'!$B$2:$I$8,7,FALSE)),0)</f>
        <v>338.5186495</v>
      </c>
      <c r="Z124" s="60">
        <f>IF($K124&lt;&gt;"N/A",$M124*(VLOOKUP($L124,'GPU Specs &amp; Ratios'!$B$2:$I$8,8,FALSE)),0)</f>
        <v>458.3452572</v>
      </c>
      <c r="AA124" s="60">
        <f>(C124/D124)*VLOOKUP($E124,'AWS Platforms Ratios'!$A$2:$O$25,15,FALSE)</f>
        <v>18.66666667</v>
      </c>
      <c r="AB124" s="60">
        <f t="shared" ref="AB124:AE124" si="123">O124+S124+W124+$AA124</f>
        <v>107.3632154</v>
      </c>
      <c r="AC124" s="60">
        <f t="shared" si="123"/>
        <v>229.9881779</v>
      </c>
      <c r="AD124" s="60">
        <f t="shared" si="123"/>
        <v>478.5965916</v>
      </c>
      <c r="AE124" s="60">
        <f t="shared" si="123"/>
        <v>648.8761254</v>
      </c>
      <c r="AF124" s="60">
        <f>IF(G124&gt;'Scope 3 Ratios'!$B$5,(G124-'Scope 3 Ratios'!$B$5)*('Scope 3 Ratios'!$B$6/'Scope 3 Ratios'!$B$5),0)</f>
        <v>510.3792</v>
      </c>
      <c r="AG124" s="60">
        <f>J124*IF(I124="SSD",'Scope 3 Ratios'!$B$9,'Scope 3 Ratios'!$B$8)</f>
        <v>200</v>
      </c>
      <c r="AH124" s="60">
        <f>IF(K124&lt;&gt;"N/A",K124*'Scope 3 Ratios'!$B$10,0)</f>
        <v>600</v>
      </c>
      <c r="AI124" s="60">
        <f>(VLOOKUP($E124,'AWS Platforms Ratios'!$A$2:$O$25,3,FALSE)-1)*'Scope 3 Ratios'!$B$7</f>
        <v>0</v>
      </c>
      <c r="AJ124" s="60">
        <f>'Scope 3 Ratios'!$B$2+AF124+AG124+AH124+AI124</f>
        <v>2310.3792</v>
      </c>
      <c r="AK124" s="60">
        <f>AJ124*'Scope 3 Ratios'!$B$4*(C124/D124)</f>
        <v>22.28375</v>
      </c>
      <c r="AL124" s="58" t="s">
        <v>309</v>
      </c>
    </row>
    <row r="125" ht="15.0" customHeight="1">
      <c r="A125" s="56" t="s">
        <v>311</v>
      </c>
      <c r="B125" s="56" t="s">
        <v>296</v>
      </c>
      <c r="C125" s="56">
        <v>64.0</v>
      </c>
      <c r="D125" s="56">
        <f>VLOOKUP(E125,'AWS Platforms Ratios'!$A$2:$B$25,2,FALSE)</f>
        <v>96</v>
      </c>
      <c r="E125" s="57" t="s">
        <v>135</v>
      </c>
      <c r="F125" s="56">
        <v>256.0</v>
      </c>
      <c r="G125" s="56">
        <v>384.0</v>
      </c>
      <c r="H125" s="57">
        <v>2400.0</v>
      </c>
      <c r="I125" s="56" t="s">
        <v>85</v>
      </c>
      <c r="J125" s="56">
        <v>2.0</v>
      </c>
      <c r="K125" s="58">
        <v>4.0</v>
      </c>
      <c r="L125" s="58" t="s">
        <v>308</v>
      </c>
      <c r="M125" s="67">
        <v>4.0</v>
      </c>
      <c r="N125" s="58">
        <v>32.0</v>
      </c>
      <c r="O125" s="59">
        <f>($C125/$D125)*VLOOKUP($E125,'AWS Platforms Ratios'!$A$2:$O$25,7,FALSE)</f>
        <v>21.67734191</v>
      </c>
      <c r="P125" s="59">
        <f>($C125/$D125)*VLOOKUP($E125,'AWS Platforms Ratios'!$A$2:$O$25,8,FALSE)</f>
        <v>59.40861736</v>
      </c>
      <c r="Q125" s="59">
        <f>($C125/$D125)*VLOOKUP($E125,'AWS Platforms Ratios'!$A$2:$O$25,9,FALSE)</f>
        <v>140.4225509</v>
      </c>
      <c r="R125" s="59">
        <f>($C125/$D125)*VLOOKUP($E125,'AWS Platforms Ratios'!$A$2:$O$25,10,FALSE)</f>
        <v>190.128403</v>
      </c>
      <c r="S125" s="59">
        <f>$F125*VLOOKUP($E125,'AWS Platforms Ratios'!$A$2:$O$25,11,FALSE)</f>
        <v>51.2</v>
      </c>
      <c r="T125" s="59">
        <f>$F125*VLOOKUP($E125,'AWS Platforms Ratios'!$A$2:$O$25,12,FALSE)</f>
        <v>76.8</v>
      </c>
      <c r="U125" s="59">
        <f>$F125*VLOOKUP($E125,'AWS Platforms Ratios'!$A$2:$O$25,13,FALSE)</f>
        <v>102.4</v>
      </c>
      <c r="V125" s="59">
        <f>$F125*VLOOKUP($E125,'AWS Platforms Ratios'!$A$2:$O$25,14,FALSE)</f>
        <v>153.6</v>
      </c>
      <c r="W125" s="60">
        <f>IF($K125&lt;&gt;"N/A",$M125*(VLOOKUP($L125,'GPU Specs &amp; Ratios'!$B$2:$I$8,5,FALSE)),0)</f>
        <v>104.5157556</v>
      </c>
      <c r="X125" s="60">
        <f>IF($K125&lt;&gt;"N/A",$M125*(VLOOKUP($L125,'GPU Specs &amp; Ratios'!$B$2:$I$8,6,FALSE)),0)</f>
        <v>286.4344051</v>
      </c>
      <c r="Y125" s="60">
        <f>IF($K125&lt;&gt;"N/A",$M125*(VLOOKUP($L125,'GPU Specs &amp; Ratios'!$B$2:$I$8,7,FALSE)),0)</f>
        <v>677.037299</v>
      </c>
      <c r="Z125" s="60">
        <f>IF($K125&lt;&gt;"N/A",$M125*(VLOOKUP($L125,'GPU Specs &amp; Ratios'!$B$2:$I$8,8,FALSE)),0)</f>
        <v>916.6905145</v>
      </c>
      <c r="AA125" s="60">
        <f>(C125/D125)*VLOOKUP($E125,'AWS Platforms Ratios'!$A$2:$O$25,15,FALSE)</f>
        <v>37.33333333</v>
      </c>
      <c r="AB125" s="60">
        <f t="shared" ref="AB125:AE125" si="124">O125+S125+W125+$AA125</f>
        <v>214.7264309</v>
      </c>
      <c r="AC125" s="60">
        <f t="shared" si="124"/>
        <v>459.9763558</v>
      </c>
      <c r="AD125" s="60">
        <f t="shared" si="124"/>
        <v>957.1931833</v>
      </c>
      <c r="AE125" s="60">
        <f t="shared" si="124"/>
        <v>1297.752251</v>
      </c>
      <c r="AF125" s="60">
        <f>IF(G125&gt;'Scope 3 Ratios'!$B$5,(G125-'Scope 3 Ratios'!$B$5)*('Scope 3 Ratios'!$B$6/'Scope 3 Ratios'!$B$5),0)</f>
        <v>510.3792</v>
      </c>
      <c r="AG125" s="60">
        <f>J125*IF(I125="SSD",'Scope 3 Ratios'!$B$9,'Scope 3 Ratios'!$B$8)</f>
        <v>200</v>
      </c>
      <c r="AH125" s="60">
        <f>IF(K125&lt;&gt;"N/A",K125*'Scope 3 Ratios'!$B$10,0)</f>
        <v>600</v>
      </c>
      <c r="AI125" s="60">
        <f>(VLOOKUP($E125,'AWS Platforms Ratios'!$A$2:$O$25,3,FALSE)-1)*'Scope 3 Ratios'!$B$7</f>
        <v>0</v>
      </c>
      <c r="AJ125" s="60">
        <f>'Scope 3 Ratios'!$B$2+AF125+AG125+AH125+AI125</f>
        <v>2310.3792</v>
      </c>
      <c r="AK125" s="60">
        <f>AJ125*'Scope 3 Ratios'!$B$4*(C125/D125)</f>
        <v>44.5675</v>
      </c>
      <c r="AL125" s="58" t="s">
        <v>309</v>
      </c>
    </row>
    <row r="126" ht="15.0" customHeight="1">
      <c r="A126" s="56" t="s">
        <v>312</v>
      </c>
      <c r="B126" s="56" t="s">
        <v>313</v>
      </c>
      <c r="C126" s="56">
        <v>8.0</v>
      </c>
      <c r="D126" s="56">
        <f>VLOOKUP(E126,'AWS Platforms Ratios'!$A$2:$B$25,2,FALSE)</f>
        <v>72</v>
      </c>
      <c r="E126" s="57" t="s">
        <v>269</v>
      </c>
      <c r="F126" s="56">
        <v>32.0</v>
      </c>
      <c r="G126" s="56">
        <v>256.0</v>
      </c>
      <c r="H126" s="57" t="s">
        <v>314</v>
      </c>
      <c r="I126" s="56" t="s">
        <v>227</v>
      </c>
      <c r="J126" s="56">
        <v>24.0</v>
      </c>
      <c r="K126" s="58" t="s">
        <v>73</v>
      </c>
      <c r="L126" s="58" t="s">
        <v>73</v>
      </c>
      <c r="M126" s="58" t="s">
        <v>73</v>
      </c>
      <c r="N126" s="58" t="s">
        <v>73</v>
      </c>
      <c r="O126" s="59">
        <f>($C126/$D126)*VLOOKUP($E126,'AWS Platforms Ratios'!$A$2:$O$25,7,FALSE)</f>
        <v>3.886666667</v>
      </c>
      <c r="P126" s="59">
        <f>($C126/$D126)*VLOOKUP($E126,'AWS Platforms Ratios'!$A$2:$O$25,8,FALSE)</f>
        <v>11.09555556</v>
      </c>
      <c r="Q126" s="59">
        <f>($C126/$D126)*VLOOKUP($E126,'AWS Platforms Ratios'!$A$2:$O$25,9,FALSE)</f>
        <v>22.82111111</v>
      </c>
      <c r="R126" s="59">
        <f>($C126/$D126)*VLOOKUP($E126,'AWS Platforms Ratios'!$A$2:$O$25,10,FALSE)</f>
        <v>31.23694444</v>
      </c>
      <c r="S126" s="59">
        <f>$F126*VLOOKUP($E126,'AWS Platforms Ratios'!$A$2:$O$25,11,FALSE)</f>
        <v>6.4</v>
      </c>
      <c r="T126" s="59">
        <f>$F126*VLOOKUP($E126,'AWS Platforms Ratios'!$A$2:$O$25,12,FALSE)</f>
        <v>9.6</v>
      </c>
      <c r="U126" s="59">
        <f>$F126*VLOOKUP($E126,'AWS Platforms Ratios'!$A$2:$O$25,13,FALSE)</f>
        <v>12.8</v>
      </c>
      <c r="V126" s="59">
        <f>$F126*VLOOKUP($E126,'AWS Platforms Ratios'!$A$2:$O$25,14,FALSE)</f>
        <v>19.2</v>
      </c>
      <c r="W126" s="60">
        <f>IF($K126&lt;&gt;"N/A",$M126*(VLOOKUP($L126,'GPU Specs &amp; Ratios'!$B$2:$I$8,5,FALSE)),0)</f>
        <v>0</v>
      </c>
      <c r="X126" s="60">
        <f>IF($K126&lt;&gt;"N/A",$M126*(VLOOKUP($L126,'GPU Specs &amp; Ratios'!$B$2:$I$8,6,FALSE)),0)</f>
        <v>0</v>
      </c>
      <c r="Y126" s="60">
        <f>IF($K126&lt;&gt;"N/A",$M126*(VLOOKUP($L126,'GPU Specs &amp; Ratios'!$B$2:$I$8,7,FALSE)),0)</f>
        <v>0</v>
      </c>
      <c r="Z126" s="60">
        <f>IF($K126&lt;&gt;"N/A",$M126*(VLOOKUP($L126,'GPU Specs &amp; Ratios'!$B$2:$I$8,8,FALSE)),0)</f>
        <v>0</v>
      </c>
      <c r="AA126" s="60">
        <f>(C126/D126)*VLOOKUP($E126,'AWS Platforms Ratios'!$A$2:$O$25,15,FALSE)</f>
        <v>6.444444444</v>
      </c>
      <c r="AB126" s="60">
        <f t="shared" ref="AB126:AE126" si="125">O126+S126+W126+$AA126</f>
        <v>16.73111111</v>
      </c>
      <c r="AC126" s="60">
        <f t="shared" si="125"/>
        <v>27.14</v>
      </c>
      <c r="AD126" s="60">
        <f t="shared" si="125"/>
        <v>42.06555556</v>
      </c>
      <c r="AE126" s="60">
        <f t="shared" si="125"/>
        <v>56.88138889</v>
      </c>
      <c r="AF126" s="60">
        <f>IF(G126&gt;'Scope 3 Ratios'!$B$5,(G126-'Scope 3 Ratios'!$B$5)*('Scope 3 Ratios'!$B$6/'Scope 3 Ratios'!$B$5),0)</f>
        <v>332.856</v>
      </c>
      <c r="AG126" s="60">
        <f>J126*IF(I126="SSD",'Scope 3 Ratios'!$B$9,'Scope 3 Ratios'!$B$8)</f>
        <v>1200</v>
      </c>
      <c r="AH126" s="60">
        <f>IF(K126&lt;&gt;"N/A",K126*'Scope 3 Ratios'!$B$10,0)</f>
        <v>0</v>
      </c>
      <c r="AI126" s="60">
        <f>(VLOOKUP($E126,'AWS Platforms Ratios'!$A$2:$O$25,3,FALSE)-1)*'Scope 3 Ratios'!$B$7</f>
        <v>100</v>
      </c>
      <c r="AJ126" s="60">
        <f>'Scope 3 Ratios'!$B$2+AF126+AG126+AH126+AI126</f>
        <v>2632.856</v>
      </c>
      <c r="AK126" s="60">
        <f>AJ126*'Scope 3 Ratios'!$B$4*(C126/D126)</f>
        <v>8.464686214</v>
      </c>
      <c r="AL126" s="61" t="s">
        <v>315</v>
      </c>
    </row>
    <row r="127" ht="15.0" customHeight="1">
      <c r="A127" s="56" t="s">
        <v>316</v>
      </c>
      <c r="B127" s="56" t="s">
        <v>313</v>
      </c>
      <c r="C127" s="56">
        <v>16.0</v>
      </c>
      <c r="D127" s="56">
        <f>VLOOKUP(E127,'AWS Platforms Ratios'!$A$2:$B$25,2,FALSE)</f>
        <v>72</v>
      </c>
      <c r="E127" s="57" t="s">
        <v>269</v>
      </c>
      <c r="F127" s="56">
        <v>64.0</v>
      </c>
      <c r="G127" s="56">
        <v>256.0</v>
      </c>
      <c r="H127" s="57" t="s">
        <v>317</v>
      </c>
      <c r="I127" s="56" t="s">
        <v>227</v>
      </c>
      <c r="J127" s="56">
        <v>24.0</v>
      </c>
      <c r="K127" s="58" t="s">
        <v>73</v>
      </c>
      <c r="L127" s="58" t="s">
        <v>73</v>
      </c>
      <c r="M127" s="58" t="s">
        <v>73</v>
      </c>
      <c r="N127" s="58" t="s">
        <v>73</v>
      </c>
      <c r="O127" s="59">
        <f>($C127/$D127)*VLOOKUP($E127,'AWS Platforms Ratios'!$A$2:$O$25,7,FALSE)</f>
        <v>7.773333333</v>
      </c>
      <c r="P127" s="59">
        <f>($C127/$D127)*VLOOKUP($E127,'AWS Platforms Ratios'!$A$2:$O$25,8,FALSE)</f>
        <v>22.19111111</v>
      </c>
      <c r="Q127" s="59">
        <f>($C127/$D127)*VLOOKUP($E127,'AWS Platforms Ratios'!$A$2:$O$25,9,FALSE)</f>
        <v>45.64222222</v>
      </c>
      <c r="R127" s="59">
        <f>($C127/$D127)*VLOOKUP($E127,'AWS Platforms Ratios'!$A$2:$O$25,10,FALSE)</f>
        <v>62.47388889</v>
      </c>
      <c r="S127" s="59">
        <f>$F127*VLOOKUP($E127,'AWS Platforms Ratios'!$A$2:$O$25,11,FALSE)</f>
        <v>12.8</v>
      </c>
      <c r="T127" s="59">
        <f>$F127*VLOOKUP($E127,'AWS Platforms Ratios'!$A$2:$O$25,12,FALSE)</f>
        <v>19.2</v>
      </c>
      <c r="U127" s="59">
        <f>$F127*VLOOKUP($E127,'AWS Platforms Ratios'!$A$2:$O$25,13,FALSE)</f>
        <v>25.6</v>
      </c>
      <c r="V127" s="59">
        <f>$F127*VLOOKUP($E127,'AWS Platforms Ratios'!$A$2:$O$25,14,FALSE)</f>
        <v>38.4</v>
      </c>
      <c r="W127" s="60">
        <f>IF($K127&lt;&gt;"N/A",$M127*(VLOOKUP($L127,'GPU Specs &amp; Ratios'!$B$2:$I$8,5,FALSE)),0)</f>
        <v>0</v>
      </c>
      <c r="X127" s="60">
        <f>IF($K127&lt;&gt;"N/A",$M127*(VLOOKUP($L127,'GPU Specs &amp; Ratios'!$B$2:$I$8,6,FALSE)),0)</f>
        <v>0</v>
      </c>
      <c r="Y127" s="60">
        <f>IF($K127&lt;&gt;"N/A",$M127*(VLOOKUP($L127,'GPU Specs &amp; Ratios'!$B$2:$I$8,7,FALSE)),0)</f>
        <v>0</v>
      </c>
      <c r="Z127" s="60">
        <f>IF($K127&lt;&gt;"N/A",$M127*(VLOOKUP($L127,'GPU Specs &amp; Ratios'!$B$2:$I$8,8,FALSE)),0)</f>
        <v>0</v>
      </c>
      <c r="AA127" s="60">
        <f>(C127/D127)*VLOOKUP($E127,'AWS Platforms Ratios'!$A$2:$O$25,15,FALSE)</f>
        <v>12.88888889</v>
      </c>
      <c r="AB127" s="60">
        <f t="shared" ref="AB127:AE127" si="126">O127+S127+W127+$AA127</f>
        <v>33.46222222</v>
      </c>
      <c r="AC127" s="60">
        <f t="shared" si="126"/>
        <v>54.28</v>
      </c>
      <c r="AD127" s="60">
        <f t="shared" si="126"/>
        <v>84.13111111</v>
      </c>
      <c r="AE127" s="60">
        <f t="shared" si="126"/>
        <v>113.7627778</v>
      </c>
      <c r="AF127" s="60">
        <f>IF(G127&gt;'Scope 3 Ratios'!$B$5,(G127-'Scope 3 Ratios'!$B$5)*('Scope 3 Ratios'!$B$6/'Scope 3 Ratios'!$B$5),0)</f>
        <v>332.856</v>
      </c>
      <c r="AG127" s="60">
        <f>J127*IF(I127="SSD",'Scope 3 Ratios'!$B$9,'Scope 3 Ratios'!$B$8)</f>
        <v>1200</v>
      </c>
      <c r="AH127" s="60">
        <f>IF(K127&lt;&gt;"N/A",K127*'Scope 3 Ratios'!$B$10,0)</f>
        <v>0</v>
      </c>
      <c r="AI127" s="60">
        <f>(VLOOKUP($E127,'AWS Platforms Ratios'!$A$2:$O$25,3,FALSE)-1)*'Scope 3 Ratios'!$B$7</f>
        <v>100</v>
      </c>
      <c r="AJ127" s="60">
        <f>'Scope 3 Ratios'!$B$2+AF127+AG127+AH127+AI127</f>
        <v>2632.856</v>
      </c>
      <c r="AK127" s="60">
        <f>AJ127*'Scope 3 Ratios'!$B$4*(C127/D127)</f>
        <v>16.92937243</v>
      </c>
      <c r="AL127" s="61" t="s">
        <v>315</v>
      </c>
    </row>
    <row r="128" ht="15.0" customHeight="1">
      <c r="A128" s="56" t="s">
        <v>318</v>
      </c>
      <c r="B128" s="56" t="s">
        <v>313</v>
      </c>
      <c r="C128" s="56">
        <v>32.0</v>
      </c>
      <c r="D128" s="56">
        <f>VLOOKUP(E128,'AWS Platforms Ratios'!$A$2:$B$25,2,FALSE)</f>
        <v>72</v>
      </c>
      <c r="E128" s="57" t="s">
        <v>269</v>
      </c>
      <c r="F128" s="56">
        <v>128.0</v>
      </c>
      <c r="G128" s="56">
        <v>256.0</v>
      </c>
      <c r="H128" s="57" t="s">
        <v>319</v>
      </c>
      <c r="I128" s="56" t="s">
        <v>227</v>
      </c>
      <c r="J128" s="56">
        <v>24.0</v>
      </c>
      <c r="K128" s="58" t="s">
        <v>73</v>
      </c>
      <c r="L128" s="58" t="s">
        <v>73</v>
      </c>
      <c r="M128" s="58" t="s">
        <v>73</v>
      </c>
      <c r="N128" s="58" t="s">
        <v>73</v>
      </c>
      <c r="O128" s="59">
        <f>($C128/$D128)*VLOOKUP($E128,'AWS Platforms Ratios'!$A$2:$O$25,7,FALSE)</f>
        <v>15.54666667</v>
      </c>
      <c r="P128" s="59">
        <f>($C128/$D128)*VLOOKUP($E128,'AWS Platforms Ratios'!$A$2:$O$25,8,FALSE)</f>
        <v>44.38222222</v>
      </c>
      <c r="Q128" s="59">
        <f>($C128/$D128)*VLOOKUP($E128,'AWS Platforms Ratios'!$A$2:$O$25,9,FALSE)</f>
        <v>91.28444444</v>
      </c>
      <c r="R128" s="59">
        <f>($C128/$D128)*VLOOKUP($E128,'AWS Platforms Ratios'!$A$2:$O$25,10,FALSE)</f>
        <v>124.9477778</v>
      </c>
      <c r="S128" s="59">
        <f>$F128*VLOOKUP($E128,'AWS Platforms Ratios'!$A$2:$O$25,11,FALSE)</f>
        <v>25.6</v>
      </c>
      <c r="T128" s="59">
        <f>$F128*VLOOKUP($E128,'AWS Platforms Ratios'!$A$2:$O$25,12,FALSE)</f>
        <v>38.4</v>
      </c>
      <c r="U128" s="59">
        <f>$F128*VLOOKUP($E128,'AWS Platforms Ratios'!$A$2:$O$25,13,FALSE)</f>
        <v>51.2</v>
      </c>
      <c r="V128" s="59">
        <f>$F128*VLOOKUP($E128,'AWS Platforms Ratios'!$A$2:$O$25,14,FALSE)</f>
        <v>76.8</v>
      </c>
      <c r="W128" s="60">
        <f>IF($K128&lt;&gt;"N/A",$M128*(VLOOKUP($L128,'GPU Specs &amp; Ratios'!$B$2:$I$8,5,FALSE)),0)</f>
        <v>0</v>
      </c>
      <c r="X128" s="60">
        <f>IF($K128&lt;&gt;"N/A",$M128*(VLOOKUP($L128,'GPU Specs &amp; Ratios'!$B$2:$I$8,6,FALSE)),0)</f>
        <v>0</v>
      </c>
      <c r="Y128" s="60">
        <f>IF($K128&lt;&gt;"N/A",$M128*(VLOOKUP($L128,'GPU Specs &amp; Ratios'!$B$2:$I$8,7,FALSE)),0)</f>
        <v>0</v>
      </c>
      <c r="Z128" s="60">
        <f>IF($K128&lt;&gt;"N/A",$M128*(VLOOKUP($L128,'GPU Specs &amp; Ratios'!$B$2:$I$8,8,FALSE)),0)</f>
        <v>0</v>
      </c>
      <c r="AA128" s="60">
        <f>(C128/D128)*VLOOKUP($E128,'AWS Platforms Ratios'!$A$2:$O$25,15,FALSE)</f>
        <v>25.77777778</v>
      </c>
      <c r="AB128" s="60">
        <f t="shared" ref="AB128:AE128" si="127">O128+S128+W128+$AA128</f>
        <v>66.92444444</v>
      </c>
      <c r="AC128" s="60">
        <f t="shared" si="127"/>
        <v>108.56</v>
      </c>
      <c r="AD128" s="60">
        <f t="shared" si="127"/>
        <v>168.2622222</v>
      </c>
      <c r="AE128" s="60">
        <f t="shared" si="127"/>
        <v>227.5255556</v>
      </c>
      <c r="AF128" s="60">
        <f>IF(G128&gt;'Scope 3 Ratios'!$B$5,(G128-'Scope 3 Ratios'!$B$5)*('Scope 3 Ratios'!$B$6/'Scope 3 Ratios'!$B$5),0)</f>
        <v>332.856</v>
      </c>
      <c r="AG128" s="60">
        <f>J128*IF(I128="SSD",'Scope 3 Ratios'!$B$9,'Scope 3 Ratios'!$B$8)</f>
        <v>1200</v>
      </c>
      <c r="AH128" s="60">
        <f>IF(K128&lt;&gt;"N/A",K128*'Scope 3 Ratios'!$B$10,0)</f>
        <v>0</v>
      </c>
      <c r="AI128" s="60">
        <f>(VLOOKUP($E128,'AWS Platforms Ratios'!$A$2:$O$25,3,FALSE)-1)*'Scope 3 Ratios'!$B$7</f>
        <v>100</v>
      </c>
      <c r="AJ128" s="60">
        <f>'Scope 3 Ratios'!$B$2+AF128+AG128+AH128+AI128</f>
        <v>2632.856</v>
      </c>
      <c r="AK128" s="60">
        <f>AJ128*'Scope 3 Ratios'!$B$4*(C128/D128)</f>
        <v>33.85874486</v>
      </c>
      <c r="AL128" s="61" t="s">
        <v>315</v>
      </c>
    </row>
    <row r="129" ht="15.0" customHeight="1">
      <c r="A129" s="56" t="s">
        <v>320</v>
      </c>
      <c r="B129" s="56" t="s">
        <v>313</v>
      </c>
      <c r="C129" s="56">
        <v>64.0</v>
      </c>
      <c r="D129" s="56">
        <f>VLOOKUP(E129,'AWS Platforms Ratios'!$A$2:$B$25,2,FALSE)</f>
        <v>72</v>
      </c>
      <c r="E129" s="57" t="s">
        <v>269</v>
      </c>
      <c r="F129" s="56">
        <v>256.0</v>
      </c>
      <c r="G129" s="56">
        <v>256.0</v>
      </c>
      <c r="H129" s="57" t="s">
        <v>321</v>
      </c>
      <c r="I129" s="56" t="s">
        <v>227</v>
      </c>
      <c r="J129" s="56">
        <v>24.0</v>
      </c>
      <c r="K129" s="58" t="s">
        <v>73</v>
      </c>
      <c r="L129" s="58" t="s">
        <v>73</v>
      </c>
      <c r="M129" s="58" t="s">
        <v>73</v>
      </c>
      <c r="N129" s="58" t="s">
        <v>73</v>
      </c>
      <c r="O129" s="59">
        <f>($C129/$D129)*VLOOKUP($E129,'AWS Platforms Ratios'!$A$2:$O$25,7,FALSE)</f>
        <v>31.09333333</v>
      </c>
      <c r="P129" s="59">
        <f>($C129/$D129)*VLOOKUP($E129,'AWS Platforms Ratios'!$A$2:$O$25,8,FALSE)</f>
        <v>88.76444444</v>
      </c>
      <c r="Q129" s="59">
        <f>($C129/$D129)*VLOOKUP($E129,'AWS Platforms Ratios'!$A$2:$O$25,9,FALSE)</f>
        <v>182.5688889</v>
      </c>
      <c r="R129" s="59">
        <f>($C129/$D129)*VLOOKUP($E129,'AWS Platforms Ratios'!$A$2:$O$25,10,FALSE)</f>
        <v>249.8955556</v>
      </c>
      <c r="S129" s="59">
        <f>$F129*VLOOKUP($E129,'AWS Platforms Ratios'!$A$2:$O$25,11,FALSE)</f>
        <v>51.2</v>
      </c>
      <c r="T129" s="59">
        <f>$F129*VLOOKUP($E129,'AWS Platforms Ratios'!$A$2:$O$25,12,FALSE)</f>
        <v>76.8</v>
      </c>
      <c r="U129" s="59">
        <f>$F129*VLOOKUP($E129,'AWS Platforms Ratios'!$A$2:$O$25,13,FALSE)</f>
        <v>102.4</v>
      </c>
      <c r="V129" s="59">
        <f>$F129*VLOOKUP($E129,'AWS Platforms Ratios'!$A$2:$O$25,14,FALSE)</f>
        <v>153.6</v>
      </c>
      <c r="W129" s="60">
        <f>IF($K129&lt;&gt;"N/A",$M129*(VLOOKUP($L129,'GPU Specs &amp; Ratios'!$B$2:$I$8,5,FALSE)),0)</f>
        <v>0</v>
      </c>
      <c r="X129" s="60">
        <f>IF($K129&lt;&gt;"N/A",$M129*(VLOOKUP($L129,'GPU Specs &amp; Ratios'!$B$2:$I$8,6,FALSE)),0)</f>
        <v>0</v>
      </c>
      <c r="Y129" s="60">
        <f>IF($K129&lt;&gt;"N/A",$M129*(VLOOKUP($L129,'GPU Specs &amp; Ratios'!$B$2:$I$8,7,FALSE)),0)</f>
        <v>0</v>
      </c>
      <c r="Z129" s="60">
        <f>IF($K129&lt;&gt;"N/A",$M129*(VLOOKUP($L129,'GPU Specs &amp; Ratios'!$B$2:$I$8,8,FALSE)),0)</f>
        <v>0</v>
      </c>
      <c r="AA129" s="60">
        <f>(C129/D129)*VLOOKUP($E129,'AWS Platforms Ratios'!$A$2:$O$25,15,FALSE)</f>
        <v>51.55555556</v>
      </c>
      <c r="AB129" s="60">
        <f t="shared" ref="AB129:AE129" si="128">O129+S129+W129+$AA129</f>
        <v>133.8488889</v>
      </c>
      <c r="AC129" s="60">
        <f t="shared" si="128"/>
        <v>217.12</v>
      </c>
      <c r="AD129" s="60">
        <f t="shared" si="128"/>
        <v>336.5244444</v>
      </c>
      <c r="AE129" s="60">
        <f t="shared" si="128"/>
        <v>455.0511111</v>
      </c>
      <c r="AF129" s="60">
        <f>IF(G129&gt;'Scope 3 Ratios'!$B$5,(G129-'Scope 3 Ratios'!$B$5)*('Scope 3 Ratios'!$B$6/'Scope 3 Ratios'!$B$5),0)</f>
        <v>332.856</v>
      </c>
      <c r="AG129" s="60">
        <f>J129*IF(I129="SSD",'Scope 3 Ratios'!$B$9,'Scope 3 Ratios'!$B$8)</f>
        <v>1200</v>
      </c>
      <c r="AH129" s="60">
        <f>IF(K129&lt;&gt;"N/A",K129*'Scope 3 Ratios'!$B$10,0)</f>
        <v>0</v>
      </c>
      <c r="AI129" s="60">
        <f>(VLOOKUP($E129,'AWS Platforms Ratios'!$A$2:$O$25,3,FALSE)-1)*'Scope 3 Ratios'!$B$7</f>
        <v>100</v>
      </c>
      <c r="AJ129" s="60">
        <f>'Scope 3 Ratios'!$B$2+AF129+AG129+AH129+AI129</f>
        <v>2632.856</v>
      </c>
      <c r="AK129" s="60">
        <f>AJ129*'Scope 3 Ratios'!$B$4*(C129/D129)</f>
        <v>67.71748971</v>
      </c>
      <c r="AL129" s="61" t="s">
        <v>315</v>
      </c>
    </row>
    <row r="130" ht="15.0" customHeight="1">
      <c r="A130" s="56" t="s">
        <v>322</v>
      </c>
      <c r="B130" s="56" t="s">
        <v>323</v>
      </c>
      <c r="C130" s="56">
        <v>16.0</v>
      </c>
      <c r="D130" s="56">
        <f>VLOOKUP(E130,'AWS Platforms Ratios'!$A$2:$B$25,2,FALSE)</f>
        <v>32</v>
      </c>
      <c r="E130" s="57" t="s">
        <v>90</v>
      </c>
      <c r="F130" s="56">
        <v>117.0</v>
      </c>
      <c r="G130" s="56">
        <v>244.0</v>
      </c>
      <c r="H130" s="57" t="s">
        <v>324</v>
      </c>
      <c r="I130" s="56" t="s">
        <v>227</v>
      </c>
      <c r="J130" s="56">
        <v>24.0</v>
      </c>
      <c r="K130" s="58" t="s">
        <v>73</v>
      </c>
      <c r="L130" s="58" t="s">
        <v>73</v>
      </c>
      <c r="M130" s="58" t="s">
        <v>73</v>
      </c>
      <c r="N130" s="58" t="s">
        <v>73</v>
      </c>
      <c r="O130" s="59">
        <f>($C130/$D130)*VLOOKUP($E130,'AWS Platforms Ratios'!$A$2:$O$25,7,FALSE)</f>
        <v>13.87137931</v>
      </c>
      <c r="P130" s="59">
        <f>($C130/$D130)*VLOOKUP($E130,'AWS Platforms Ratios'!$A$2:$O$25,8,FALSE)</f>
        <v>39.59965517</v>
      </c>
      <c r="Q130" s="59">
        <f>($C130/$D130)*VLOOKUP($E130,'AWS Platforms Ratios'!$A$2:$O$25,9,FALSE)</f>
        <v>81.44775862</v>
      </c>
      <c r="R130" s="59">
        <f>($C130/$D130)*VLOOKUP($E130,'AWS Platforms Ratios'!$A$2:$O$25,10,FALSE)</f>
        <v>111.4835776</v>
      </c>
      <c r="S130" s="59">
        <f>$F130*VLOOKUP($E130,'AWS Platforms Ratios'!$A$2:$O$25,11,FALSE)</f>
        <v>23.4</v>
      </c>
      <c r="T130" s="59">
        <f>$F130*VLOOKUP($E130,'AWS Platforms Ratios'!$A$2:$O$25,12,FALSE)</f>
        <v>35.1</v>
      </c>
      <c r="U130" s="59">
        <f>$F130*VLOOKUP($E130,'AWS Platforms Ratios'!$A$2:$O$25,13,FALSE)</f>
        <v>46.8</v>
      </c>
      <c r="V130" s="59">
        <f>$F130*VLOOKUP($E130,'AWS Platforms Ratios'!$A$2:$O$25,14,FALSE)</f>
        <v>70.2</v>
      </c>
      <c r="W130" s="60">
        <f>IF($K130&lt;&gt;"N/A",$M130*(VLOOKUP($L130,'GPU Specs &amp; Ratios'!$B$2:$I$8,5,FALSE)),0)</f>
        <v>0</v>
      </c>
      <c r="X130" s="60">
        <f>IF($K130&lt;&gt;"N/A",$M130*(VLOOKUP($L130,'GPU Specs &amp; Ratios'!$B$2:$I$8,6,FALSE)),0)</f>
        <v>0</v>
      </c>
      <c r="Y130" s="60">
        <f>IF($K130&lt;&gt;"N/A",$M130*(VLOOKUP($L130,'GPU Specs &amp; Ratios'!$B$2:$I$8,7,FALSE)),0)</f>
        <v>0</v>
      </c>
      <c r="Z130" s="60">
        <f>IF($K130&lt;&gt;"N/A",$M130*(VLOOKUP($L130,'GPU Specs &amp; Ratios'!$B$2:$I$8,8,FALSE)),0)</f>
        <v>0</v>
      </c>
      <c r="AA130" s="60">
        <f>(C130/D130)*VLOOKUP($E130,'AWS Platforms Ratios'!$A$2:$O$25,15,FALSE)</f>
        <v>23</v>
      </c>
      <c r="AB130" s="60">
        <f t="shared" ref="AB130:AE130" si="129">O130+S130+W130+$AA130</f>
        <v>60.27137931</v>
      </c>
      <c r="AC130" s="60">
        <f t="shared" si="129"/>
        <v>97.69965517</v>
      </c>
      <c r="AD130" s="60">
        <f t="shared" si="129"/>
        <v>151.2477586</v>
      </c>
      <c r="AE130" s="60">
        <f t="shared" si="129"/>
        <v>204.6835776</v>
      </c>
      <c r="AF130" s="60">
        <f>IF(G130&gt;'Scope 3 Ratios'!$B$5,(G130-'Scope 3 Ratios'!$B$5)*('Scope 3 Ratios'!$B$6/'Scope 3 Ratios'!$B$5),0)</f>
        <v>316.2132</v>
      </c>
      <c r="AG130" s="60">
        <f>J130*IF(I130="SSD",'Scope 3 Ratios'!$B$9,'Scope 3 Ratios'!$B$8)</f>
        <v>1200</v>
      </c>
      <c r="AH130" s="60">
        <f>IF(K130&lt;&gt;"N/A",K130*'Scope 3 Ratios'!$B$10,0)</f>
        <v>0</v>
      </c>
      <c r="AI130" s="60">
        <f>(VLOOKUP($E130,'AWS Platforms Ratios'!$A$2:$O$25,3,FALSE)-1)*'Scope 3 Ratios'!$B$7</f>
        <v>100</v>
      </c>
      <c r="AJ130" s="60">
        <f>'Scope 3 Ratios'!$B$2+AF130+AG130+AH130+AI130</f>
        <v>2616.2132</v>
      </c>
      <c r="AK130" s="60">
        <f>AJ130*'Scope 3 Ratios'!$B$4*(C130/D130)</f>
        <v>37.85030671</v>
      </c>
      <c r="AL130" s="61" t="s">
        <v>325</v>
      </c>
    </row>
    <row r="131" ht="15.0" customHeight="1">
      <c r="A131" s="56" t="s">
        <v>326</v>
      </c>
      <c r="B131" s="56" t="s">
        <v>327</v>
      </c>
      <c r="C131" s="56">
        <v>4.0</v>
      </c>
      <c r="D131" s="56">
        <f>VLOOKUP(E131,'AWS Platforms Ratios'!$A$2:$B$25,2,FALSE)</f>
        <v>40</v>
      </c>
      <c r="E131" s="57" t="s">
        <v>259</v>
      </c>
      <c r="F131" s="56">
        <v>30.5</v>
      </c>
      <c r="G131" s="56">
        <v>244.0</v>
      </c>
      <c r="H131" s="57" t="s">
        <v>328</v>
      </c>
      <c r="I131" s="56" t="s">
        <v>85</v>
      </c>
      <c r="J131" s="56">
        <v>8.0</v>
      </c>
      <c r="K131" s="58" t="s">
        <v>73</v>
      </c>
      <c r="L131" s="58" t="s">
        <v>73</v>
      </c>
      <c r="M131" s="58" t="s">
        <v>73</v>
      </c>
      <c r="N131" s="58" t="s">
        <v>73</v>
      </c>
      <c r="O131" s="59">
        <f>($C131/$D131)*VLOOKUP($E131,'AWS Platforms Ratios'!$A$2:$O$25,7,FALSE)</f>
        <v>2.774275862</v>
      </c>
      <c r="P131" s="59">
        <f>($C131/$D131)*VLOOKUP($E131,'AWS Platforms Ratios'!$A$2:$O$25,8,FALSE)</f>
        <v>7.919931034</v>
      </c>
      <c r="Q131" s="59">
        <f>($C131/$D131)*VLOOKUP($E131,'AWS Platforms Ratios'!$A$2:$O$25,9,FALSE)</f>
        <v>16.28955172</v>
      </c>
      <c r="R131" s="59">
        <f>($C131/$D131)*VLOOKUP($E131,'AWS Platforms Ratios'!$A$2:$O$25,10,FALSE)</f>
        <v>22.29671552</v>
      </c>
      <c r="S131" s="59">
        <f>$F131*VLOOKUP($E131,'AWS Platforms Ratios'!$A$2:$O$25,11,FALSE)</f>
        <v>6.1</v>
      </c>
      <c r="T131" s="59">
        <f>$F131*VLOOKUP($E131,'AWS Platforms Ratios'!$A$2:$O$25,12,FALSE)</f>
        <v>9.15</v>
      </c>
      <c r="U131" s="59">
        <f>$F131*VLOOKUP($E131,'AWS Platforms Ratios'!$A$2:$O$25,13,FALSE)</f>
        <v>12.2</v>
      </c>
      <c r="V131" s="59">
        <f>$F131*VLOOKUP($E131,'AWS Platforms Ratios'!$A$2:$O$25,14,FALSE)</f>
        <v>18.3</v>
      </c>
      <c r="W131" s="60">
        <f>IF($K131&lt;&gt;"N/A",$M131*(VLOOKUP($L131,'GPU Specs &amp; Ratios'!$B$2:$I$8,5,FALSE)),0)</f>
        <v>0</v>
      </c>
      <c r="X131" s="60">
        <f>IF($K131&lt;&gt;"N/A",$M131*(VLOOKUP($L131,'GPU Specs &amp; Ratios'!$B$2:$I$8,6,FALSE)),0)</f>
        <v>0</v>
      </c>
      <c r="Y131" s="60">
        <f>IF($K131&lt;&gt;"N/A",$M131*(VLOOKUP($L131,'GPU Specs &amp; Ratios'!$B$2:$I$8,7,FALSE)),0)</f>
        <v>0</v>
      </c>
      <c r="Z131" s="60">
        <f>IF($K131&lt;&gt;"N/A",$M131*(VLOOKUP($L131,'GPU Specs &amp; Ratios'!$B$2:$I$8,8,FALSE)),0)</f>
        <v>0</v>
      </c>
      <c r="AA131" s="60">
        <f>(C131/D131)*VLOOKUP($E131,'AWS Platforms Ratios'!$A$2:$O$25,15,FALSE)</f>
        <v>4.6</v>
      </c>
      <c r="AB131" s="60">
        <f t="shared" ref="AB131:AE131" si="130">O131+S131+W131+$AA131</f>
        <v>13.47427586</v>
      </c>
      <c r="AC131" s="60">
        <f t="shared" si="130"/>
        <v>21.66993103</v>
      </c>
      <c r="AD131" s="60">
        <f t="shared" si="130"/>
        <v>33.08955172</v>
      </c>
      <c r="AE131" s="60">
        <f t="shared" si="130"/>
        <v>45.19671552</v>
      </c>
      <c r="AF131" s="60">
        <f>IF(G131&gt;'Scope 3 Ratios'!$B$5,(G131-'Scope 3 Ratios'!$B$5)*('Scope 3 Ratios'!$B$6/'Scope 3 Ratios'!$B$5),0)</f>
        <v>316.2132</v>
      </c>
      <c r="AG131" s="60">
        <f>J131*IF(I131="SSD",'Scope 3 Ratios'!$B$9,'Scope 3 Ratios'!$B$8)</f>
        <v>800</v>
      </c>
      <c r="AH131" s="60">
        <f>IF(K131&lt;&gt;"N/A",K131*'Scope 3 Ratios'!$B$10,0)</f>
        <v>0</v>
      </c>
      <c r="AI131" s="60">
        <f>(VLOOKUP($E131,'AWS Platforms Ratios'!$A$2:$O$25,3,FALSE)-1)*'Scope 3 Ratios'!$B$7</f>
        <v>100</v>
      </c>
      <c r="AJ131" s="60">
        <f>'Scope 3 Ratios'!$B$2+AF131+AG131+AH131+AI131</f>
        <v>2216.2132</v>
      </c>
      <c r="AK131" s="60">
        <f>AJ131*'Scope 3 Ratios'!$B$4*(C131/D131)</f>
        <v>6.412653935</v>
      </c>
      <c r="AL131" s="61" t="s">
        <v>329</v>
      </c>
    </row>
    <row r="132" ht="15.0" customHeight="1">
      <c r="A132" s="56" t="s">
        <v>330</v>
      </c>
      <c r="B132" s="56" t="s">
        <v>327</v>
      </c>
      <c r="C132" s="56">
        <v>8.0</v>
      </c>
      <c r="D132" s="56">
        <f>VLOOKUP(E132,'AWS Platforms Ratios'!$A$2:$B$25,2,FALSE)</f>
        <v>40</v>
      </c>
      <c r="E132" s="57" t="s">
        <v>259</v>
      </c>
      <c r="F132" s="56">
        <v>61.0</v>
      </c>
      <c r="G132" s="56">
        <v>244.0</v>
      </c>
      <c r="H132" s="57" t="s">
        <v>331</v>
      </c>
      <c r="I132" s="56" t="s">
        <v>85</v>
      </c>
      <c r="J132" s="56">
        <v>8.0</v>
      </c>
      <c r="K132" s="58" t="s">
        <v>73</v>
      </c>
      <c r="L132" s="58" t="s">
        <v>73</v>
      </c>
      <c r="M132" s="58" t="s">
        <v>73</v>
      </c>
      <c r="N132" s="58" t="s">
        <v>73</v>
      </c>
      <c r="O132" s="59">
        <f>($C132/$D132)*VLOOKUP($E132,'AWS Platforms Ratios'!$A$2:$O$25,7,FALSE)</f>
        <v>5.548551724</v>
      </c>
      <c r="P132" s="59">
        <f>($C132/$D132)*VLOOKUP($E132,'AWS Platforms Ratios'!$A$2:$O$25,8,FALSE)</f>
        <v>15.83986207</v>
      </c>
      <c r="Q132" s="59">
        <f>($C132/$D132)*VLOOKUP($E132,'AWS Platforms Ratios'!$A$2:$O$25,9,FALSE)</f>
        <v>32.57910345</v>
      </c>
      <c r="R132" s="59">
        <f>($C132/$D132)*VLOOKUP($E132,'AWS Platforms Ratios'!$A$2:$O$25,10,FALSE)</f>
        <v>44.59343103</v>
      </c>
      <c r="S132" s="59">
        <f>$F132*VLOOKUP($E132,'AWS Platforms Ratios'!$A$2:$O$25,11,FALSE)</f>
        <v>12.2</v>
      </c>
      <c r="T132" s="59">
        <f>$F132*VLOOKUP($E132,'AWS Platforms Ratios'!$A$2:$O$25,12,FALSE)</f>
        <v>18.3</v>
      </c>
      <c r="U132" s="59">
        <f>$F132*VLOOKUP($E132,'AWS Platforms Ratios'!$A$2:$O$25,13,FALSE)</f>
        <v>24.4</v>
      </c>
      <c r="V132" s="59">
        <f>$F132*VLOOKUP($E132,'AWS Platforms Ratios'!$A$2:$O$25,14,FALSE)</f>
        <v>36.6</v>
      </c>
      <c r="W132" s="60">
        <f>IF($K132&lt;&gt;"N/A",$M132*(VLOOKUP($L132,'GPU Specs &amp; Ratios'!$B$2:$I$8,5,FALSE)),0)</f>
        <v>0</v>
      </c>
      <c r="X132" s="60">
        <f>IF($K132&lt;&gt;"N/A",$M132*(VLOOKUP($L132,'GPU Specs &amp; Ratios'!$B$2:$I$8,6,FALSE)),0)</f>
        <v>0</v>
      </c>
      <c r="Y132" s="60">
        <f>IF($K132&lt;&gt;"N/A",$M132*(VLOOKUP($L132,'GPU Specs &amp; Ratios'!$B$2:$I$8,7,FALSE)),0)</f>
        <v>0</v>
      </c>
      <c r="Z132" s="60">
        <f>IF($K132&lt;&gt;"N/A",$M132*(VLOOKUP($L132,'GPU Specs &amp; Ratios'!$B$2:$I$8,8,FALSE)),0)</f>
        <v>0</v>
      </c>
      <c r="AA132" s="60">
        <f>(C132/D132)*VLOOKUP($E132,'AWS Platforms Ratios'!$A$2:$O$25,15,FALSE)</f>
        <v>9.2</v>
      </c>
      <c r="AB132" s="60">
        <f t="shared" ref="AB132:AE132" si="131">O132+S132+W132+$AA132</f>
        <v>26.94855172</v>
      </c>
      <c r="AC132" s="60">
        <f t="shared" si="131"/>
        <v>43.33986207</v>
      </c>
      <c r="AD132" s="60">
        <f t="shared" si="131"/>
        <v>66.17910345</v>
      </c>
      <c r="AE132" s="60">
        <f t="shared" si="131"/>
        <v>90.39343103</v>
      </c>
      <c r="AF132" s="60">
        <f>IF(G132&gt;'Scope 3 Ratios'!$B$5,(G132-'Scope 3 Ratios'!$B$5)*('Scope 3 Ratios'!$B$6/'Scope 3 Ratios'!$B$5),0)</f>
        <v>316.2132</v>
      </c>
      <c r="AG132" s="60">
        <f>J132*IF(I132="SSD",'Scope 3 Ratios'!$B$9,'Scope 3 Ratios'!$B$8)</f>
        <v>800</v>
      </c>
      <c r="AH132" s="60">
        <f>IF(K132&lt;&gt;"N/A",K132*'Scope 3 Ratios'!$B$10,0)</f>
        <v>0</v>
      </c>
      <c r="AI132" s="60">
        <f>(VLOOKUP($E132,'AWS Platforms Ratios'!$A$2:$O$25,3,FALSE)-1)*'Scope 3 Ratios'!$B$7</f>
        <v>100</v>
      </c>
      <c r="AJ132" s="60">
        <f>'Scope 3 Ratios'!$B$2+AF132+AG132+AH132+AI132</f>
        <v>2216.2132</v>
      </c>
      <c r="AK132" s="60">
        <f>AJ132*'Scope 3 Ratios'!$B$4*(C132/D132)</f>
        <v>12.82530787</v>
      </c>
      <c r="AL132" s="61" t="s">
        <v>329</v>
      </c>
    </row>
    <row r="133" ht="15.0" customHeight="1">
      <c r="A133" s="56" t="s">
        <v>332</v>
      </c>
      <c r="B133" s="56" t="s">
        <v>327</v>
      </c>
      <c r="C133" s="56">
        <v>16.0</v>
      </c>
      <c r="D133" s="56">
        <f>VLOOKUP(E133,'AWS Platforms Ratios'!$A$2:$B$25,2,FALSE)</f>
        <v>40</v>
      </c>
      <c r="E133" s="57" t="s">
        <v>259</v>
      </c>
      <c r="F133" s="56">
        <v>122.0</v>
      </c>
      <c r="G133" s="56">
        <v>244.0</v>
      </c>
      <c r="H133" s="57" t="s">
        <v>333</v>
      </c>
      <c r="I133" s="56" t="s">
        <v>85</v>
      </c>
      <c r="J133" s="56">
        <v>8.0</v>
      </c>
      <c r="K133" s="58" t="s">
        <v>73</v>
      </c>
      <c r="L133" s="58" t="s">
        <v>73</v>
      </c>
      <c r="M133" s="58" t="s">
        <v>73</v>
      </c>
      <c r="N133" s="58" t="s">
        <v>73</v>
      </c>
      <c r="O133" s="59">
        <f>($C133/$D133)*VLOOKUP($E133,'AWS Platforms Ratios'!$A$2:$O$25,7,FALSE)</f>
        <v>11.09710345</v>
      </c>
      <c r="P133" s="59">
        <f>($C133/$D133)*VLOOKUP($E133,'AWS Platforms Ratios'!$A$2:$O$25,8,FALSE)</f>
        <v>31.67972414</v>
      </c>
      <c r="Q133" s="59">
        <f>($C133/$D133)*VLOOKUP($E133,'AWS Platforms Ratios'!$A$2:$O$25,9,FALSE)</f>
        <v>65.1582069</v>
      </c>
      <c r="R133" s="59">
        <f>($C133/$D133)*VLOOKUP($E133,'AWS Platforms Ratios'!$A$2:$O$25,10,FALSE)</f>
        <v>89.18686207</v>
      </c>
      <c r="S133" s="59">
        <f>$F133*VLOOKUP($E133,'AWS Platforms Ratios'!$A$2:$O$25,11,FALSE)</f>
        <v>24.4</v>
      </c>
      <c r="T133" s="59">
        <f>$F133*VLOOKUP($E133,'AWS Platforms Ratios'!$A$2:$O$25,12,FALSE)</f>
        <v>36.6</v>
      </c>
      <c r="U133" s="59">
        <f>$F133*VLOOKUP($E133,'AWS Platforms Ratios'!$A$2:$O$25,13,FALSE)</f>
        <v>48.8</v>
      </c>
      <c r="V133" s="59">
        <f>$F133*VLOOKUP($E133,'AWS Platforms Ratios'!$A$2:$O$25,14,FALSE)</f>
        <v>73.2</v>
      </c>
      <c r="W133" s="60">
        <f>IF($K133&lt;&gt;"N/A",$M133*(VLOOKUP($L133,'GPU Specs &amp; Ratios'!$B$2:$I$8,5,FALSE)),0)</f>
        <v>0</v>
      </c>
      <c r="X133" s="60">
        <f>IF($K133&lt;&gt;"N/A",$M133*(VLOOKUP($L133,'GPU Specs &amp; Ratios'!$B$2:$I$8,6,FALSE)),0)</f>
        <v>0</v>
      </c>
      <c r="Y133" s="60">
        <f>IF($K133&lt;&gt;"N/A",$M133*(VLOOKUP($L133,'GPU Specs &amp; Ratios'!$B$2:$I$8,7,FALSE)),0)</f>
        <v>0</v>
      </c>
      <c r="Z133" s="60">
        <f>IF($K133&lt;&gt;"N/A",$M133*(VLOOKUP($L133,'GPU Specs &amp; Ratios'!$B$2:$I$8,8,FALSE)),0)</f>
        <v>0</v>
      </c>
      <c r="AA133" s="60">
        <f>(C133/D133)*VLOOKUP($E133,'AWS Platforms Ratios'!$A$2:$O$25,15,FALSE)</f>
        <v>18.4</v>
      </c>
      <c r="AB133" s="60">
        <f t="shared" ref="AB133:AE133" si="132">O133+S133+W133+$AA133</f>
        <v>53.89710345</v>
      </c>
      <c r="AC133" s="60">
        <f t="shared" si="132"/>
        <v>86.67972414</v>
      </c>
      <c r="AD133" s="60">
        <f t="shared" si="132"/>
        <v>132.3582069</v>
      </c>
      <c r="AE133" s="60">
        <f t="shared" si="132"/>
        <v>180.7868621</v>
      </c>
      <c r="AF133" s="60">
        <f>IF(G133&gt;'Scope 3 Ratios'!$B$5,(G133-'Scope 3 Ratios'!$B$5)*('Scope 3 Ratios'!$B$6/'Scope 3 Ratios'!$B$5),0)</f>
        <v>316.2132</v>
      </c>
      <c r="AG133" s="60">
        <f>J133*IF(I133="SSD",'Scope 3 Ratios'!$B$9,'Scope 3 Ratios'!$B$8)</f>
        <v>800</v>
      </c>
      <c r="AH133" s="60">
        <f>IF(K133&lt;&gt;"N/A",K133*'Scope 3 Ratios'!$B$10,0)</f>
        <v>0</v>
      </c>
      <c r="AI133" s="60">
        <f>(VLOOKUP($E133,'AWS Platforms Ratios'!$A$2:$O$25,3,FALSE)-1)*'Scope 3 Ratios'!$B$7</f>
        <v>100</v>
      </c>
      <c r="AJ133" s="60">
        <f>'Scope 3 Ratios'!$B$2+AF133+AG133+AH133+AI133</f>
        <v>2216.2132</v>
      </c>
      <c r="AK133" s="60">
        <f>AJ133*'Scope 3 Ratios'!$B$4*(C133/D133)</f>
        <v>25.65061574</v>
      </c>
      <c r="AL133" s="61" t="s">
        <v>329</v>
      </c>
    </row>
    <row r="134" ht="15.0" customHeight="1">
      <c r="A134" s="56" t="s">
        <v>334</v>
      </c>
      <c r="B134" s="56" t="s">
        <v>327</v>
      </c>
      <c r="C134" s="56">
        <v>32.0</v>
      </c>
      <c r="D134" s="56">
        <f>VLOOKUP(E134,'AWS Platforms Ratios'!$A$2:$B$25,2,FALSE)</f>
        <v>40</v>
      </c>
      <c r="E134" s="57" t="s">
        <v>259</v>
      </c>
      <c r="F134" s="56">
        <v>244.0</v>
      </c>
      <c r="G134" s="56">
        <v>244.0</v>
      </c>
      <c r="H134" s="57" t="s">
        <v>335</v>
      </c>
      <c r="I134" s="56" t="s">
        <v>85</v>
      </c>
      <c r="J134" s="56">
        <v>8.0</v>
      </c>
      <c r="K134" s="58" t="s">
        <v>73</v>
      </c>
      <c r="L134" s="58" t="s">
        <v>73</v>
      </c>
      <c r="M134" s="58" t="s">
        <v>73</v>
      </c>
      <c r="N134" s="58" t="s">
        <v>73</v>
      </c>
      <c r="O134" s="59">
        <f>($C134/$D134)*VLOOKUP($E134,'AWS Platforms Ratios'!$A$2:$O$25,7,FALSE)</f>
        <v>22.1942069</v>
      </c>
      <c r="P134" s="59">
        <f>($C134/$D134)*VLOOKUP($E134,'AWS Platforms Ratios'!$A$2:$O$25,8,FALSE)</f>
        <v>63.35944828</v>
      </c>
      <c r="Q134" s="59">
        <f>($C134/$D134)*VLOOKUP($E134,'AWS Platforms Ratios'!$A$2:$O$25,9,FALSE)</f>
        <v>130.3164138</v>
      </c>
      <c r="R134" s="59">
        <f>($C134/$D134)*VLOOKUP($E134,'AWS Platforms Ratios'!$A$2:$O$25,10,FALSE)</f>
        <v>178.3737241</v>
      </c>
      <c r="S134" s="59">
        <f>$F134*VLOOKUP($E134,'AWS Platforms Ratios'!$A$2:$O$25,11,FALSE)</f>
        <v>48.8</v>
      </c>
      <c r="T134" s="59">
        <f>$F134*VLOOKUP($E134,'AWS Platforms Ratios'!$A$2:$O$25,12,FALSE)</f>
        <v>73.2</v>
      </c>
      <c r="U134" s="59">
        <f>$F134*VLOOKUP($E134,'AWS Platforms Ratios'!$A$2:$O$25,13,FALSE)</f>
        <v>97.6</v>
      </c>
      <c r="V134" s="59">
        <f>$F134*VLOOKUP($E134,'AWS Platforms Ratios'!$A$2:$O$25,14,FALSE)</f>
        <v>146.4</v>
      </c>
      <c r="W134" s="60">
        <f>IF($K134&lt;&gt;"N/A",$M134*(VLOOKUP($L134,'GPU Specs &amp; Ratios'!$B$2:$I$8,5,FALSE)),0)</f>
        <v>0</v>
      </c>
      <c r="X134" s="60">
        <f>IF($K134&lt;&gt;"N/A",$M134*(VLOOKUP($L134,'GPU Specs &amp; Ratios'!$B$2:$I$8,6,FALSE)),0)</f>
        <v>0</v>
      </c>
      <c r="Y134" s="60">
        <f>IF($K134&lt;&gt;"N/A",$M134*(VLOOKUP($L134,'GPU Specs &amp; Ratios'!$B$2:$I$8,7,FALSE)),0)</f>
        <v>0</v>
      </c>
      <c r="Z134" s="60">
        <f>IF($K134&lt;&gt;"N/A",$M134*(VLOOKUP($L134,'GPU Specs &amp; Ratios'!$B$2:$I$8,8,FALSE)),0)</f>
        <v>0</v>
      </c>
      <c r="AA134" s="60">
        <f>(C134/D134)*VLOOKUP($E134,'AWS Platforms Ratios'!$A$2:$O$25,15,FALSE)</f>
        <v>36.8</v>
      </c>
      <c r="AB134" s="60">
        <f t="shared" ref="AB134:AE134" si="133">O134+S134+W134+$AA134</f>
        <v>107.7942069</v>
      </c>
      <c r="AC134" s="60">
        <f t="shared" si="133"/>
        <v>173.3594483</v>
      </c>
      <c r="AD134" s="60">
        <f t="shared" si="133"/>
        <v>264.7164138</v>
      </c>
      <c r="AE134" s="60">
        <f t="shared" si="133"/>
        <v>361.5737241</v>
      </c>
      <c r="AF134" s="60">
        <f>IF(G134&gt;'Scope 3 Ratios'!$B$5,(G134-'Scope 3 Ratios'!$B$5)*('Scope 3 Ratios'!$B$6/'Scope 3 Ratios'!$B$5),0)</f>
        <v>316.2132</v>
      </c>
      <c r="AG134" s="60">
        <f>J134*IF(I134="SSD",'Scope 3 Ratios'!$B$9,'Scope 3 Ratios'!$B$8)</f>
        <v>800</v>
      </c>
      <c r="AH134" s="60">
        <f>IF(K134&lt;&gt;"N/A",K134*'Scope 3 Ratios'!$B$10,0)</f>
        <v>0</v>
      </c>
      <c r="AI134" s="60">
        <f>(VLOOKUP($E134,'AWS Platforms Ratios'!$A$2:$O$25,3,FALSE)-1)*'Scope 3 Ratios'!$B$7</f>
        <v>100</v>
      </c>
      <c r="AJ134" s="60">
        <f>'Scope 3 Ratios'!$B$2+AF134+AG134+AH134+AI134</f>
        <v>2216.2132</v>
      </c>
      <c r="AK134" s="60">
        <f>AJ134*'Scope 3 Ratios'!$B$4*(C134/D134)</f>
        <v>51.30123148</v>
      </c>
      <c r="AL134" s="61" t="s">
        <v>329</v>
      </c>
    </row>
    <row r="135" ht="15.0" customHeight="1">
      <c r="A135" s="56" t="s">
        <v>336</v>
      </c>
      <c r="B135" s="56" t="s">
        <v>119</v>
      </c>
      <c r="C135" s="56">
        <v>2.0</v>
      </c>
      <c r="D135" s="56">
        <f>VLOOKUP(E135,'AWS Platforms Ratios'!$A$2:$B$25,2,FALSE)</f>
        <v>72</v>
      </c>
      <c r="E135" s="57" t="s">
        <v>269</v>
      </c>
      <c r="F135" s="56">
        <v>15.25</v>
      </c>
      <c r="G135" s="56">
        <v>512.0</v>
      </c>
      <c r="H135" s="57" t="s">
        <v>337</v>
      </c>
      <c r="I135" s="56" t="s">
        <v>85</v>
      </c>
      <c r="J135" s="56">
        <v>8.0</v>
      </c>
      <c r="K135" s="58" t="s">
        <v>73</v>
      </c>
      <c r="L135" s="58" t="s">
        <v>73</v>
      </c>
      <c r="M135" s="58" t="s">
        <v>73</v>
      </c>
      <c r="N135" s="58" t="s">
        <v>73</v>
      </c>
      <c r="O135" s="59">
        <f>($C135/$D135)*VLOOKUP($E135,'AWS Platforms Ratios'!$A$2:$O$25,7,FALSE)</f>
        <v>0.9716666667</v>
      </c>
      <c r="P135" s="59">
        <f>($C135/$D135)*VLOOKUP($E135,'AWS Platforms Ratios'!$A$2:$O$25,8,FALSE)</f>
        <v>2.773888889</v>
      </c>
      <c r="Q135" s="59">
        <f>($C135/$D135)*VLOOKUP($E135,'AWS Platforms Ratios'!$A$2:$O$25,9,FALSE)</f>
        <v>5.705277778</v>
      </c>
      <c r="R135" s="59">
        <f>($C135/$D135)*VLOOKUP($E135,'AWS Platforms Ratios'!$A$2:$O$25,10,FALSE)</f>
        <v>7.809236111</v>
      </c>
      <c r="S135" s="59">
        <f>$F135*VLOOKUP($E135,'AWS Platforms Ratios'!$A$2:$O$25,11,FALSE)</f>
        <v>3.05</v>
      </c>
      <c r="T135" s="59">
        <f>$F135*VLOOKUP($E135,'AWS Platforms Ratios'!$A$2:$O$25,12,FALSE)</f>
        <v>4.575</v>
      </c>
      <c r="U135" s="59">
        <f>$F135*VLOOKUP($E135,'AWS Platforms Ratios'!$A$2:$O$25,13,FALSE)</f>
        <v>6.1</v>
      </c>
      <c r="V135" s="59">
        <f>$F135*VLOOKUP($E135,'AWS Platforms Ratios'!$A$2:$O$25,14,FALSE)</f>
        <v>9.15</v>
      </c>
      <c r="W135" s="60">
        <f>IF($K135&lt;&gt;"N/A",$M135*(VLOOKUP($L135,'GPU Specs &amp; Ratios'!$B$2:$I$8,5,FALSE)),0)</f>
        <v>0</v>
      </c>
      <c r="X135" s="60">
        <f>IF($K135&lt;&gt;"N/A",$M135*(VLOOKUP($L135,'GPU Specs &amp; Ratios'!$B$2:$I$8,6,FALSE)),0)</f>
        <v>0</v>
      </c>
      <c r="Y135" s="60">
        <f>IF($K135&lt;&gt;"N/A",$M135*(VLOOKUP($L135,'GPU Specs &amp; Ratios'!$B$2:$I$8,7,FALSE)),0)</f>
        <v>0</v>
      </c>
      <c r="Z135" s="60">
        <f>IF($K135&lt;&gt;"N/A",$M135*(VLOOKUP($L135,'GPU Specs &amp; Ratios'!$B$2:$I$8,8,FALSE)),0)</f>
        <v>0</v>
      </c>
      <c r="AA135" s="60">
        <f>(C135/D135)*VLOOKUP($E135,'AWS Platforms Ratios'!$A$2:$O$25,15,FALSE)</f>
        <v>1.611111111</v>
      </c>
      <c r="AB135" s="60">
        <f t="shared" ref="AB135:AE135" si="134">O135+S135+W135+$AA135</f>
        <v>5.632777778</v>
      </c>
      <c r="AC135" s="60">
        <f t="shared" si="134"/>
        <v>8.96</v>
      </c>
      <c r="AD135" s="60">
        <f t="shared" si="134"/>
        <v>13.41638889</v>
      </c>
      <c r="AE135" s="60">
        <f t="shared" si="134"/>
        <v>18.57034722</v>
      </c>
      <c r="AF135" s="60">
        <f>IF(G135&gt;'Scope 3 Ratios'!$B$5,(G135-'Scope 3 Ratios'!$B$5)*('Scope 3 Ratios'!$B$6/'Scope 3 Ratios'!$B$5),0)</f>
        <v>687.9024</v>
      </c>
      <c r="AG135" s="60">
        <f>J135*IF(I135="SSD",'Scope 3 Ratios'!$B$9,'Scope 3 Ratios'!$B$8)</f>
        <v>800</v>
      </c>
      <c r="AH135" s="60">
        <f>IF(K135&lt;&gt;"N/A",K135*'Scope 3 Ratios'!$B$10,0)</f>
        <v>0</v>
      </c>
      <c r="AI135" s="60">
        <f>(VLOOKUP($E135,'AWS Platforms Ratios'!$A$2:$O$25,3,FALSE)-1)*'Scope 3 Ratios'!$B$7</f>
        <v>100</v>
      </c>
      <c r="AJ135" s="60">
        <f>'Scope 3 Ratios'!$B$2+AF135+AG135+AH135+AI135</f>
        <v>2587.9024</v>
      </c>
      <c r="AK135" s="60">
        <f>AJ135*'Scope 3 Ratios'!$B$4*(C135/D135)</f>
        <v>2.080039866</v>
      </c>
      <c r="AL135" s="61" t="s">
        <v>315</v>
      </c>
    </row>
    <row r="136" ht="15.0" customHeight="1">
      <c r="A136" s="56" t="s">
        <v>338</v>
      </c>
      <c r="B136" s="56" t="s">
        <v>119</v>
      </c>
      <c r="C136" s="56">
        <v>4.0</v>
      </c>
      <c r="D136" s="56">
        <f>VLOOKUP(E136,'AWS Platforms Ratios'!$A$2:$B$25,2,FALSE)</f>
        <v>72</v>
      </c>
      <c r="E136" s="57" t="s">
        <v>269</v>
      </c>
      <c r="F136" s="56">
        <v>30.5</v>
      </c>
      <c r="G136" s="56">
        <v>512.0</v>
      </c>
      <c r="H136" s="57" t="s">
        <v>208</v>
      </c>
      <c r="I136" s="56" t="s">
        <v>85</v>
      </c>
      <c r="J136" s="56">
        <v>8.0</v>
      </c>
      <c r="K136" s="58" t="s">
        <v>73</v>
      </c>
      <c r="L136" s="58" t="s">
        <v>73</v>
      </c>
      <c r="M136" s="58" t="s">
        <v>73</v>
      </c>
      <c r="N136" s="58" t="s">
        <v>73</v>
      </c>
      <c r="O136" s="59">
        <f>($C136/$D136)*VLOOKUP($E136,'AWS Platforms Ratios'!$A$2:$O$25,7,FALSE)</f>
        <v>1.943333333</v>
      </c>
      <c r="P136" s="59">
        <f>($C136/$D136)*VLOOKUP($E136,'AWS Platforms Ratios'!$A$2:$O$25,8,FALSE)</f>
        <v>5.547777778</v>
      </c>
      <c r="Q136" s="59">
        <f>($C136/$D136)*VLOOKUP($E136,'AWS Platforms Ratios'!$A$2:$O$25,9,FALSE)</f>
        <v>11.41055556</v>
      </c>
      <c r="R136" s="59">
        <f>($C136/$D136)*VLOOKUP($E136,'AWS Platforms Ratios'!$A$2:$O$25,10,FALSE)</f>
        <v>15.61847222</v>
      </c>
      <c r="S136" s="59">
        <f>$F136*VLOOKUP($E136,'AWS Platforms Ratios'!$A$2:$O$25,11,FALSE)</f>
        <v>6.1</v>
      </c>
      <c r="T136" s="59">
        <f>$F136*VLOOKUP($E136,'AWS Platforms Ratios'!$A$2:$O$25,12,FALSE)</f>
        <v>9.15</v>
      </c>
      <c r="U136" s="59">
        <f>$F136*VLOOKUP($E136,'AWS Platforms Ratios'!$A$2:$O$25,13,FALSE)</f>
        <v>12.2</v>
      </c>
      <c r="V136" s="59">
        <f>$F136*VLOOKUP($E136,'AWS Platforms Ratios'!$A$2:$O$25,14,FALSE)</f>
        <v>18.3</v>
      </c>
      <c r="W136" s="60">
        <f>IF($K136&lt;&gt;"N/A",$M136*(VLOOKUP($L136,'GPU Specs &amp; Ratios'!$B$2:$I$8,5,FALSE)),0)</f>
        <v>0</v>
      </c>
      <c r="X136" s="60">
        <f>IF($K136&lt;&gt;"N/A",$M136*(VLOOKUP($L136,'GPU Specs &amp; Ratios'!$B$2:$I$8,6,FALSE)),0)</f>
        <v>0</v>
      </c>
      <c r="Y136" s="60">
        <f>IF($K136&lt;&gt;"N/A",$M136*(VLOOKUP($L136,'GPU Specs &amp; Ratios'!$B$2:$I$8,7,FALSE)),0)</f>
        <v>0</v>
      </c>
      <c r="Z136" s="60">
        <f>IF($K136&lt;&gt;"N/A",$M136*(VLOOKUP($L136,'GPU Specs &amp; Ratios'!$B$2:$I$8,8,FALSE)),0)</f>
        <v>0</v>
      </c>
      <c r="AA136" s="60">
        <f>(C136/D136)*VLOOKUP($E136,'AWS Platforms Ratios'!$A$2:$O$25,15,FALSE)</f>
        <v>3.222222222</v>
      </c>
      <c r="AB136" s="60">
        <f t="shared" ref="AB136:AE136" si="135">O136+S136+W136+$AA136</f>
        <v>11.26555556</v>
      </c>
      <c r="AC136" s="60">
        <f t="shared" si="135"/>
        <v>17.92</v>
      </c>
      <c r="AD136" s="60">
        <f t="shared" si="135"/>
        <v>26.83277778</v>
      </c>
      <c r="AE136" s="60">
        <f t="shared" si="135"/>
        <v>37.14069444</v>
      </c>
      <c r="AF136" s="60">
        <f>IF(G136&gt;'Scope 3 Ratios'!$B$5,(G136-'Scope 3 Ratios'!$B$5)*('Scope 3 Ratios'!$B$6/'Scope 3 Ratios'!$B$5),0)</f>
        <v>687.9024</v>
      </c>
      <c r="AG136" s="60">
        <f>J136*IF(I136="SSD",'Scope 3 Ratios'!$B$9,'Scope 3 Ratios'!$B$8)</f>
        <v>800</v>
      </c>
      <c r="AH136" s="60">
        <f>IF(K136&lt;&gt;"N/A",K136*'Scope 3 Ratios'!$B$10,0)</f>
        <v>0</v>
      </c>
      <c r="AI136" s="60">
        <f>(VLOOKUP($E136,'AWS Platforms Ratios'!$A$2:$O$25,3,FALSE)-1)*'Scope 3 Ratios'!$B$7</f>
        <v>100</v>
      </c>
      <c r="AJ136" s="60">
        <f>'Scope 3 Ratios'!$B$2+AF136+AG136+AH136+AI136</f>
        <v>2587.9024</v>
      </c>
      <c r="AK136" s="60">
        <f>AJ136*'Scope 3 Ratios'!$B$4*(C136/D136)</f>
        <v>4.160079733</v>
      </c>
      <c r="AL136" s="61" t="s">
        <v>315</v>
      </c>
    </row>
    <row r="137" ht="15.0" customHeight="1">
      <c r="A137" s="56" t="s">
        <v>339</v>
      </c>
      <c r="B137" s="56" t="s">
        <v>119</v>
      </c>
      <c r="C137" s="56">
        <v>8.0</v>
      </c>
      <c r="D137" s="56">
        <f>VLOOKUP(E137,'AWS Platforms Ratios'!$A$2:$B$25,2,FALSE)</f>
        <v>72</v>
      </c>
      <c r="E137" s="57" t="s">
        <v>269</v>
      </c>
      <c r="F137" s="56">
        <v>61.0</v>
      </c>
      <c r="G137" s="56">
        <v>512.0</v>
      </c>
      <c r="H137" s="57" t="s">
        <v>340</v>
      </c>
      <c r="I137" s="56" t="s">
        <v>85</v>
      </c>
      <c r="J137" s="56">
        <v>8.0</v>
      </c>
      <c r="K137" s="58" t="s">
        <v>73</v>
      </c>
      <c r="L137" s="58" t="s">
        <v>73</v>
      </c>
      <c r="M137" s="58" t="s">
        <v>73</v>
      </c>
      <c r="N137" s="58" t="s">
        <v>73</v>
      </c>
      <c r="O137" s="59">
        <f>($C137/$D137)*VLOOKUP($E137,'AWS Platforms Ratios'!$A$2:$O$25,7,FALSE)</f>
        <v>3.886666667</v>
      </c>
      <c r="P137" s="59">
        <f>($C137/$D137)*VLOOKUP($E137,'AWS Platforms Ratios'!$A$2:$O$25,8,FALSE)</f>
        <v>11.09555556</v>
      </c>
      <c r="Q137" s="59">
        <f>($C137/$D137)*VLOOKUP($E137,'AWS Platforms Ratios'!$A$2:$O$25,9,FALSE)</f>
        <v>22.82111111</v>
      </c>
      <c r="R137" s="59">
        <f>($C137/$D137)*VLOOKUP($E137,'AWS Platforms Ratios'!$A$2:$O$25,10,FALSE)</f>
        <v>31.23694444</v>
      </c>
      <c r="S137" s="59">
        <f>$F137*VLOOKUP($E137,'AWS Platforms Ratios'!$A$2:$O$25,11,FALSE)</f>
        <v>12.2</v>
      </c>
      <c r="T137" s="59">
        <f>$F137*VLOOKUP($E137,'AWS Platforms Ratios'!$A$2:$O$25,12,FALSE)</f>
        <v>18.3</v>
      </c>
      <c r="U137" s="59">
        <f>$F137*VLOOKUP($E137,'AWS Platforms Ratios'!$A$2:$O$25,13,FALSE)</f>
        <v>24.4</v>
      </c>
      <c r="V137" s="59">
        <f>$F137*VLOOKUP($E137,'AWS Platforms Ratios'!$A$2:$O$25,14,FALSE)</f>
        <v>36.6</v>
      </c>
      <c r="W137" s="60">
        <f>IF($K137&lt;&gt;"N/A",$M137*(VLOOKUP($L137,'GPU Specs &amp; Ratios'!$B$2:$I$8,5,FALSE)),0)</f>
        <v>0</v>
      </c>
      <c r="X137" s="60">
        <f>IF($K137&lt;&gt;"N/A",$M137*(VLOOKUP($L137,'GPU Specs &amp; Ratios'!$B$2:$I$8,6,FALSE)),0)</f>
        <v>0</v>
      </c>
      <c r="Y137" s="60">
        <f>IF($K137&lt;&gt;"N/A",$M137*(VLOOKUP($L137,'GPU Specs &amp; Ratios'!$B$2:$I$8,7,FALSE)),0)</f>
        <v>0</v>
      </c>
      <c r="Z137" s="60">
        <f>IF($K137&lt;&gt;"N/A",$M137*(VLOOKUP($L137,'GPU Specs &amp; Ratios'!$B$2:$I$8,8,FALSE)),0)</f>
        <v>0</v>
      </c>
      <c r="AA137" s="60">
        <f>(C137/D137)*VLOOKUP($E137,'AWS Platforms Ratios'!$A$2:$O$25,15,FALSE)</f>
        <v>6.444444444</v>
      </c>
      <c r="AB137" s="60">
        <f t="shared" ref="AB137:AE137" si="136">O137+S137+W137+$AA137</f>
        <v>22.53111111</v>
      </c>
      <c r="AC137" s="60">
        <f t="shared" si="136"/>
        <v>35.84</v>
      </c>
      <c r="AD137" s="60">
        <f t="shared" si="136"/>
        <v>53.66555556</v>
      </c>
      <c r="AE137" s="60">
        <f t="shared" si="136"/>
        <v>74.28138889</v>
      </c>
      <c r="AF137" s="60">
        <f>IF(G137&gt;'Scope 3 Ratios'!$B$5,(G137-'Scope 3 Ratios'!$B$5)*('Scope 3 Ratios'!$B$6/'Scope 3 Ratios'!$B$5),0)</f>
        <v>687.9024</v>
      </c>
      <c r="AG137" s="60">
        <f>J137*IF(I137="SSD",'Scope 3 Ratios'!$B$9,'Scope 3 Ratios'!$B$8)</f>
        <v>800</v>
      </c>
      <c r="AH137" s="60">
        <f>IF(K137&lt;&gt;"N/A",K137*'Scope 3 Ratios'!$B$10,0)</f>
        <v>0</v>
      </c>
      <c r="AI137" s="60">
        <f>(VLOOKUP($E137,'AWS Platforms Ratios'!$A$2:$O$25,3,FALSE)-1)*'Scope 3 Ratios'!$B$7</f>
        <v>100</v>
      </c>
      <c r="AJ137" s="60">
        <f>'Scope 3 Ratios'!$B$2+AF137+AG137+AH137+AI137</f>
        <v>2587.9024</v>
      </c>
      <c r="AK137" s="60">
        <f>AJ137*'Scope 3 Ratios'!$B$4*(C137/D137)</f>
        <v>8.320159465</v>
      </c>
      <c r="AL137" s="61" t="s">
        <v>315</v>
      </c>
    </row>
    <row r="138" ht="15.0" customHeight="1">
      <c r="A138" s="56" t="s">
        <v>341</v>
      </c>
      <c r="B138" s="56" t="s">
        <v>119</v>
      </c>
      <c r="C138" s="56">
        <v>16.0</v>
      </c>
      <c r="D138" s="56">
        <f>VLOOKUP(E138,'AWS Platforms Ratios'!$A$2:$B$25,2,FALSE)</f>
        <v>72</v>
      </c>
      <c r="E138" s="57" t="s">
        <v>269</v>
      </c>
      <c r="F138" s="56">
        <v>122.0</v>
      </c>
      <c r="G138" s="56">
        <v>512.0</v>
      </c>
      <c r="H138" s="57" t="s">
        <v>342</v>
      </c>
      <c r="I138" s="56" t="s">
        <v>85</v>
      </c>
      <c r="J138" s="56">
        <v>8.0</v>
      </c>
      <c r="K138" s="58" t="s">
        <v>73</v>
      </c>
      <c r="L138" s="58" t="s">
        <v>73</v>
      </c>
      <c r="M138" s="58" t="s">
        <v>73</v>
      </c>
      <c r="N138" s="58" t="s">
        <v>73</v>
      </c>
      <c r="O138" s="59">
        <f>($C138/$D138)*VLOOKUP($E138,'AWS Platforms Ratios'!$A$2:$O$25,7,FALSE)</f>
        <v>7.773333333</v>
      </c>
      <c r="P138" s="59">
        <f>($C138/$D138)*VLOOKUP($E138,'AWS Platforms Ratios'!$A$2:$O$25,8,FALSE)</f>
        <v>22.19111111</v>
      </c>
      <c r="Q138" s="59">
        <f>($C138/$D138)*VLOOKUP($E138,'AWS Platforms Ratios'!$A$2:$O$25,9,FALSE)</f>
        <v>45.64222222</v>
      </c>
      <c r="R138" s="59">
        <f>($C138/$D138)*VLOOKUP($E138,'AWS Platforms Ratios'!$A$2:$O$25,10,FALSE)</f>
        <v>62.47388889</v>
      </c>
      <c r="S138" s="59">
        <f>$F138*VLOOKUP($E138,'AWS Platforms Ratios'!$A$2:$O$25,11,FALSE)</f>
        <v>24.4</v>
      </c>
      <c r="T138" s="59">
        <f>$F138*VLOOKUP($E138,'AWS Platforms Ratios'!$A$2:$O$25,12,FALSE)</f>
        <v>36.6</v>
      </c>
      <c r="U138" s="59">
        <f>$F138*VLOOKUP($E138,'AWS Platforms Ratios'!$A$2:$O$25,13,FALSE)</f>
        <v>48.8</v>
      </c>
      <c r="V138" s="59">
        <f>$F138*VLOOKUP($E138,'AWS Platforms Ratios'!$A$2:$O$25,14,FALSE)</f>
        <v>73.2</v>
      </c>
      <c r="W138" s="60">
        <f>IF($K138&lt;&gt;"N/A",$M138*(VLOOKUP($L138,'GPU Specs &amp; Ratios'!$B$2:$I$8,5,FALSE)),0)</f>
        <v>0</v>
      </c>
      <c r="X138" s="60">
        <f>IF($K138&lt;&gt;"N/A",$M138*(VLOOKUP($L138,'GPU Specs &amp; Ratios'!$B$2:$I$8,6,FALSE)),0)</f>
        <v>0</v>
      </c>
      <c r="Y138" s="60">
        <f>IF($K138&lt;&gt;"N/A",$M138*(VLOOKUP($L138,'GPU Specs &amp; Ratios'!$B$2:$I$8,7,FALSE)),0)</f>
        <v>0</v>
      </c>
      <c r="Z138" s="60">
        <f>IF($K138&lt;&gt;"N/A",$M138*(VLOOKUP($L138,'GPU Specs &amp; Ratios'!$B$2:$I$8,8,FALSE)),0)</f>
        <v>0</v>
      </c>
      <c r="AA138" s="60">
        <f>(C138/D138)*VLOOKUP($E138,'AWS Platforms Ratios'!$A$2:$O$25,15,FALSE)</f>
        <v>12.88888889</v>
      </c>
      <c r="AB138" s="60">
        <f t="shared" ref="AB138:AE138" si="137">O138+S138+W138+$AA138</f>
        <v>45.06222222</v>
      </c>
      <c r="AC138" s="60">
        <f t="shared" si="137"/>
        <v>71.68</v>
      </c>
      <c r="AD138" s="60">
        <f t="shared" si="137"/>
        <v>107.3311111</v>
      </c>
      <c r="AE138" s="60">
        <f t="shared" si="137"/>
        <v>148.5627778</v>
      </c>
      <c r="AF138" s="60">
        <f>IF(G138&gt;'Scope 3 Ratios'!$B$5,(G138-'Scope 3 Ratios'!$B$5)*('Scope 3 Ratios'!$B$6/'Scope 3 Ratios'!$B$5),0)</f>
        <v>687.9024</v>
      </c>
      <c r="AG138" s="60">
        <f>J138*IF(I138="SSD",'Scope 3 Ratios'!$B$9,'Scope 3 Ratios'!$B$8)</f>
        <v>800</v>
      </c>
      <c r="AH138" s="60">
        <f>IF(K138&lt;&gt;"N/A",K138*'Scope 3 Ratios'!$B$10,0)</f>
        <v>0</v>
      </c>
      <c r="AI138" s="60">
        <f>(VLOOKUP($E138,'AWS Platforms Ratios'!$A$2:$O$25,3,FALSE)-1)*'Scope 3 Ratios'!$B$7</f>
        <v>100</v>
      </c>
      <c r="AJ138" s="60">
        <f>'Scope 3 Ratios'!$B$2+AF138+AG138+AH138+AI138</f>
        <v>2587.9024</v>
      </c>
      <c r="AK138" s="60">
        <f>AJ138*'Scope 3 Ratios'!$B$4*(C138/D138)</f>
        <v>16.64031893</v>
      </c>
      <c r="AL138" s="61" t="s">
        <v>315</v>
      </c>
    </row>
    <row r="139" ht="15.0" customHeight="1">
      <c r="A139" s="56" t="s">
        <v>343</v>
      </c>
      <c r="B139" s="56" t="s">
        <v>119</v>
      </c>
      <c r="C139" s="56">
        <v>32.0</v>
      </c>
      <c r="D139" s="56">
        <f>VLOOKUP(E139,'AWS Platforms Ratios'!$A$2:$B$25,2,FALSE)</f>
        <v>72</v>
      </c>
      <c r="E139" s="57" t="s">
        <v>269</v>
      </c>
      <c r="F139" s="56">
        <v>244.0</v>
      </c>
      <c r="G139" s="56">
        <v>512.0</v>
      </c>
      <c r="H139" s="57" t="s">
        <v>344</v>
      </c>
      <c r="I139" s="56" t="s">
        <v>85</v>
      </c>
      <c r="J139" s="56">
        <v>8.0</v>
      </c>
      <c r="K139" s="58" t="s">
        <v>73</v>
      </c>
      <c r="L139" s="58" t="s">
        <v>73</v>
      </c>
      <c r="M139" s="58" t="s">
        <v>73</v>
      </c>
      <c r="N139" s="58" t="s">
        <v>73</v>
      </c>
      <c r="O139" s="59">
        <f>($C139/$D139)*VLOOKUP($E139,'AWS Platforms Ratios'!$A$2:$O$25,7,FALSE)</f>
        <v>15.54666667</v>
      </c>
      <c r="P139" s="59">
        <f>($C139/$D139)*VLOOKUP($E139,'AWS Platforms Ratios'!$A$2:$O$25,8,FALSE)</f>
        <v>44.38222222</v>
      </c>
      <c r="Q139" s="59">
        <f>($C139/$D139)*VLOOKUP($E139,'AWS Platforms Ratios'!$A$2:$O$25,9,FALSE)</f>
        <v>91.28444444</v>
      </c>
      <c r="R139" s="59">
        <f>($C139/$D139)*VLOOKUP($E139,'AWS Platforms Ratios'!$A$2:$O$25,10,FALSE)</f>
        <v>124.9477778</v>
      </c>
      <c r="S139" s="59">
        <f>$F139*VLOOKUP($E139,'AWS Platforms Ratios'!$A$2:$O$25,11,FALSE)</f>
        <v>48.8</v>
      </c>
      <c r="T139" s="59">
        <f>$F139*VLOOKUP($E139,'AWS Platforms Ratios'!$A$2:$O$25,12,FALSE)</f>
        <v>73.2</v>
      </c>
      <c r="U139" s="59">
        <f>$F139*VLOOKUP($E139,'AWS Platforms Ratios'!$A$2:$O$25,13,FALSE)</f>
        <v>97.6</v>
      </c>
      <c r="V139" s="59">
        <f>$F139*VLOOKUP($E139,'AWS Platforms Ratios'!$A$2:$O$25,14,FALSE)</f>
        <v>146.4</v>
      </c>
      <c r="W139" s="60">
        <f>IF($K139&lt;&gt;"N/A",$M139*(VLOOKUP($L139,'GPU Specs &amp; Ratios'!$B$2:$I$8,5,FALSE)),0)</f>
        <v>0</v>
      </c>
      <c r="X139" s="60">
        <f>IF($K139&lt;&gt;"N/A",$M139*(VLOOKUP($L139,'GPU Specs &amp; Ratios'!$B$2:$I$8,6,FALSE)),0)</f>
        <v>0</v>
      </c>
      <c r="Y139" s="60">
        <f>IF($K139&lt;&gt;"N/A",$M139*(VLOOKUP($L139,'GPU Specs &amp; Ratios'!$B$2:$I$8,7,FALSE)),0)</f>
        <v>0</v>
      </c>
      <c r="Z139" s="60">
        <f>IF($K139&lt;&gt;"N/A",$M139*(VLOOKUP($L139,'GPU Specs &amp; Ratios'!$B$2:$I$8,8,FALSE)),0)</f>
        <v>0</v>
      </c>
      <c r="AA139" s="60">
        <f>(C139/D139)*VLOOKUP($E139,'AWS Platforms Ratios'!$A$2:$O$25,15,FALSE)</f>
        <v>25.77777778</v>
      </c>
      <c r="AB139" s="60">
        <f t="shared" ref="AB139:AE139" si="138">O139+S139+W139+$AA139</f>
        <v>90.12444444</v>
      </c>
      <c r="AC139" s="60">
        <f t="shared" si="138"/>
        <v>143.36</v>
      </c>
      <c r="AD139" s="60">
        <f t="shared" si="138"/>
        <v>214.6622222</v>
      </c>
      <c r="AE139" s="60">
        <f t="shared" si="138"/>
        <v>297.1255556</v>
      </c>
      <c r="AF139" s="60">
        <f>IF(G139&gt;'Scope 3 Ratios'!$B$5,(G139-'Scope 3 Ratios'!$B$5)*('Scope 3 Ratios'!$B$6/'Scope 3 Ratios'!$B$5),0)</f>
        <v>687.9024</v>
      </c>
      <c r="AG139" s="60">
        <f>J139*IF(I139="SSD",'Scope 3 Ratios'!$B$9,'Scope 3 Ratios'!$B$8)</f>
        <v>800</v>
      </c>
      <c r="AH139" s="60">
        <f>IF(K139&lt;&gt;"N/A",K139*'Scope 3 Ratios'!$B$10,0)</f>
        <v>0</v>
      </c>
      <c r="AI139" s="60">
        <f>(VLOOKUP($E139,'AWS Platforms Ratios'!$A$2:$O$25,3,FALSE)-1)*'Scope 3 Ratios'!$B$7</f>
        <v>100</v>
      </c>
      <c r="AJ139" s="60">
        <f>'Scope 3 Ratios'!$B$2+AF139+AG139+AH139+AI139</f>
        <v>2587.9024</v>
      </c>
      <c r="AK139" s="60">
        <f>AJ139*'Scope 3 Ratios'!$B$4*(C139/D139)</f>
        <v>33.28063786</v>
      </c>
      <c r="AL139" s="61" t="s">
        <v>315</v>
      </c>
    </row>
    <row r="140" ht="15.0" customHeight="1">
      <c r="A140" s="56" t="s">
        <v>345</v>
      </c>
      <c r="B140" s="56" t="s">
        <v>119</v>
      </c>
      <c r="C140" s="56">
        <v>64.0</v>
      </c>
      <c r="D140" s="56">
        <f>VLOOKUP(E140,'AWS Platforms Ratios'!$A$2:$B$25,2,FALSE)</f>
        <v>72</v>
      </c>
      <c r="E140" s="57" t="s">
        <v>269</v>
      </c>
      <c r="F140" s="56">
        <v>488.0</v>
      </c>
      <c r="G140" s="56">
        <v>512.0</v>
      </c>
      <c r="H140" s="57" t="s">
        <v>346</v>
      </c>
      <c r="I140" s="56" t="s">
        <v>85</v>
      </c>
      <c r="J140" s="56">
        <v>8.0</v>
      </c>
      <c r="K140" s="58" t="s">
        <v>73</v>
      </c>
      <c r="L140" s="58" t="s">
        <v>73</v>
      </c>
      <c r="M140" s="58" t="s">
        <v>73</v>
      </c>
      <c r="N140" s="58" t="s">
        <v>73</v>
      </c>
      <c r="O140" s="59">
        <f>($C140/$D140)*VLOOKUP($E140,'AWS Platforms Ratios'!$A$2:$O$25,7,FALSE)</f>
        <v>31.09333333</v>
      </c>
      <c r="P140" s="59">
        <f>($C140/$D140)*VLOOKUP($E140,'AWS Platforms Ratios'!$A$2:$O$25,8,FALSE)</f>
        <v>88.76444444</v>
      </c>
      <c r="Q140" s="59">
        <f>($C140/$D140)*VLOOKUP($E140,'AWS Platforms Ratios'!$A$2:$O$25,9,FALSE)</f>
        <v>182.5688889</v>
      </c>
      <c r="R140" s="59">
        <f>($C140/$D140)*VLOOKUP($E140,'AWS Platforms Ratios'!$A$2:$O$25,10,FALSE)</f>
        <v>249.8955556</v>
      </c>
      <c r="S140" s="59">
        <f>$F140*VLOOKUP($E140,'AWS Platforms Ratios'!$A$2:$O$25,11,FALSE)</f>
        <v>97.6</v>
      </c>
      <c r="T140" s="59">
        <f>$F140*VLOOKUP($E140,'AWS Platforms Ratios'!$A$2:$O$25,12,FALSE)</f>
        <v>146.4</v>
      </c>
      <c r="U140" s="59">
        <f>$F140*VLOOKUP($E140,'AWS Platforms Ratios'!$A$2:$O$25,13,FALSE)</f>
        <v>195.2</v>
      </c>
      <c r="V140" s="59">
        <f>$F140*VLOOKUP($E140,'AWS Platforms Ratios'!$A$2:$O$25,14,FALSE)</f>
        <v>292.8</v>
      </c>
      <c r="W140" s="60">
        <f>IF($K140&lt;&gt;"N/A",$M140*(VLOOKUP($L140,'GPU Specs &amp; Ratios'!$B$2:$I$8,5,FALSE)),0)</f>
        <v>0</v>
      </c>
      <c r="X140" s="60">
        <f>IF($K140&lt;&gt;"N/A",$M140*(VLOOKUP($L140,'GPU Specs &amp; Ratios'!$B$2:$I$8,6,FALSE)),0)</f>
        <v>0</v>
      </c>
      <c r="Y140" s="60">
        <f>IF($K140&lt;&gt;"N/A",$M140*(VLOOKUP($L140,'GPU Specs &amp; Ratios'!$B$2:$I$8,7,FALSE)),0)</f>
        <v>0</v>
      </c>
      <c r="Z140" s="60">
        <f>IF($K140&lt;&gt;"N/A",$M140*(VLOOKUP($L140,'GPU Specs &amp; Ratios'!$B$2:$I$8,8,FALSE)),0)</f>
        <v>0</v>
      </c>
      <c r="AA140" s="60">
        <f>(C140/D140)*VLOOKUP($E140,'AWS Platforms Ratios'!$A$2:$O$25,15,FALSE)</f>
        <v>51.55555556</v>
      </c>
      <c r="AB140" s="60">
        <f t="shared" ref="AB140:AE140" si="139">O140+S140+W140+$AA140</f>
        <v>180.2488889</v>
      </c>
      <c r="AC140" s="60">
        <f t="shared" si="139"/>
        <v>286.72</v>
      </c>
      <c r="AD140" s="60">
        <f t="shared" si="139"/>
        <v>429.3244444</v>
      </c>
      <c r="AE140" s="60">
        <f t="shared" si="139"/>
        <v>594.2511111</v>
      </c>
      <c r="AF140" s="60">
        <f>IF(G140&gt;'Scope 3 Ratios'!$B$5,(G140-'Scope 3 Ratios'!$B$5)*('Scope 3 Ratios'!$B$6/'Scope 3 Ratios'!$B$5),0)</f>
        <v>687.9024</v>
      </c>
      <c r="AG140" s="60">
        <f>J140*IF(I140="SSD",'Scope 3 Ratios'!$B$9,'Scope 3 Ratios'!$B$8)</f>
        <v>800</v>
      </c>
      <c r="AH140" s="60">
        <f>IF(K140&lt;&gt;"N/A",K140*'Scope 3 Ratios'!$B$10,0)</f>
        <v>0</v>
      </c>
      <c r="AI140" s="60">
        <f>(VLOOKUP($E140,'AWS Platforms Ratios'!$A$2:$O$25,3,FALSE)-1)*'Scope 3 Ratios'!$B$7</f>
        <v>100</v>
      </c>
      <c r="AJ140" s="60">
        <f>'Scope 3 Ratios'!$B$2+AF140+AG140+AH140+AI140</f>
        <v>2587.9024</v>
      </c>
      <c r="AK140" s="60">
        <f>AJ140*'Scope 3 Ratios'!$B$4*(C140/D140)</f>
        <v>66.56127572</v>
      </c>
      <c r="AL140" s="61" t="s">
        <v>315</v>
      </c>
    </row>
    <row r="141" ht="15.0" customHeight="1">
      <c r="A141" s="56" t="s">
        <v>347</v>
      </c>
      <c r="B141" s="56" t="s">
        <v>313</v>
      </c>
      <c r="C141" s="56">
        <v>72.0</v>
      </c>
      <c r="D141" s="56">
        <f>VLOOKUP(E141,'AWS Platforms Ratios'!$A$2:$B$25,2,FALSE)</f>
        <v>72</v>
      </c>
      <c r="E141" s="57" t="s">
        <v>269</v>
      </c>
      <c r="F141" s="56">
        <v>512.0</v>
      </c>
      <c r="G141" s="56">
        <v>512.0</v>
      </c>
      <c r="H141" s="57" t="s">
        <v>346</v>
      </c>
      <c r="I141" s="56" t="s">
        <v>85</v>
      </c>
      <c r="J141" s="56">
        <v>8.0</v>
      </c>
      <c r="K141" s="58" t="s">
        <v>73</v>
      </c>
      <c r="L141" s="58" t="s">
        <v>73</v>
      </c>
      <c r="M141" s="58" t="s">
        <v>73</v>
      </c>
      <c r="N141" s="58" t="s">
        <v>73</v>
      </c>
      <c r="O141" s="59">
        <f>($C141/$D141)*VLOOKUP($E141,'AWS Platforms Ratios'!$A$2:$O$25,7,FALSE)</f>
        <v>34.98</v>
      </c>
      <c r="P141" s="59">
        <f>($C141/$D141)*VLOOKUP($E141,'AWS Platforms Ratios'!$A$2:$O$25,8,FALSE)</f>
        <v>99.86</v>
      </c>
      <c r="Q141" s="59">
        <f>($C141/$D141)*VLOOKUP($E141,'AWS Platforms Ratios'!$A$2:$O$25,9,FALSE)</f>
        <v>205.39</v>
      </c>
      <c r="R141" s="59">
        <f>($C141/$D141)*VLOOKUP($E141,'AWS Platforms Ratios'!$A$2:$O$25,10,FALSE)</f>
        <v>281.1325</v>
      </c>
      <c r="S141" s="59">
        <f>$F141*VLOOKUP($E141,'AWS Platforms Ratios'!$A$2:$O$25,11,FALSE)</f>
        <v>102.4</v>
      </c>
      <c r="T141" s="59">
        <f>$F141*VLOOKUP($E141,'AWS Platforms Ratios'!$A$2:$O$25,12,FALSE)</f>
        <v>153.6</v>
      </c>
      <c r="U141" s="59">
        <f>$F141*VLOOKUP($E141,'AWS Platforms Ratios'!$A$2:$O$25,13,FALSE)</f>
        <v>204.8</v>
      </c>
      <c r="V141" s="59">
        <f>$F141*VLOOKUP($E141,'AWS Platforms Ratios'!$A$2:$O$25,14,FALSE)</f>
        <v>307.2</v>
      </c>
      <c r="W141" s="60">
        <f>IF($K141&lt;&gt;"N/A",$M141*(VLOOKUP($L141,'GPU Specs &amp; Ratios'!$B$2:$I$8,5,FALSE)),0)</f>
        <v>0</v>
      </c>
      <c r="X141" s="60">
        <f>IF($K141&lt;&gt;"N/A",$M141*(VLOOKUP($L141,'GPU Specs &amp; Ratios'!$B$2:$I$8,6,FALSE)),0)</f>
        <v>0</v>
      </c>
      <c r="Y141" s="60">
        <f>IF($K141&lt;&gt;"N/A",$M141*(VLOOKUP($L141,'GPU Specs &amp; Ratios'!$B$2:$I$8,7,FALSE)),0)</f>
        <v>0</v>
      </c>
      <c r="Z141" s="60">
        <f>IF($K141&lt;&gt;"N/A",$M141*(VLOOKUP($L141,'GPU Specs &amp; Ratios'!$B$2:$I$8,8,FALSE)),0)</f>
        <v>0</v>
      </c>
      <c r="AA141" s="60">
        <f>(C141/D141)*VLOOKUP($E141,'AWS Platforms Ratios'!$A$2:$O$25,15,FALSE)</f>
        <v>58</v>
      </c>
      <c r="AB141" s="60">
        <f t="shared" ref="AB141:AE141" si="140">O141+S141+W141+$AA141</f>
        <v>195.38</v>
      </c>
      <c r="AC141" s="60">
        <f t="shared" si="140"/>
        <v>311.46</v>
      </c>
      <c r="AD141" s="60">
        <f t="shared" si="140"/>
        <v>468.19</v>
      </c>
      <c r="AE141" s="60">
        <f t="shared" si="140"/>
        <v>646.3325</v>
      </c>
      <c r="AF141" s="60">
        <f>IF(G141&gt;'Scope 3 Ratios'!$B$5,(G141-'Scope 3 Ratios'!$B$5)*('Scope 3 Ratios'!$B$6/'Scope 3 Ratios'!$B$5),0)</f>
        <v>687.9024</v>
      </c>
      <c r="AG141" s="60">
        <f>J141*IF(I141="SSD",'Scope 3 Ratios'!$B$9,'Scope 3 Ratios'!$B$8)</f>
        <v>800</v>
      </c>
      <c r="AH141" s="60">
        <f>IF(K141&lt;&gt;"N/A",K141*'Scope 3 Ratios'!$B$10,0)</f>
        <v>0</v>
      </c>
      <c r="AI141" s="60">
        <f>(VLOOKUP($E141,'AWS Platforms Ratios'!$A$2:$O$25,3,FALSE)-1)*'Scope 3 Ratios'!$B$7</f>
        <v>100</v>
      </c>
      <c r="AJ141" s="60">
        <f>'Scope 3 Ratios'!$B$2+AF141+AG141+AH141+AI141</f>
        <v>2587.9024</v>
      </c>
      <c r="AK141" s="60">
        <f>AJ141*'Scope 3 Ratios'!$B$4*(C141/D141)</f>
        <v>74.88143519</v>
      </c>
      <c r="AL141" s="61" t="s">
        <v>315</v>
      </c>
    </row>
    <row r="142" ht="15.0" customHeight="1">
      <c r="A142" s="56" t="s">
        <v>348</v>
      </c>
      <c r="B142" s="56" t="s">
        <v>349</v>
      </c>
      <c r="C142" s="56">
        <v>2.0</v>
      </c>
      <c r="D142" s="56">
        <f>VLOOKUP(E142,'AWS Platforms Ratios'!$A$2:$B$25,2,FALSE)</f>
        <v>96</v>
      </c>
      <c r="E142" s="57" t="s">
        <v>350</v>
      </c>
      <c r="F142" s="56">
        <v>16.0</v>
      </c>
      <c r="G142" s="56">
        <v>768.0</v>
      </c>
      <c r="H142" s="57" t="s">
        <v>351</v>
      </c>
      <c r="I142" s="56" t="s">
        <v>85</v>
      </c>
      <c r="J142" s="56">
        <v>8.0</v>
      </c>
      <c r="K142" s="58" t="s">
        <v>73</v>
      </c>
      <c r="L142" s="58" t="s">
        <v>73</v>
      </c>
      <c r="M142" s="58" t="s">
        <v>73</v>
      </c>
      <c r="N142" s="58" t="s">
        <v>73</v>
      </c>
      <c r="O142" s="59">
        <f>($C142/$D142)*VLOOKUP($E142,'AWS Platforms Ratios'!$A$2:$O$25,7,FALSE)</f>
        <v>1.205833333</v>
      </c>
      <c r="P142" s="59">
        <f>($C142/$D142)*VLOOKUP($E142,'AWS Platforms Ratios'!$A$2:$O$25,8,FALSE)</f>
        <v>3.054791667</v>
      </c>
      <c r="Q142" s="59">
        <f>($C142/$D142)*VLOOKUP($E142,'AWS Platforms Ratios'!$A$2:$O$25,9,FALSE)</f>
        <v>7.160416667</v>
      </c>
      <c r="R142" s="59">
        <f>($C142/$D142)*VLOOKUP($E142,'AWS Platforms Ratios'!$A$2:$O$25,10,FALSE)</f>
        <v>9.9578125</v>
      </c>
      <c r="S142" s="59">
        <f>$F142*VLOOKUP($E142,'AWS Platforms Ratios'!$A$2:$O$25,11,FALSE)</f>
        <v>2.40875</v>
      </c>
      <c r="T142" s="59">
        <f>$F142*VLOOKUP($E142,'AWS Platforms Ratios'!$A$2:$O$25,12,FALSE)</f>
        <v>3.849583333</v>
      </c>
      <c r="U142" s="59">
        <f>$F142*VLOOKUP($E142,'AWS Platforms Ratios'!$A$2:$O$25,13,FALSE)</f>
        <v>9.920833333</v>
      </c>
      <c r="V142" s="59">
        <f>$F142*VLOOKUP($E142,'AWS Platforms Ratios'!$A$2:$O$25,14,FALSE)</f>
        <v>15.99208333</v>
      </c>
      <c r="W142" s="60">
        <f>IF($K142&lt;&gt;"N/A",$M142*(VLOOKUP($L142,'GPU Specs &amp; Ratios'!$B$2:$I$8,5,FALSE)),0)</f>
        <v>0</v>
      </c>
      <c r="X142" s="60">
        <f>IF($K142&lt;&gt;"N/A",$M142*(VLOOKUP($L142,'GPU Specs &amp; Ratios'!$B$2:$I$8,6,FALSE)),0)</f>
        <v>0</v>
      </c>
      <c r="Y142" s="60">
        <f>IF($K142&lt;&gt;"N/A",$M142*(VLOOKUP($L142,'GPU Specs &amp; Ratios'!$B$2:$I$8,7,FALSE)),0)</f>
        <v>0</v>
      </c>
      <c r="Z142" s="60">
        <f>IF($K142&lt;&gt;"N/A",$M142*(VLOOKUP($L142,'GPU Specs &amp; Ratios'!$B$2:$I$8,8,FALSE)),0)</f>
        <v>0</v>
      </c>
      <c r="AA142" s="60">
        <f>(C142/D142)*VLOOKUP($E142,'AWS Platforms Ratios'!$A$2:$O$25,15,FALSE)</f>
        <v>2</v>
      </c>
      <c r="AB142" s="60">
        <f t="shared" ref="AB142:AE142" si="141">O142+S142+W142+$AA142</f>
        <v>5.614583333</v>
      </c>
      <c r="AC142" s="60">
        <f t="shared" si="141"/>
        <v>8.904375</v>
      </c>
      <c r="AD142" s="60">
        <f t="shared" si="141"/>
        <v>19.08125</v>
      </c>
      <c r="AE142" s="60">
        <f t="shared" si="141"/>
        <v>27.94989583</v>
      </c>
      <c r="AF142" s="60">
        <f>IF(G142&gt;'Scope 3 Ratios'!$B$5,(G142-'Scope 3 Ratios'!$B$5)*('Scope 3 Ratios'!$B$6/'Scope 3 Ratios'!$B$5),0)</f>
        <v>1042.9488</v>
      </c>
      <c r="AG142" s="60">
        <f>J142*IF(I142="SSD",'Scope 3 Ratios'!$B$9,'Scope 3 Ratios'!$B$8)</f>
        <v>800</v>
      </c>
      <c r="AH142" s="60">
        <f>IF(K142&lt;&gt;"N/A",K142*'Scope 3 Ratios'!$B$10,0)</f>
        <v>0</v>
      </c>
      <c r="AI142" s="60">
        <f>(VLOOKUP($E142,'AWS Platforms Ratios'!$A$2:$O$25,3,FALSE)-1)*'Scope 3 Ratios'!$B$7</f>
        <v>100</v>
      </c>
      <c r="AJ142" s="60">
        <f>'Scope 3 Ratios'!$B$2+AF142+AG142+AH142+AI142</f>
        <v>2942.9488</v>
      </c>
      <c r="AK142" s="60">
        <f>AJ142*'Scope 3 Ratios'!$B$4*(C142/D142)</f>
        <v>1.774057677</v>
      </c>
      <c r="AL142" s="61" t="s">
        <v>352</v>
      </c>
    </row>
    <row r="143" ht="15.0" customHeight="1">
      <c r="A143" s="56" t="s">
        <v>353</v>
      </c>
      <c r="B143" s="56" t="s">
        <v>349</v>
      </c>
      <c r="C143" s="56">
        <v>4.0</v>
      </c>
      <c r="D143" s="56">
        <f>VLOOKUP(E143,'AWS Platforms Ratios'!$A$2:$B$25,2,FALSE)</f>
        <v>96</v>
      </c>
      <c r="E143" s="57" t="s">
        <v>350</v>
      </c>
      <c r="F143" s="56">
        <v>32.0</v>
      </c>
      <c r="G143" s="56">
        <v>768.0</v>
      </c>
      <c r="H143" s="57" t="s">
        <v>354</v>
      </c>
      <c r="I143" s="56" t="s">
        <v>85</v>
      </c>
      <c r="J143" s="56">
        <v>8.0</v>
      </c>
      <c r="K143" s="58" t="s">
        <v>73</v>
      </c>
      <c r="L143" s="58" t="s">
        <v>73</v>
      </c>
      <c r="M143" s="58" t="s">
        <v>73</v>
      </c>
      <c r="N143" s="58" t="s">
        <v>73</v>
      </c>
      <c r="O143" s="59">
        <f>($C143/$D143)*VLOOKUP($E143,'AWS Platforms Ratios'!$A$2:$O$25,7,FALSE)</f>
        <v>2.411666667</v>
      </c>
      <c r="P143" s="59">
        <f>($C143/$D143)*VLOOKUP($E143,'AWS Platforms Ratios'!$A$2:$O$25,8,FALSE)</f>
        <v>6.109583333</v>
      </c>
      <c r="Q143" s="59">
        <f>($C143/$D143)*VLOOKUP($E143,'AWS Platforms Ratios'!$A$2:$O$25,9,FALSE)</f>
        <v>14.32083333</v>
      </c>
      <c r="R143" s="59">
        <f>($C143/$D143)*VLOOKUP($E143,'AWS Platforms Ratios'!$A$2:$O$25,10,FALSE)</f>
        <v>19.915625</v>
      </c>
      <c r="S143" s="59">
        <f>$F143*VLOOKUP($E143,'AWS Platforms Ratios'!$A$2:$O$25,11,FALSE)</f>
        <v>4.8175</v>
      </c>
      <c r="T143" s="59">
        <f>$F143*VLOOKUP($E143,'AWS Platforms Ratios'!$A$2:$O$25,12,FALSE)</f>
        <v>7.699166667</v>
      </c>
      <c r="U143" s="59">
        <f>$F143*VLOOKUP($E143,'AWS Platforms Ratios'!$A$2:$O$25,13,FALSE)</f>
        <v>19.84166667</v>
      </c>
      <c r="V143" s="59">
        <f>$F143*VLOOKUP($E143,'AWS Platforms Ratios'!$A$2:$O$25,14,FALSE)</f>
        <v>31.98416667</v>
      </c>
      <c r="W143" s="60">
        <f>IF($K143&lt;&gt;"N/A",$M143*(VLOOKUP($L143,'GPU Specs &amp; Ratios'!$B$2:$I$8,5,FALSE)),0)</f>
        <v>0</v>
      </c>
      <c r="X143" s="60">
        <f>IF($K143&lt;&gt;"N/A",$M143*(VLOOKUP($L143,'GPU Specs &amp; Ratios'!$B$2:$I$8,6,FALSE)),0)</f>
        <v>0</v>
      </c>
      <c r="Y143" s="60">
        <f>IF($K143&lt;&gt;"N/A",$M143*(VLOOKUP($L143,'GPU Specs &amp; Ratios'!$B$2:$I$8,7,FALSE)),0)</f>
        <v>0</v>
      </c>
      <c r="Z143" s="60">
        <f>IF($K143&lt;&gt;"N/A",$M143*(VLOOKUP($L143,'GPU Specs &amp; Ratios'!$B$2:$I$8,8,FALSE)),0)</f>
        <v>0</v>
      </c>
      <c r="AA143" s="60">
        <f>(C143/D143)*VLOOKUP($E143,'AWS Platforms Ratios'!$A$2:$O$25,15,FALSE)</f>
        <v>4</v>
      </c>
      <c r="AB143" s="60">
        <f t="shared" ref="AB143:AE143" si="142">O143+S143+W143+$AA143</f>
        <v>11.22916667</v>
      </c>
      <c r="AC143" s="60">
        <f t="shared" si="142"/>
        <v>17.80875</v>
      </c>
      <c r="AD143" s="60">
        <f t="shared" si="142"/>
        <v>38.1625</v>
      </c>
      <c r="AE143" s="60">
        <f t="shared" si="142"/>
        <v>55.89979167</v>
      </c>
      <c r="AF143" s="60">
        <f>IF(G143&gt;'Scope 3 Ratios'!$B$5,(G143-'Scope 3 Ratios'!$B$5)*('Scope 3 Ratios'!$B$6/'Scope 3 Ratios'!$B$5),0)</f>
        <v>1042.9488</v>
      </c>
      <c r="AG143" s="60">
        <f>J143*IF(I143="SSD",'Scope 3 Ratios'!$B$9,'Scope 3 Ratios'!$B$8)</f>
        <v>800</v>
      </c>
      <c r="AH143" s="60">
        <f>IF(K143&lt;&gt;"N/A",K143*'Scope 3 Ratios'!$B$10,0)</f>
        <v>0</v>
      </c>
      <c r="AI143" s="60">
        <f>(VLOOKUP($E143,'AWS Platforms Ratios'!$A$2:$O$25,3,FALSE)-1)*'Scope 3 Ratios'!$B$7</f>
        <v>100</v>
      </c>
      <c r="AJ143" s="60">
        <f>'Scope 3 Ratios'!$B$2+AF143+AG143+AH143+AI143</f>
        <v>2942.9488</v>
      </c>
      <c r="AK143" s="60">
        <f>AJ143*'Scope 3 Ratios'!$B$4*(C143/D143)</f>
        <v>3.548115355</v>
      </c>
      <c r="AL143" s="61" t="s">
        <v>352</v>
      </c>
    </row>
    <row r="144" ht="15.0" customHeight="1">
      <c r="A144" s="56" t="s">
        <v>355</v>
      </c>
      <c r="B144" s="56" t="s">
        <v>349</v>
      </c>
      <c r="C144" s="56">
        <v>8.0</v>
      </c>
      <c r="D144" s="56">
        <f>VLOOKUP(E144,'AWS Platforms Ratios'!$A$2:$B$25,2,FALSE)</f>
        <v>96</v>
      </c>
      <c r="E144" s="57" t="s">
        <v>350</v>
      </c>
      <c r="F144" s="56">
        <v>64.0</v>
      </c>
      <c r="G144" s="56">
        <v>768.0</v>
      </c>
      <c r="H144" s="57" t="s">
        <v>356</v>
      </c>
      <c r="I144" s="56" t="s">
        <v>85</v>
      </c>
      <c r="J144" s="56">
        <v>8.0</v>
      </c>
      <c r="K144" s="58" t="s">
        <v>73</v>
      </c>
      <c r="L144" s="58" t="s">
        <v>73</v>
      </c>
      <c r="M144" s="58" t="s">
        <v>73</v>
      </c>
      <c r="N144" s="58" t="s">
        <v>73</v>
      </c>
      <c r="O144" s="59">
        <f>($C144/$D144)*VLOOKUP($E144,'AWS Platforms Ratios'!$A$2:$O$25,7,FALSE)</f>
        <v>4.823333333</v>
      </c>
      <c r="P144" s="59">
        <f>($C144/$D144)*VLOOKUP($E144,'AWS Platforms Ratios'!$A$2:$O$25,8,FALSE)</f>
        <v>12.21916667</v>
      </c>
      <c r="Q144" s="59">
        <f>($C144/$D144)*VLOOKUP($E144,'AWS Platforms Ratios'!$A$2:$O$25,9,FALSE)</f>
        <v>28.64166667</v>
      </c>
      <c r="R144" s="59">
        <f>($C144/$D144)*VLOOKUP($E144,'AWS Platforms Ratios'!$A$2:$O$25,10,FALSE)</f>
        <v>39.83125</v>
      </c>
      <c r="S144" s="59">
        <f>$F144*VLOOKUP($E144,'AWS Platforms Ratios'!$A$2:$O$25,11,FALSE)</f>
        <v>9.635</v>
      </c>
      <c r="T144" s="59">
        <f>$F144*VLOOKUP($E144,'AWS Platforms Ratios'!$A$2:$O$25,12,FALSE)</f>
        <v>15.39833333</v>
      </c>
      <c r="U144" s="59">
        <f>$F144*VLOOKUP($E144,'AWS Platforms Ratios'!$A$2:$O$25,13,FALSE)</f>
        <v>39.68333333</v>
      </c>
      <c r="V144" s="59">
        <f>$F144*VLOOKUP($E144,'AWS Platforms Ratios'!$A$2:$O$25,14,FALSE)</f>
        <v>63.96833333</v>
      </c>
      <c r="W144" s="60">
        <f>IF($K144&lt;&gt;"N/A",$M144*(VLOOKUP($L144,'GPU Specs &amp; Ratios'!$B$2:$I$8,5,FALSE)),0)</f>
        <v>0</v>
      </c>
      <c r="X144" s="60">
        <f>IF($K144&lt;&gt;"N/A",$M144*(VLOOKUP($L144,'GPU Specs &amp; Ratios'!$B$2:$I$8,6,FALSE)),0)</f>
        <v>0</v>
      </c>
      <c r="Y144" s="60">
        <f>IF($K144&lt;&gt;"N/A",$M144*(VLOOKUP($L144,'GPU Specs &amp; Ratios'!$B$2:$I$8,7,FALSE)),0)</f>
        <v>0</v>
      </c>
      <c r="Z144" s="60">
        <f>IF($K144&lt;&gt;"N/A",$M144*(VLOOKUP($L144,'GPU Specs &amp; Ratios'!$B$2:$I$8,8,FALSE)),0)</f>
        <v>0</v>
      </c>
      <c r="AA144" s="60">
        <f>(C144/D144)*VLOOKUP($E144,'AWS Platforms Ratios'!$A$2:$O$25,15,FALSE)</f>
        <v>8</v>
      </c>
      <c r="AB144" s="60">
        <f t="shared" ref="AB144:AE144" si="143">O144+S144+W144+$AA144</f>
        <v>22.45833333</v>
      </c>
      <c r="AC144" s="60">
        <f t="shared" si="143"/>
        <v>35.6175</v>
      </c>
      <c r="AD144" s="60">
        <f t="shared" si="143"/>
        <v>76.325</v>
      </c>
      <c r="AE144" s="60">
        <f t="shared" si="143"/>
        <v>111.7995833</v>
      </c>
      <c r="AF144" s="60">
        <f>IF(G144&gt;'Scope 3 Ratios'!$B$5,(G144-'Scope 3 Ratios'!$B$5)*('Scope 3 Ratios'!$B$6/'Scope 3 Ratios'!$B$5),0)</f>
        <v>1042.9488</v>
      </c>
      <c r="AG144" s="60">
        <f>J144*IF(I144="SSD",'Scope 3 Ratios'!$B$9,'Scope 3 Ratios'!$B$8)</f>
        <v>800</v>
      </c>
      <c r="AH144" s="60">
        <f>IF(K144&lt;&gt;"N/A",K144*'Scope 3 Ratios'!$B$10,0)</f>
        <v>0</v>
      </c>
      <c r="AI144" s="60">
        <f>(VLOOKUP($E144,'AWS Platforms Ratios'!$A$2:$O$25,3,FALSE)-1)*'Scope 3 Ratios'!$B$7</f>
        <v>100</v>
      </c>
      <c r="AJ144" s="60">
        <f>'Scope 3 Ratios'!$B$2+AF144+AG144+AH144+AI144</f>
        <v>2942.9488</v>
      </c>
      <c r="AK144" s="60">
        <f>AJ144*'Scope 3 Ratios'!$B$4*(C144/D144)</f>
        <v>7.09623071</v>
      </c>
      <c r="AL144" s="61" t="s">
        <v>352</v>
      </c>
    </row>
    <row r="145" ht="15.0" customHeight="1">
      <c r="A145" s="56" t="s">
        <v>357</v>
      </c>
      <c r="B145" s="56" t="s">
        <v>349</v>
      </c>
      <c r="C145" s="56">
        <v>12.0</v>
      </c>
      <c r="D145" s="56">
        <f>VLOOKUP(E145,'AWS Platforms Ratios'!$A$2:$B$25,2,FALSE)</f>
        <v>96</v>
      </c>
      <c r="E145" s="57" t="s">
        <v>350</v>
      </c>
      <c r="F145" s="56">
        <v>96.0</v>
      </c>
      <c r="G145" s="56">
        <v>768.0</v>
      </c>
      <c r="H145" s="57" t="s">
        <v>358</v>
      </c>
      <c r="I145" s="56" t="s">
        <v>85</v>
      </c>
      <c r="J145" s="56">
        <v>8.0</v>
      </c>
      <c r="K145" s="58" t="s">
        <v>73</v>
      </c>
      <c r="L145" s="58" t="s">
        <v>73</v>
      </c>
      <c r="M145" s="58" t="s">
        <v>73</v>
      </c>
      <c r="N145" s="58" t="s">
        <v>73</v>
      </c>
      <c r="O145" s="59">
        <f>($C145/$D145)*VLOOKUP($E145,'AWS Platforms Ratios'!$A$2:$O$25,7,FALSE)</f>
        <v>7.235</v>
      </c>
      <c r="P145" s="59">
        <f>($C145/$D145)*VLOOKUP($E145,'AWS Platforms Ratios'!$A$2:$O$25,8,FALSE)</f>
        <v>18.32875</v>
      </c>
      <c r="Q145" s="59">
        <f>($C145/$D145)*VLOOKUP($E145,'AWS Platforms Ratios'!$A$2:$O$25,9,FALSE)</f>
        <v>42.9625</v>
      </c>
      <c r="R145" s="59">
        <f>($C145/$D145)*VLOOKUP($E145,'AWS Platforms Ratios'!$A$2:$O$25,10,FALSE)</f>
        <v>59.746875</v>
      </c>
      <c r="S145" s="59">
        <f>$F145*VLOOKUP($E145,'AWS Platforms Ratios'!$A$2:$O$25,11,FALSE)</f>
        <v>14.4525</v>
      </c>
      <c r="T145" s="59">
        <f>$F145*VLOOKUP($E145,'AWS Platforms Ratios'!$A$2:$O$25,12,FALSE)</f>
        <v>23.0975</v>
      </c>
      <c r="U145" s="59">
        <f>$F145*VLOOKUP($E145,'AWS Platforms Ratios'!$A$2:$O$25,13,FALSE)</f>
        <v>59.525</v>
      </c>
      <c r="V145" s="59">
        <f>$F145*VLOOKUP($E145,'AWS Platforms Ratios'!$A$2:$O$25,14,FALSE)</f>
        <v>95.9525</v>
      </c>
      <c r="W145" s="60">
        <f>IF($K145&lt;&gt;"N/A",$M145*(VLOOKUP($L145,'GPU Specs &amp; Ratios'!$B$2:$I$8,5,FALSE)),0)</f>
        <v>0</v>
      </c>
      <c r="X145" s="60">
        <f>IF($K145&lt;&gt;"N/A",$M145*(VLOOKUP($L145,'GPU Specs &amp; Ratios'!$B$2:$I$8,6,FALSE)),0)</f>
        <v>0</v>
      </c>
      <c r="Y145" s="60">
        <f>IF($K145&lt;&gt;"N/A",$M145*(VLOOKUP($L145,'GPU Specs &amp; Ratios'!$B$2:$I$8,7,FALSE)),0)</f>
        <v>0</v>
      </c>
      <c r="Z145" s="60">
        <f>IF($K145&lt;&gt;"N/A",$M145*(VLOOKUP($L145,'GPU Specs &amp; Ratios'!$B$2:$I$8,8,FALSE)),0)</f>
        <v>0</v>
      </c>
      <c r="AA145" s="60">
        <f>(C145/D145)*VLOOKUP($E145,'AWS Platforms Ratios'!$A$2:$O$25,15,FALSE)</f>
        <v>12</v>
      </c>
      <c r="AB145" s="60">
        <f t="shared" ref="AB145:AE145" si="144">O145+S145+W145+$AA145</f>
        <v>33.6875</v>
      </c>
      <c r="AC145" s="60">
        <f t="shared" si="144"/>
        <v>53.42625</v>
      </c>
      <c r="AD145" s="60">
        <f t="shared" si="144"/>
        <v>114.4875</v>
      </c>
      <c r="AE145" s="60">
        <f t="shared" si="144"/>
        <v>167.699375</v>
      </c>
      <c r="AF145" s="60">
        <f>IF(G145&gt;'Scope 3 Ratios'!$B$5,(G145-'Scope 3 Ratios'!$B$5)*('Scope 3 Ratios'!$B$6/'Scope 3 Ratios'!$B$5),0)</f>
        <v>1042.9488</v>
      </c>
      <c r="AG145" s="60">
        <f>J145*IF(I145="SSD",'Scope 3 Ratios'!$B$9,'Scope 3 Ratios'!$B$8)</f>
        <v>800</v>
      </c>
      <c r="AH145" s="60">
        <f>IF(K145&lt;&gt;"N/A",K145*'Scope 3 Ratios'!$B$10,0)</f>
        <v>0</v>
      </c>
      <c r="AI145" s="60">
        <f>(VLOOKUP($E145,'AWS Platforms Ratios'!$A$2:$O$25,3,FALSE)-1)*'Scope 3 Ratios'!$B$7</f>
        <v>100</v>
      </c>
      <c r="AJ145" s="60">
        <f>'Scope 3 Ratios'!$B$2+AF145+AG145+AH145+AI145</f>
        <v>2942.9488</v>
      </c>
      <c r="AK145" s="60">
        <f>AJ145*'Scope 3 Ratios'!$B$4*(C145/D145)</f>
        <v>10.64434606</v>
      </c>
      <c r="AL145" s="61" t="s">
        <v>352</v>
      </c>
    </row>
    <row r="146" ht="15.0" customHeight="1">
      <c r="A146" s="56" t="s">
        <v>359</v>
      </c>
      <c r="B146" s="56" t="s">
        <v>349</v>
      </c>
      <c r="C146" s="56">
        <v>24.0</v>
      </c>
      <c r="D146" s="56">
        <f>VLOOKUP(E146,'AWS Platforms Ratios'!$A$2:$B$25,2,FALSE)</f>
        <v>96</v>
      </c>
      <c r="E146" s="57" t="s">
        <v>350</v>
      </c>
      <c r="F146" s="56">
        <v>192.0</v>
      </c>
      <c r="G146" s="56">
        <v>768.0</v>
      </c>
      <c r="H146" s="57" t="s">
        <v>360</v>
      </c>
      <c r="I146" s="56" t="s">
        <v>85</v>
      </c>
      <c r="J146" s="56">
        <v>8.0</v>
      </c>
      <c r="K146" s="58" t="s">
        <v>73</v>
      </c>
      <c r="L146" s="58" t="s">
        <v>73</v>
      </c>
      <c r="M146" s="58" t="s">
        <v>73</v>
      </c>
      <c r="N146" s="58" t="s">
        <v>73</v>
      </c>
      <c r="O146" s="59">
        <f>($C146/$D146)*VLOOKUP($E146,'AWS Platforms Ratios'!$A$2:$O$25,7,FALSE)</f>
        <v>14.47</v>
      </c>
      <c r="P146" s="59">
        <f>($C146/$D146)*VLOOKUP($E146,'AWS Platforms Ratios'!$A$2:$O$25,8,FALSE)</f>
        <v>36.6575</v>
      </c>
      <c r="Q146" s="59">
        <f>($C146/$D146)*VLOOKUP($E146,'AWS Platforms Ratios'!$A$2:$O$25,9,FALSE)</f>
        <v>85.925</v>
      </c>
      <c r="R146" s="59">
        <f>($C146/$D146)*VLOOKUP($E146,'AWS Platforms Ratios'!$A$2:$O$25,10,FALSE)</f>
        <v>119.49375</v>
      </c>
      <c r="S146" s="59">
        <f>$F146*VLOOKUP($E146,'AWS Platforms Ratios'!$A$2:$O$25,11,FALSE)</f>
        <v>28.905</v>
      </c>
      <c r="T146" s="59">
        <f>$F146*VLOOKUP($E146,'AWS Platforms Ratios'!$A$2:$O$25,12,FALSE)</f>
        <v>46.195</v>
      </c>
      <c r="U146" s="59">
        <f>$F146*VLOOKUP($E146,'AWS Platforms Ratios'!$A$2:$O$25,13,FALSE)</f>
        <v>119.05</v>
      </c>
      <c r="V146" s="59">
        <f>$F146*VLOOKUP($E146,'AWS Platforms Ratios'!$A$2:$O$25,14,FALSE)</f>
        <v>191.905</v>
      </c>
      <c r="W146" s="60">
        <f>IF($K146&lt;&gt;"N/A",$M146*(VLOOKUP($L146,'GPU Specs &amp; Ratios'!$B$2:$I$8,5,FALSE)),0)</f>
        <v>0</v>
      </c>
      <c r="X146" s="60">
        <f>IF($K146&lt;&gt;"N/A",$M146*(VLOOKUP($L146,'GPU Specs &amp; Ratios'!$B$2:$I$8,6,FALSE)),0)</f>
        <v>0</v>
      </c>
      <c r="Y146" s="60">
        <f>IF($K146&lt;&gt;"N/A",$M146*(VLOOKUP($L146,'GPU Specs &amp; Ratios'!$B$2:$I$8,7,FALSE)),0)</f>
        <v>0</v>
      </c>
      <c r="Z146" s="60">
        <f>IF($K146&lt;&gt;"N/A",$M146*(VLOOKUP($L146,'GPU Specs &amp; Ratios'!$B$2:$I$8,8,FALSE)),0)</f>
        <v>0</v>
      </c>
      <c r="AA146" s="60">
        <f>(C146/D146)*VLOOKUP($E146,'AWS Platforms Ratios'!$A$2:$O$25,15,FALSE)</f>
        <v>24</v>
      </c>
      <c r="AB146" s="60">
        <f t="shared" ref="AB146:AE146" si="145">O146+S146+W146+$AA146</f>
        <v>67.375</v>
      </c>
      <c r="AC146" s="60">
        <f t="shared" si="145"/>
        <v>106.8525</v>
      </c>
      <c r="AD146" s="60">
        <f t="shared" si="145"/>
        <v>228.975</v>
      </c>
      <c r="AE146" s="60">
        <f t="shared" si="145"/>
        <v>335.39875</v>
      </c>
      <c r="AF146" s="60">
        <f>IF(G146&gt;'Scope 3 Ratios'!$B$5,(G146-'Scope 3 Ratios'!$B$5)*('Scope 3 Ratios'!$B$6/'Scope 3 Ratios'!$B$5),0)</f>
        <v>1042.9488</v>
      </c>
      <c r="AG146" s="60">
        <f>J146*IF(I146="SSD",'Scope 3 Ratios'!$B$9,'Scope 3 Ratios'!$B$8)</f>
        <v>800</v>
      </c>
      <c r="AH146" s="60">
        <f>IF(K146&lt;&gt;"N/A",K146*'Scope 3 Ratios'!$B$10,0)</f>
        <v>0</v>
      </c>
      <c r="AI146" s="60">
        <f>(VLOOKUP($E146,'AWS Platforms Ratios'!$A$2:$O$25,3,FALSE)-1)*'Scope 3 Ratios'!$B$7</f>
        <v>100</v>
      </c>
      <c r="AJ146" s="60">
        <f>'Scope 3 Ratios'!$B$2+AF146+AG146+AH146+AI146</f>
        <v>2942.9488</v>
      </c>
      <c r="AK146" s="60">
        <f>AJ146*'Scope 3 Ratios'!$B$4*(C146/D146)</f>
        <v>21.28869213</v>
      </c>
      <c r="AL146" s="61" t="s">
        <v>352</v>
      </c>
    </row>
    <row r="147" ht="15.0" customHeight="1">
      <c r="A147" s="56" t="s">
        <v>361</v>
      </c>
      <c r="B147" s="56" t="s">
        <v>349</v>
      </c>
      <c r="C147" s="56">
        <v>48.0</v>
      </c>
      <c r="D147" s="56">
        <f>VLOOKUP(E147,'AWS Platforms Ratios'!$A$2:$B$25,2,FALSE)</f>
        <v>96</v>
      </c>
      <c r="E147" s="57" t="s">
        <v>350</v>
      </c>
      <c r="F147" s="56">
        <v>384.0</v>
      </c>
      <c r="G147" s="56">
        <v>768.0</v>
      </c>
      <c r="H147" s="57" t="s">
        <v>362</v>
      </c>
      <c r="I147" s="56" t="s">
        <v>85</v>
      </c>
      <c r="J147" s="56">
        <v>8.0</v>
      </c>
      <c r="K147" s="58" t="s">
        <v>73</v>
      </c>
      <c r="L147" s="58" t="s">
        <v>73</v>
      </c>
      <c r="M147" s="58" t="s">
        <v>73</v>
      </c>
      <c r="N147" s="58" t="s">
        <v>73</v>
      </c>
      <c r="O147" s="59">
        <f>($C147/$D147)*VLOOKUP($E147,'AWS Platforms Ratios'!$A$2:$O$25,7,FALSE)</f>
        <v>28.94</v>
      </c>
      <c r="P147" s="59">
        <f>($C147/$D147)*VLOOKUP($E147,'AWS Platforms Ratios'!$A$2:$O$25,8,FALSE)</f>
        <v>73.315</v>
      </c>
      <c r="Q147" s="59">
        <f>($C147/$D147)*VLOOKUP($E147,'AWS Platforms Ratios'!$A$2:$O$25,9,FALSE)</f>
        <v>171.85</v>
      </c>
      <c r="R147" s="59">
        <f>($C147/$D147)*VLOOKUP($E147,'AWS Platforms Ratios'!$A$2:$O$25,10,FALSE)</f>
        <v>238.9875</v>
      </c>
      <c r="S147" s="59">
        <f>$F147*VLOOKUP($E147,'AWS Platforms Ratios'!$A$2:$O$25,11,FALSE)</f>
        <v>57.81</v>
      </c>
      <c r="T147" s="59">
        <f>$F147*VLOOKUP($E147,'AWS Platforms Ratios'!$A$2:$O$25,12,FALSE)</f>
        <v>92.39</v>
      </c>
      <c r="U147" s="59">
        <f>$F147*VLOOKUP($E147,'AWS Platforms Ratios'!$A$2:$O$25,13,FALSE)</f>
        <v>238.1</v>
      </c>
      <c r="V147" s="59">
        <f>$F147*VLOOKUP($E147,'AWS Platforms Ratios'!$A$2:$O$25,14,FALSE)</f>
        <v>383.81</v>
      </c>
      <c r="W147" s="60">
        <f>IF($K147&lt;&gt;"N/A",$M147*(VLOOKUP($L147,'GPU Specs &amp; Ratios'!$B$2:$I$8,5,FALSE)),0)</f>
        <v>0</v>
      </c>
      <c r="X147" s="60">
        <f>IF($K147&lt;&gt;"N/A",$M147*(VLOOKUP($L147,'GPU Specs &amp; Ratios'!$B$2:$I$8,6,FALSE)),0)</f>
        <v>0</v>
      </c>
      <c r="Y147" s="60">
        <f>IF($K147&lt;&gt;"N/A",$M147*(VLOOKUP($L147,'GPU Specs &amp; Ratios'!$B$2:$I$8,7,FALSE)),0)</f>
        <v>0</v>
      </c>
      <c r="Z147" s="60">
        <f>IF($K147&lt;&gt;"N/A",$M147*(VLOOKUP($L147,'GPU Specs &amp; Ratios'!$B$2:$I$8,8,FALSE)),0)</f>
        <v>0</v>
      </c>
      <c r="AA147" s="60">
        <f>(C147/D147)*VLOOKUP($E147,'AWS Platforms Ratios'!$A$2:$O$25,15,FALSE)</f>
        <v>48</v>
      </c>
      <c r="AB147" s="60">
        <f t="shared" ref="AB147:AE147" si="146">O147+S147+W147+$AA147</f>
        <v>134.75</v>
      </c>
      <c r="AC147" s="60">
        <f t="shared" si="146"/>
        <v>213.705</v>
      </c>
      <c r="AD147" s="60">
        <f t="shared" si="146"/>
        <v>457.95</v>
      </c>
      <c r="AE147" s="60">
        <f t="shared" si="146"/>
        <v>670.7975</v>
      </c>
      <c r="AF147" s="60">
        <f>IF(G147&gt;'Scope 3 Ratios'!$B$5,(G147-'Scope 3 Ratios'!$B$5)*('Scope 3 Ratios'!$B$6/'Scope 3 Ratios'!$B$5),0)</f>
        <v>1042.9488</v>
      </c>
      <c r="AG147" s="60">
        <f>J147*IF(I147="SSD",'Scope 3 Ratios'!$B$9,'Scope 3 Ratios'!$B$8)</f>
        <v>800</v>
      </c>
      <c r="AH147" s="60">
        <f>IF(K147&lt;&gt;"N/A",K147*'Scope 3 Ratios'!$B$10,0)</f>
        <v>0</v>
      </c>
      <c r="AI147" s="60">
        <f>(VLOOKUP($E147,'AWS Platforms Ratios'!$A$2:$O$25,3,FALSE)-1)*'Scope 3 Ratios'!$B$7</f>
        <v>100</v>
      </c>
      <c r="AJ147" s="60">
        <f>'Scope 3 Ratios'!$B$2+AF147+AG147+AH147+AI147</f>
        <v>2942.9488</v>
      </c>
      <c r="AK147" s="60">
        <f>AJ147*'Scope 3 Ratios'!$B$4*(C147/D147)</f>
        <v>42.57738426</v>
      </c>
      <c r="AL147" s="61" t="s">
        <v>352</v>
      </c>
    </row>
    <row r="148" ht="15.0" customHeight="1">
      <c r="A148" s="56" t="s">
        <v>363</v>
      </c>
      <c r="B148" s="56" t="s">
        <v>349</v>
      </c>
      <c r="C148" s="56">
        <v>96.0</v>
      </c>
      <c r="D148" s="56">
        <f>VLOOKUP(E148,'AWS Platforms Ratios'!$A$2:$B$25,2,FALSE)</f>
        <v>96</v>
      </c>
      <c r="E148" s="57" t="s">
        <v>350</v>
      </c>
      <c r="F148" s="56">
        <v>768.0</v>
      </c>
      <c r="G148" s="56">
        <v>768.0</v>
      </c>
      <c r="H148" s="57" t="s">
        <v>364</v>
      </c>
      <c r="I148" s="56" t="s">
        <v>85</v>
      </c>
      <c r="J148" s="56">
        <v>8.0</v>
      </c>
      <c r="K148" s="58" t="s">
        <v>73</v>
      </c>
      <c r="L148" s="58" t="s">
        <v>73</v>
      </c>
      <c r="M148" s="58" t="s">
        <v>73</v>
      </c>
      <c r="N148" s="58" t="s">
        <v>73</v>
      </c>
      <c r="O148" s="59">
        <f>($C148/$D148)*VLOOKUP($E148,'AWS Platforms Ratios'!$A$2:$O$25,7,FALSE)</f>
        <v>57.88</v>
      </c>
      <c r="P148" s="59">
        <f>($C148/$D148)*VLOOKUP($E148,'AWS Platforms Ratios'!$A$2:$O$25,8,FALSE)</f>
        <v>146.63</v>
      </c>
      <c r="Q148" s="59">
        <f>($C148/$D148)*VLOOKUP($E148,'AWS Platforms Ratios'!$A$2:$O$25,9,FALSE)</f>
        <v>343.7</v>
      </c>
      <c r="R148" s="59">
        <f>($C148/$D148)*VLOOKUP($E148,'AWS Platforms Ratios'!$A$2:$O$25,10,FALSE)</f>
        <v>477.975</v>
      </c>
      <c r="S148" s="59">
        <f>$F148*VLOOKUP($E148,'AWS Platforms Ratios'!$A$2:$O$25,11,FALSE)</f>
        <v>115.62</v>
      </c>
      <c r="T148" s="59">
        <f>$F148*VLOOKUP($E148,'AWS Platforms Ratios'!$A$2:$O$25,12,FALSE)</f>
        <v>184.78</v>
      </c>
      <c r="U148" s="59">
        <f>$F148*VLOOKUP($E148,'AWS Platforms Ratios'!$A$2:$O$25,13,FALSE)</f>
        <v>476.2</v>
      </c>
      <c r="V148" s="59">
        <f>$F148*VLOOKUP($E148,'AWS Platforms Ratios'!$A$2:$O$25,14,FALSE)</f>
        <v>767.62</v>
      </c>
      <c r="W148" s="60">
        <f>IF($K148&lt;&gt;"N/A",$M148*(VLOOKUP($L148,'GPU Specs &amp; Ratios'!$B$2:$I$8,5,FALSE)),0)</f>
        <v>0</v>
      </c>
      <c r="X148" s="60">
        <f>IF($K148&lt;&gt;"N/A",$M148*(VLOOKUP($L148,'GPU Specs &amp; Ratios'!$B$2:$I$8,6,FALSE)),0)</f>
        <v>0</v>
      </c>
      <c r="Y148" s="60">
        <f>IF($K148&lt;&gt;"N/A",$M148*(VLOOKUP($L148,'GPU Specs &amp; Ratios'!$B$2:$I$8,7,FALSE)),0)</f>
        <v>0</v>
      </c>
      <c r="Z148" s="60">
        <f>IF($K148&lt;&gt;"N/A",$M148*(VLOOKUP($L148,'GPU Specs &amp; Ratios'!$B$2:$I$8,8,FALSE)),0)</f>
        <v>0</v>
      </c>
      <c r="AA148" s="60">
        <f>(C148/D148)*VLOOKUP($E148,'AWS Platforms Ratios'!$A$2:$O$25,15,FALSE)</f>
        <v>96</v>
      </c>
      <c r="AB148" s="60">
        <f t="shared" ref="AB148:AE148" si="147">O148+S148+W148+$AA148</f>
        <v>269.5</v>
      </c>
      <c r="AC148" s="60">
        <f t="shared" si="147"/>
        <v>427.41</v>
      </c>
      <c r="AD148" s="60">
        <f t="shared" si="147"/>
        <v>915.9</v>
      </c>
      <c r="AE148" s="60">
        <f t="shared" si="147"/>
        <v>1341.595</v>
      </c>
      <c r="AF148" s="60">
        <f>IF(G148&gt;'Scope 3 Ratios'!$B$5,(G148-'Scope 3 Ratios'!$B$5)*('Scope 3 Ratios'!$B$6/'Scope 3 Ratios'!$B$5),0)</f>
        <v>1042.9488</v>
      </c>
      <c r="AG148" s="60">
        <f>J148*IF(I148="SSD",'Scope 3 Ratios'!$B$9,'Scope 3 Ratios'!$B$8)</f>
        <v>800</v>
      </c>
      <c r="AH148" s="60">
        <f>IF(K148&lt;&gt;"N/A",K148*'Scope 3 Ratios'!$B$10,0)</f>
        <v>0</v>
      </c>
      <c r="AI148" s="60">
        <f>(VLOOKUP($E148,'AWS Platforms Ratios'!$A$2:$O$25,3,FALSE)-1)*'Scope 3 Ratios'!$B$7</f>
        <v>100</v>
      </c>
      <c r="AJ148" s="60">
        <f>'Scope 3 Ratios'!$B$2+AF148+AG148+AH148+AI148</f>
        <v>2942.9488</v>
      </c>
      <c r="AK148" s="60">
        <f>AJ148*'Scope 3 Ratios'!$B$4*(C148/D148)</f>
        <v>85.15476852</v>
      </c>
      <c r="AL148" s="61" t="s">
        <v>352</v>
      </c>
    </row>
    <row r="149" ht="15.0" customHeight="1">
      <c r="A149" s="56" t="s">
        <v>365</v>
      </c>
      <c r="B149" s="56" t="s">
        <v>186</v>
      </c>
      <c r="C149" s="56">
        <v>96.0</v>
      </c>
      <c r="D149" s="56">
        <f>VLOOKUP(E149,'AWS Platforms Ratios'!$A$2:$B$25,2,FALSE)</f>
        <v>96</v>
      </c>
      <c r="E149" s="57" t="s">
        <v>350</v>
      </c>
      <c r="F149" s="56">
        <v>768.0</v>
      </c>
      <c r="G149" s="56">
        <v>768.0</v>
      </c>
      <c r="H149" s="57" t="s">
        <v>364</v>
      </c>
      <c r="I149" s="56" t="s">
        <v>85</v>
      </c>
      <c r="J149" s="56">
        <v>8.0</v>
      </c>
      <c r="K149" s="58" t="s">
        <v>73</v>
      </c>
      <c r="L149" s="58" t="s">
        <v>73</v>
      </c>
      <c r="M149" s="58" t="s">
        <v>73</v>
      </c>
      <c r="N149" s="58" t="s">
        <v>73</v>
      </c>
      <c r="O149" s="59">
        <f>($C149/$D149)*VLOOKUP($E149,'AWS Platforms Ratios'!$A$2:$O$25,7,FALSE)</f>
        <v>57.88</v>
      </c>
      <c r="P149" s="59">
        <f>($C149/$D149)*VLOOKUP($E149,'AWS Platforms Ratios'!$A$2:$O$25,8,FALSE)</f>
        <v>146.63</v>
      </c>
      <c r="Q149" s="59">
        <f>($C149/$D149)*VLOOKUP($E149,'AWS Platforms Ratios'!$A$2:$O$25,9,FALSE)</f>
        <v>343.7</v>
      </c>
      <c r="R149" s="59">
        <f>($C149/$D149)*VLOOKUP($E149,'AWS Platforms Ratios'!$A$2:$O$25,10,FALSE)</f>
        <v>477.975</v>
      </c>
      <c r="S149" s="59">
        <f>$F149*VLOOKUP($E149,'AWS Platforms Ratios'!$A$2:$O$25,11,FALSE)</f>
        <v>115.62</v>
      </c>
      <c r="T149" s="59">
        <f>$F149*VLOOKUP($E149,'AWS Platforms Ratios'!$A$2:$O$25,12,FALSE)</f>
        <v>184.78</v>
      </c>
      <c r="U149" s="59">
        <f>$F149*VLOOKUP($E149,'AWS Platforms Ratios'!$A$2:$O$25,13,FALSE)</f>
        <v>476.2</v>
      </c>
      <c r="V149" s="59">
        <f>$F149*VLOOKUP($E149,'AWS Platforms Ratios'!$A$2:$O$25,14,FALSE)</f>
        <v>767.62</v>
      </c>
      <c r="W149" s="60">
        <f>IF($K149&lt;&gt;"N/A",$M149*(VLOOKUP($L149,'GPU Specs &amp; Ratios'!$B$2:$I$8,5,FALSE)),0)</f>
        <v>0</v>
      </c>
      <c r="X149" s="60">
        <f>IF($K149&lt;&gt;"N/A",$M149*(VLOOKUP($L149,'GPU Specs &amp; Ratios'!$B$2:$I$8,6,FALSE)),0)</f>
        <v>0</v>
      </c>
      <c r="Y149" s="60">
        <f>IF($K149&lt;&gt;"N/A",$M149*(VLOOKUP($L149,'GPU Specs &amp; Ratios'!$B$2:$I$8,7,FALSE)),0)</f>
        <v>0</v>
      </c>
      <c r="Z149" s="60">
        <f>IF($K149&lt;&gt;"N/A",$M149*(VLOOKUP($L149,'GPU Specs &amp; Ratios'!$B$2:$I$8,8,FALSE)),0)</f>
        <v>0</v>
      </c>
      <c r="AA149" s="60">
        <f>(C149/D149)*VLOOKUP($E149,'AWS Platforms Ratios'!$A$2:$O$25,15,FALSE)</f>
        <v>96</v>
      </c>
      <c r="AB149" s="60">
        <f t="shared" ref="AB149:AE149" si="148">O149+S149+W149+$AA149</f>
        <v>269.5</v>
      </c>
      <c r="AC149" s="60">
        <f t="shared" si="148"/>
        <v>427.41</v>
      </c>
      <c r="AD149" s="60">
        <f t="shared" si="148"/>
        <v>915.9</v>
      </c>
      <c r="AE149" s="60">
        <f t="shared" si="148"/>
        <v>1341.595</v>
      </c>
      <c r="AF149" s="60">
        <f>IF(G149&gt;'Scope 3 Ratios'!$B$5,(G149-'Scope 3 Ratios'!$B$5)*('Scope 3 Ratios'!$B$6/'Scope 3 Ratios'!$B$5),0)</f>
        <v>1042.9488</v>
      </c>
      <c r="AG149" s="60">
        <f>J149*IF(I149="SSD",'Scope 3 Ratios'!$B$9,'Scope 3 Ratios'!$B$8)</f>
        <v>800</v>
      </c>
      <c r="AH149" s="60">
        <f>IF(K149&lt;&gt;"N/A",K149*'Scope 3 Ratios'!$B$10,0)</f>
        <v>0</v>
      </c>
      <c r="AI149" s="60">
        <f>(VLOOKUP($E149,'AWS Platforms Ratios'!$A$2:$O$25,3,FALSE)-1)*'Scope 3 Ratios'!$B$7</f>
        <v>100</v>
      </c>
      <c r="AJ149" s="60">
        <f>'Scope 3 Ratios'!$B$2+AF149+AG149+AH149+AI149</f>
        <v>2942.9488</v>
      </c>
      <c r="AK149" s="60">
        <f>AJ149*'Scope 3 Ratios'!$B$4*(C149/D149)</f>
        <v>85.15476852</v>
      </c>
      <c r="AL149" s="61" t="s">
        <v>352</v>
      </c>
    </row>
    <row r="150" ht="15.0" customHeight="1">
      <c r="A150" s="63" t="s">
        <v>366</v>
      </c>
      <c r="B150" s="56" t="s">
        <v>188</v>
      </c>
      <c r="C150" s="63">
        <v>4.0</v>
      </c>
      <c r="D150" s="56">
        <f>VLOOKUP(E150,'AWS Platforms Ratios'!$A$2:$B$25,2,FALSE)</f>
        <v>96</v>
      </c>
      <c r="E150" s="63" t="s">
        <v>129</v>
      </c>
      <c r="F150" s="63">
        <v>8.0</v>
      </c>
      <c r="G150" s="63">
        <v>192.0</v>
      </c>
      <c r="H150" s="64" t="s">
        <v>367</v>
      </c>
      <c r="I150" s="63" t="s">
        <v>72</v>
      </c>
      <c r="J150" s="63">
        <v>0.0</v>
      </c>
      <c r="K150" s="58" t="s">
        <v>73</v>
      </c>
      <c r="L150" s="58" t="s">
        <v>73</v>
      </c>
      <c r="M150" s="58" t="s">
        <v>73</v>
      </c>
      <c r="N150" s="58" t="s">
        <v>73</v>
      </c>
      <c r="O150" s="59">
        <f>($C150/$D150)*VLOOKUP($E150,'AWS Platforms Ratios'!$A$2:$O$25,7,FALSE)</f>
        <v>2.41375</v>
      </c>
      <c r="P150" s="59">
        <f>($C150/$D150)*VLOOKUP($E150,'AWS Platforms Ratios'!$A$2:$O$25,8,FALSE)</f>
        <v>7.31375</v>
      </c>
      <c r="Q150" s="59">
        <f>($C150/$D150)*VLOOKUP($E150,'AWS Platforms Ratios'!$A$2:$O$25,9,FALSE)</f>
        <v>18.67958333</v>
      </c>
      <c r="R150" s="59">
        <f>($C150/$D150)*VLOOKUP($E150,'AWS Platforms Ratios'!$A$2:$O$25,10,FALSE)</f>
        <v>26.11479167</v>
      </c>
      <c r="S150" s="59">
        <f>$F150*VLOOKUP($E150,'AWS Platforms Ratios'!$A$2:$O$25,11,FALSE)</f>
        <v>1.522916667</v>
      </c>
      <c r="T150" s="59">
        <f>$F150*VLOOKUP($E150,'AWS Platforms Ratios'!$A$2:$O$25,12,FALSE)</f>
        <v>2.760833333</v>
      </c>
      <c r="U150" s="59">
        <f>$F150*VLOOKUP($E150,'AWS Platforms Ratios'!$A$2:$O$25,13,FALSE)</f>
        <v>5.765416667</v>
      </c>
      <c r="V150" s="59">
        <f>$F150*VLOOKUP($E150,'AWS Platforms Ratios'!$A$2:$O$25,14,FALSE)</f>
        <v>8.77</v>
      </c>
      <c r="W150" s="60">
        <f>IF($K150&lt;&gt;"N/A",$M150*(VLOOKUP($L150,'GPU Specs &amp; Ratios'!$B$2:$I$8,5,FALSE)),0)</f>
        <v>0</v>
      </c>
      <c r="X150" s="60">
        <f>IF($K150&lt;&gt;"N/A",$M150*(VLOOKUP($L150,'GPU Specs &amp; Ratios'!$B$2:$I$8,6,FALSE)),0)</f>
        <v>0</v>
      </c>
      <c r="Y150" s="60">
        <f>IF($K150&lt;&gt;"N/A",$M150*(VLOOKUP($L150,'GPU Specs &amp; Ratios'!$B$2:$I$8,7,FALSE)),0)</f>
        <v>0</v>
      </c>
      <c r="Z150" s="60">
        <f>IF($K150&lt;&gt;"N/A",$M150*(VLOOKUP($L150,'GPU Specs &amp; Ratios'!$B$2:$I$8,8,FALSE)),0)</f>
        <v>0</v>
      </c>
      <c r="AA150" s="60">
        <f>(C150/D150)*VLOOKUP($E150,'AWS Platforms Ratios'!$A$2:$O$25,15,FALSE)</f>
        <v>4</v>
      </c>
      <c r="AB150" s="60">
        <f t="shared" ref="AB150:AE150" si="149">O150+S150+W150+$AA150</f>
        <v>7.936666667</v>
      </c>
      <c r="AC150" s="60">
        <f t="shared" si="149"/>
        <v>14.07458333</v>
      </c>
      <c r="AD150" s="60">
        <f t="shared" si="149"/>
        <v>28.445</v>
      </c>
      <c r="AE150" s="60">
        <f t="shared" si="149"/>
        <v>38.88479167</v>
      </c>
      <c r="AF150" s="60">
        <f>IF(G150&gt;'Scope 3 Ratios'!$B$5,(G150-'Scope 3 Ratios'!$B$5)*('Scope 3 Ratios'!$B$6/'Scope 3 Ratios'!$B$5),0)</f>
        <v>244.0944</v>
      </c>
      <c r="AG150" s="60">
        <f>J150*IF(I150="SSD",'Scope 3 Ratios'!$B$9,'Scope 3 Ratios'!$B$8)</f>
        <v>0</v>
      </c>
      <c r="AH150" s="60">
        <f>IF(K150&lt;&gt;"N/A",K150*'Scope 3 Ratios'!$B$10,0)</f>
        <v>0</v>
      </c>
      <c r="AI150" s="60">
        <f>(VLOOKUP($E150,'AWS Platforms Ratios'!$A$2:$O$25,3,FALSE)-1)*'Scope 3 Ratios'!$B$7</f>
        <v>100</v>
      </c>
      <c r="AJ150" s="60">
        <f>'Scope 3 Ratios'!$B$2+AF150+AG150+AH150+AI150</f>
        <v>1344.0944</v>
      </c>
      <c r="AK150" s="60">
        <f>AJ150*'Scope 3 Ratios'!$B$4*(C150/D150)</f>
        <v>1.620484182</v>
      </c>
      <c r="AL150" s="66" t="s">
        <v>368</v>
      </c>
    </row>
    <row r="151" ht="15.0" customHeight="1">
      <c r="A151" s="63" t="s">
        <v>369</v>
      </c>
      <c r="B151" s="56" t="s">
        <v>188</v>
      </c>
      <c r="C151" s="63">
        <v>8.0</v>
      </c>
      <c r="D151" s="56">
        <f>VLOOKUP(E151,'AWS Platforms Ratios'!$A$2:$B$25,2,FALSE)</f>
        <v>96</v>
      </c>
      <c r="E151" s="63" t="s">
        <v>129</v>
      </c>
      <c r="F151" s="63">
        <v>16.0</v>
      </c>
      <c r="G151" s="63">
        <v>192.0</v>
      </c>
      <c r="H151" s="64" t="s">
        <v>367</v>
      </c>
      <c r="I151" s="63" t="s">
        <v>72</v>
      </c>
      <c r="J151" s="63">
        <v>0.0</v>
      </c>
      <c r="K151" s="58" t="s">
        <v>73</v>
      </c>
      <c r="L151" s="58" t="s">
        <v>73</v>
      </c>
      <c r="M151" s="58" t="s">
        <v>73</v>
      </c>
      <c r="N151" s="58" t="s">
        <v>73</v>
      </c>
      <c r="O151" s="59">
        <f>($C151/$D151)*VLOOKUP($E151,'AWS Platforms Ratios'!$A$2:$O$25,7,FALSE)</f>
        <v>4.8275</v>
      </c>
      <c r="P151" s="59">
        <f>($C151/$D151)*VLOOKUP($E151,'AWS Platforms Ratios'!$A$2:$O$25,8,FALSE)</f>
        <v>14.6275</v>
      </c>
      <c r="Q151" s="59">
        <f>($C151/$D151)*VLOOKUP($E151,'AWS Platforms Ratios'!$A$2:$O$25,9,FALSE)</f>
        <v>37.35916667</v>
      </c>
      <c r="R151" s="59">
        <f>($C151/$D151)*VLOOKUP($E151,'AWS Platforms Ratios'!$A$2:$O$25,10,FALSE)</f>
        <v>52.22958333</v>
      </c>
      <c r="S151" s="59">
        <f>$F151*VLOOKUP($E151,'AWS Platforms Ratios'!$A$2:$O$25,11,FALSE)</f>
        <v>3.045833333</v>
      </c>
      <c r="T151" s="59">
        <f>$F151*VLOOKUP($E151,'AWS Platforms Ratios'!$A$2:$O$25,12,FALSE)</f>
        <v>5.521666667</v>
      </c>
      <c r="U151" s="59">
        <f>$F151*VLOOKUP($E151,'AWS Platforms Ratios'!$A$2:$O$25,13,FALSE)</f>
        <v>11.53083333</v>
      </c>
      <c r="V151" s="59">
        <f>$F151*VLOOKUP($E151,'AWS Platforms Ratios'!$A$2:$O$25,14,FALSE)</f>
        <v>17.54</v>
      </c>
      <c r="W151" s="60">
        <f>IF($K151&lt;&gt;"N/A",$M151*(VLOOKUP($L151,'GPU Specs &amp; Ratios'!$B$2:$I$8,5,FALSE)),0)</f>
        <v>0</v>
      </c>
      <c r="X151" s="60">
        <f>IF($K151&lt;&gt;"N/A",$M151*(VLOOKUP($L151,'GPU Specs &amp; Ratios'!$B$2:$I$8,6,FALSE)),0)</f>
        <v>0</v>
      </c>
      <c r="Y151" s="60">
        <f>IF($K151&lt;&gt;"N/A",$M151*(VLOOKUP($L151,'GPU Specs &amp; Ratios'!$B$2:$I$8,7,FALSE)),0)</f>
        <v>0</v>
      </c>
      <c r="Z151" s="60">
        <f>IF($K151&lt;&gt;"N/A",$M151*(VLOOKUP($L151,'GPU Specs &amp; Ratios'!$B$2:$I$8,8,FALSE)),0)</f>
        <v>0</v>
      </c>
      <c r="AA151" s="60">
        <f>(C151/D151)*VLOOKUP($E151,'AWS Platforms Ratios'!$A$2:$O$25,15,FALSE)</f>
        <v>8</v>
      </c>
      <c r="AB151" s="60">
        <f t="shared" ref="AB151:AE151" si="150">O151+S151+W151+$AA151</f>
        <v>15.87333333</v>
      </c>
      <c r="AC151" s="60">
        <f t="shared" si="150"/>
        <v>28.14916667</v>
      </c>
      <c r="AD151" s="60">
        <f t="shared" si="150"/>
        <v>56.89</v>
      </c>
      <c r="AE151" s="60">
        <f t="shared" si="150"/>
        <v>77.76958333</v>
      </c>
      <c r="AF151" s="60">
        <f>IF(G151&gt;'Scope 3 Ratios'!$B$5,(G151-'Scope 3 Ratios'!$B$5)*('Scope 3 Ratios'!$B$6/'Scope 3 Ratios'!$B$5),0)</f>
        <v>244.0944</v>
      </c>
      <c r="AG151" s="60">
        <f>J151*IF(I151="SSD",'Scope 3 Ratios'!$B$9,'Scope 3 Ratios'!$B$8)</f>
        <v>0</v>
      </c>
      <c r="AH151" s="60">
        <f>IF(K151&lt;&gt;"N/A",K151*'Scope 3 Ratios'!$B$10,0)</f>
        <v>0</v>
      </c>
      <c r="AI151" s="60">
        <f>(VLOOKUP($E151,'AWS Platforms Ratios'!$A$2:$O$25,3,FALSE)-1)*'Scope 3 Ratios'!$B$7</f>
        <v>100</v>
      </c>
      <c r="AJ151" s="60">
        <f>'Scope 3 Ratios'!$B$2+AF151+AG151+AH151+AI151</f>
        <v>1344.0944</v>
      </c>
      <c r="AK151" s="60">
        <f>AJ151*'Scope 3 Ratios'!$B$4*(C151/D151)</f>
        <v>3.240968364</v>
      </c>
      <c r="AL151" s="66" t="s">
        <v>368</v>
      </c>
    </row>
    <row r="152" ht="15.0" customHeight="1">
      <c r="A152" s="63" t="s">
        <v>370</v>
      </c>
      <c r="B152" s="56" t="s">
        <v>188</v>
      </c>
      <c r="C152" s="63">
        <v>24.0</v>
      </c>
      <c r="D152" s="56">
        <f>VLOOKUP(E152,'AWS Platforms Ratios'!$A$2:$B$25,2,FALSE)</f>
        <v>96</v>
      </c>
      <c r="E152" s="63" t="s">
        <v>129</v>
      </c>
      <c r="F152" s="63">
        <v>48.0</v>
      </c>
      <c r="G152" s="63">
        <v>192.0</v>
      </c>
      <c r="H152" s="64" t="s">
        <v>367</v>
      </c>
      <c r="I152" s="63" t="s">
        <v>72</v>
      </c>
      <c r="J152" s="63">
        <v>0.0</v>
      </c>
      <c r="K152" s="58" t="s">
        <v>73</v>
      </c>
      <c r="L152" s="58" t="s">
        <v>73</v>
      </c>
      <c r="M152" s="58" t="s">
        <v>73</v>
      </c>
      <c r="N152" s="58" t="s">
        <v>73</v>
      </c>
      <c r="O152" s="59">
        <f>($C152/$D152)*VLOOKUP($E152,'AWS Platforms Ratios'!$A$2:$O$25,7,FALSE)</f>
        <v>14.4825</v>
      </c>
      <c r="P152" s="59">
        <f>($C152/$D152)*VLOOKUP($E152,'AWS Platforms Ratios'!$A$2:$O$25,8,FALSE)</f>
        <v>43.8825</v>
      </c>
      <c r="Q152" s="59">
        <f>($C152/$D152)*VLOOKUP($E152,'AWS Platforms Ratios'!$A$2:$O$25,9,FALSE)</f>
        <v>112.0775</v>
      </c>
      <c r="R152" s="59">
        <f>($C152/$D152)*VLOOKUP($E152,'AWS Platforms Ratios'!$A$2:$O$25,10,FALSE)</f>
        <v>156.68875</v>
      </c>
      <c r="S152" s="59">
        <f>$F152*VLOOKUP($E152,'AWS Platforms Ratios'!$A$2:$O$25,11,FALSE)</f>
        <v>9.1375</v>
      </c>
      <c r="T152" s="59">
        <f>$F152*VLOOKUP($E152,'AWS Platforms Ratios'!$A$2:$O$25,12,FALSE)</f>
        <v>16.565</v>
      </c>
      <c r="U152" s="59">
        <f>$F152*VLOOKUP($E152,'AWS Platforms Ratios'!$A$2:$O$25,13,FALSE)</f>
        <v>34.5925</v>
      </c>
      <c r="V152" s="59">
        <f>$F152*VLOOKUP($E152,'AWS Platforms Ratios'!$A$2:$O$25,14,FALSE)</f>
        <v>52.62</v>
      </c>
      <c r="W152" s="60">
        <f>IF($K152&lt;&gt;"N/A",$M152*(VLOOKUP($L152,'GPU Specs &amp; Ratios'!$B$2:$I$8,5,FALSE)),0)</f>
        <v>0</v>
      </c>
      <c r="X152" s="60">
        <f>IF($K152&lt;&gt;"N/A",$M152*(VLOOKUP($L152,'GPU Specs &amp; Ratios'!$B$2:$I$8,6,FALSE)),0)</f>
        <v>0</v>
      </c>
      <c r="Y152" s="60">
        <f>IF($K152&lt;&gt;"N/A",$M152*(VLOOKUP($L152,'GPU Specs &amp; Ratios'!$B$2:$I$8,7,FALSE)),0)</f>
        <v>0</v>
      </c>
      <c r="Z152" s="60">
        <f>IF($K152&lt;&gt;"N/A",$M152*(VLOOKUP($L152,'GPU Specs &amp; Ratios'!$B$2:$I$8,8,FALSE)),0)</f>
        <v>0</v>
      </c>
      <c r="AA152" s="60">
        <f>(C152/D152)*VLOOKUP($E152,'AWS Platforms Ratios'!$A$2:$O$25,15,FALSE)</f>
        <v>24</v>
      </c>
      <c r="AB152" s="60">
        <f t="shared" ref="AB152:AE152" si="151">O152+S152+W152+$AA152</f>
        <v>47.62</v>
      </c>
      <c r="AC152" s="60">
        <f t="shared" si="151"/>
        <v>84.4475</v>
      </c>
      <c r="AD152" s="60">
        <f t="shared" si="151"/>
        <v>170.67</v>
      </c>
      <c r="AE152" s="60">
        <f t="shared" si="151"/>
        <v>233.30875</v>
      </c>
      <c r="AF152" s="60">
        <f>IF(G152&gt;'Scope 3 Ratios'!$B$5,(G152-'Scope 3 Ratios'!$B$5)*('Scope 3 Ratios'!$B$6/'Scope 3 Ratios'!$B$5),0)</f>
        <v>244.0944</v>
      </c>
      <c r="AG152" s="60">
        <f>J152*IF(I152="SSD",'Scope 3 Ratios'!$B$9,'Scope 3 Ratios'!$B$8)</f>
        <v>0</v>
      </c>
      <c r="AH152" s="60">
        <f>IF(K152&lt;&gt;"N/A",K152*'Scope 3 Ratios'!$B$10,0)</f>
        <v>0</v>
      </c>
      <c r="AI152" s="60">
        <f>(VLOOKUP($E152,'AWS Platforms Ratios'!$A$2:$O$25,3,FALSE)-1)*'Scope 3 Ratios'!$B$7</f>
        <v>100</v>
      </c>
      <c r="AJ152" s="60">
        <f>'Scope 3 Ratios'!$B$2+AF152+AG152+AH152+AI152</f>
        <v>1344.0944</v>
      </c>
      <c r="AK152" s="60">
        <f>AJ152*'Scope 3 Ratios'!$B$4*(C152/D152)</f>
        <v>9.722905093</v>
      </c>
      <c r="AL152" s="66" t="s">
        <v>371</v>
      </c>
    </row>
    <row r="153" ht="15.0" customHeight="1">
      <c r="A153" s="63" t="s">
        <v>372</v>
      </c>
      <c r="B153" s="56" t="s">
        <v>188</v>
      </c>
      <c r="C153" s="63">
        <v>96.0</v>
      </c>
      <c r="D153" s="56">
        <f>VLOOKUP(E153,'AWS Platforms Ratios'!$A$2:$B$25,2,FALSE)</f>
        <v>96</v>
      </c>
      <c r="E153" s="63" t="s">
        <v>129</v>
      </c>
      <c r="F153" s="63">
        <v>192.0</v>
      </c>
      <c r="G153" s="63">
        <v>192.0</v>
      </c>
      <c r="H153" s="64" t="s">
        <v>367</v>
      </c>
      <c r="I153" s="63" t="s">
        <v>72</v>
      </c>
      <c r="J153" s="63">
        <v>0.0</v>
      </c>
      <c r="K153" s="58" t="s">
        <v>73</v>
      </c>
      <c r="L153" s="58" t="s">
        <v>73</v>
      </c>
      <c r="M153" s="58" t="s">
        <v>73</v>
      </c>
      <c r="N153" s="58" t="s">
        <v>73</v>
      </c>
      <c r="O153" s="59">
        <f>($C153/$D153)*VLOOKUP($E153,'AWS Platforms Ratios'!$A$2:$O$25,7,FALSE)</f>
        <v>57.93</v>
      </c>
      <c r="P153" s="59">
        <f>($C153/$D153)*VLOOKUP($E153,'AWS Platforms Ratios'!$A$2:$O$25,8,FALSE)</f>
        <v>175.53</v>
      </c>
      <c r="Q153" s="59">
        <f>($C153/$D153)*VLOOKUP($E153,'AWS Platforms Ratios'!$A$2:$O$25,9,FALSE)</f>
        <v>448.31</v>
      </c>
      <c r="R153" s="59">
        <f>($C153/$D153)*VLOOKUP($E153,'AWS Platforms Ratios'!$A$2:$O$25,10,FALSE)</f>
        <v>626.755</v>
      </c>
      <c r="S153" s="59">
        <f>$F153*VLOOKUP($E153,'AWS Platforms Ratios'!$A$2:$O$25,11,FALSE)</f>
        <v>36.55</v>
      </c>
      <c r="T153" s="59">
        <f>$F153*VLOOKUP($E153,'AWS Platforms Ratios'!$A$2:$O$25,12,FALSE)</f>
        <v>66.26</v>
      </c>
      <c r="U153" s="59">
        <f>$F153*VLOOKUP($E153,'AWS Platforms Ratios'!$A$2:$O$25,13,FALSE)</f>
        <v>138.37</v>
      </c>
      <c r="V153" s="59">
        <f>$F153*VLOOKUP($E153,'AWS Platforms Ratios'!$A$2:$O$25,14,FALSE)</f>
        <v>210.48</v>
      </c>
      <c r="W153" s="60">
        <f>IF($K153&lt;&gt;"N/A",$M153*(VLOOKUP($L153,'GPU Specs &amp; Ratios'!$B$2:$I$8,5,FALSE)),0)</f>
        <v>0</v>
      </c>
      <c r="X153" s="60">
        <f>IF($K153&lt;&gt;"N/A",$M153*(VLOOKUP($L153,'GPU Specs &amp; Ratios'!$B$2:$I$8,6,FALSE)),0)</f>
        <v>0</v>
      </c>
      <c r="Y153" s="60">
        <f>IF($K153&lt;&gt;"N/A",$M153*(VLOOKUP($L153,'GPU Specs &amp; Ratios'!$B$2:$I$8,7,FALSE)),0)</f>
        <v>0</v>
      </c>
      <c r="Z153" s="60">
        <f>IF($K153&lt;&gt;"N/A",$M153*(VLOOKUP($L153,'GPU Specs &amp; Ratios'!$B$2:$I$8,8,FALSE)),0)</f>
        <v>0</v>
      </c>
      <c r="AA153" s="60">
        <f>(C153/D153)*VLOOKUP($E153,'AWS Platforms Ratios'!$A$2:$O$25,15,FALSE)</f>
        <v>96</v>
      </c>
      <c r="AB153" s="60">
        <f t="shared" ref="AB153:AE153" si="152">O153+S153+W153+$AA153</f>
        <v>190.48</v>
      </c>
      <c r="AC153" s="60">
        <f t="shared" si="152"/>
        <v>337.79</v>
      </c>
      <c r="AD153" s="60">
        <f t="shared" si="152"/>
        <v>682.68</v>
      </c>
      <c r="AE153" s="60">
        <f t="shared" si="152"/>
        <v>933.235</v>
      </c>
      <c r="AF153" s="60">
        <f>IF(G153&gt;'Scope 3 Ratios'!$B$5,(G153-'Scope 3 Ratios'!$B$5)*('Scope 3 Ratios'!$B$6/'Scope 3 Ratios'!$B$5),0)</f>
        <v>244.0944</v>
      </c>
      <c r="AG153" s="60">
        <f>J153*IF(I153="SSD",'Scope 3 Ratios'!$B$9,'Scope 3 Ratios'!$B$8)</f>
        <v>0</v>
      </c>
      <c r="AH153" s="60">
        <f>IF(K153&lt;&gt;"N/A",K153*'Scope 3 Ratios'!$B$10,0)</f>
        <v>0</v>
      </c>
      <c r="AI153" s="60">
        <f>(VLOOKUP($E153,'AWS Platforms Ratios'!$A$2:$O$25,3,FALSE)-1)*'Scope 3 Ratios'!$B$7</f>
        <v>100</v>
      </c>
      <c r="AJ153" s="60">
        <f>'Scope 3 Ratios'!$B$2+AF153+AG153+AH153+AI153</f>
        <v>1344.0944</v>
      </c>
      <c r="AK153" s="60">
        <f>AJ153*'Scope 3 Ratios'!$B$4*(C153/D153)</f>
        <v>38.89162037</v>
      </c>
      <c r="AL153" s="66" t="s">
        <v>373</v>
      </c>
    </row>
    <row r="154" ht="15.0" customHeight="1">
      <c r="A154" s="56" t="s">
        <v>374</v>
      </c>
      <c r="B154" s="56" t="s">
        <v>375</v>
      </c>
      <c r="C154" s="56">
        <v>1.0</v>
      </c>
      <c r="D154" s="56">
        <f>VLOOKUP(E154,'AWS Platforms Ratios'!$A$2:$B$25,2,FALSE)</f>
        <v>32</v>
      </c>
      <c r="E154" s="57" t="s">
        <v>376</v>
      </c>
      <c r="F154" s="56">
        <v>1.7</v>
      </c>
      <c r="G154" s="56">
        <v>120.0</v>
      </c>
      <c r="H154" s="57" t="s">
        <v>377</v>
      </c>
      <c r="I154" s="56" t="s">
        <v>85</v>
      </c>
      <c r="J154" s="56">
        <v>4.0</v>
      </c>
      <c r="K154" s="58" t="s">
        <v>73</v>
      </c>
      <c r="L154" s="58" t="s">
        <v>73</v>
      </c>
      <c r="M154" s="58" t="s">
        <v>73</v>
      </c>
      <c r="N154" s="58" t="s">
        <v>73</v>
      </c>
      <c r="O154" s="59">
        <f>($C154/$D154)*VLOOKUP($E154,'AWS Platforms Ratios'!$A$2:$O$25,7,FALSE)</f>
        <v>0.7161853448</v>
      </c>
      <c r="P154" s="59">
        <f>($C154/$D154)*VLOOKUP($E154,'AWS Platforms Ratios'!$A$2:$O$25,8,FALSE)</f>
        <v>2.044547414</v>
      </c>
      <c r="Q154" s="59">
        <f>($C154/$D154)*VLOOKUP($E154,'AWS Platforms Ratios'!$A$2:$O$25,9,FALSE)</f>
        <v>4.20518319</v>
      </c>
      <c r="R154" s="59">
        <f>($C154/$D154)*VLOOKUP($E154,'AWS Platforms Ratios'!$A$2:$O$25,10,FALSE)</f>
        <v>5.755945582</v>
      </c>
      <c r="S154" s="59">
        <f>$F154*VLOOKUP($E154,'AWS Platforms Ratios'!$A$2:$O$25,11,FALSE)</f>
        <v>0.34</v>
      </c>
      <c r="T154" s="59">
        <f>$F154*VLOOKUP($E154,'AWS Platforms Ratios'!$A$2:$O$25,12,FALSE)</f>
        <v>0.51</v>
      </c>
      <c r="U154" s="59">
        <f>$F154*VLOOKUP($E154,'AWS Platforms Ratios'!$A$2:$O$25,13,FALSE)</f>
        <v>0.68</v>
      </c>
      <c r="V154" s="59">
        <f>$F154*VLOOKUP($E154,'AWS Platforms Ratios'!$A$2:$O$25,14,FALSE)</f>
        <v>1.02</v>
      </c>
      <c r="W154" s="60">
        <f>IF($K154&lt;&gt;"N/A",$M154*(VLOOKUP($L154,'GPU Specs &amp; Ratios'!$B$2:$I$8,5,FALSE)),0)</f>
        <v>0</v>
      </c>
      <c r="X154" s="60">
        <f>IF($K154&lt;&gt;"N/A",$M154*(VLOOKUP($L154,'GPU Specs &amp; Ratios'!$B$2:$I$8,6,FALSE)),0)</f>
        <v>0</v>
      </c>
      <c r="Y154" s="60">
        <f>IF($K154&lt;&gt;"N/A",$M154*(VLOOKUP($L154,'GPU Specs &amp; Ratios'!$B$2:$I$8,7,FALSE)),0)</f>
        <v>0</v>
      </c>
      <c r="Z154" s="60">
        <f>IF($K154&lt;&gt;"N/A",$M154*(VLOOKUP($L154,'GPU Specs &amp; Ratios'!$B$2:$I$8,8,FALSE)),0)</f>
        <v>0</v>
      </c>
      <c r="AA154" s="60">
        <f>(C154/D154)*VLOOKUP($E154,'AWS Platforms Ratios'!$A$2:$O$25,15,FALSE)</f>
        <v>1.1875</v>
      </c>
      <c r="AB154" s="60">
        <f t="shared" ref="AB154:AE154" si="153">O154+S154+W154+$AA154</f>
        <v>2.243685345</v>
      </c>
      <c r="AC154" s="60">
        <f t="shared" si="153"/>
        <v>3.742047414</v>
      </c>
      <c r="AD154" s="60">
        <f t="shared" si="153"/>
        <v>6.07268319</v>
      </c>
      <c r="AE154" s="60">
        <f t="shared" si="153"/>
        <v>7.963445582</v>
      </c>
      <c r="AF154" s="60">
        <f>IF(G154&gt;'Scope 3 Ratios'!$B$5,(G154-'Scope 3 Ratios'!$B$5)*('Scope 3 Ratios'!$B$6/'Scope 3 Ratios'!$B$5),0)</f>
        <v>144.2376</v>
      </c>
      <c r="AG154" s="60">
        <f>J154*IF(I154="SSD",'Scope 3 Ratios'!$B$9,'Scope 3 Ratios'!$B$8)</f>
        <v>400</v>
      </c>
      <c r="AH154" s="60">
        <f>IF(K154&lt;&gt;"N/A",K154*'Scope 3 Ratios'!$B$10,0)</f>
        <v>0</v>
      </c>
      <c r="AI154" s="60">
        <f>(VLOOKUP($E154,'AWS Platforms Ratios'!$A$2:$O$25,3,FALSE)-1)*'Scope 3 Ratios'!$B$7</f>
        <v>100</v>
      </c>
      <c r="AJ154" s="60">
        <f>'Scope 3 Ratios'!$B$2+AF154+AG154+AH154+AI154</f>
        <v>1644.2376</v>
      </c>
      <c r="AK154" s="60">
        <f>AJ154*'Scope 3 Ratios'!$B$4*(C154/D154)</f>
        <v>1.486759983</v>
      </c>
      <c r="AL154" s="61"/>
    </row>
    <row r="155" ht="15.0" customHeight="1">
      <c r="A155" s="56" t="s">
        <v>378</v>
      </c>
      <c r="B155" s="56" t="s">
        <v>379</v>
      </c>
      <c r="C155" s="56">
        <v>1.0</v>
      </c>
      <c r="D155" s="56">
        <f>VLOOKUP(E155,'AWS Platforms Ratios'!$A$2:$B$25,2,FALSE)</f>
        <v>32</v>
      </c>
      <c r="E155" s="57" t="s">
        <v>376</v>
      </c>
      <c r="F155" s="56">
        <v>3.75</v>
      </c>
      <c r="G155" s="56">
        <v>120.0</v>
      </c>
      <c r="H155" s="62" t="s">
        <v>380</v>
      </c>
      <c r="I155" s="56" t="s">
        <v>85</v>
      </c>
      <c r="J155" s="56">
        <v>4.0</v>
      </c>
      <c r="K155" s="58" t="s">
        <v>73</v>
      </c>
      <c r="L155" s="58" t="s">
        <v>73</v>
      </c>
      <c r="M155" s="58" t="s">
        <v>73</v>
      </c>
      <c r="N155" s="58" t="s">
        <v>73</v>
      </c>
      <c r="O155" s="59">
        <f>($C155/$D155)*VLOOKUP($E155,'AWS Platforms Ratios'!$A$2:$O$25,7,FALSE)</f>
        <v>0.7161853448</v>
      </c>
      <c r="P155" s="59">
        <f>($C155/$D155)*VLOOKUP($E155,'AWS Platforms Ratios'!$A$2:$O$25,8,FALSE)</f>
        <v>2.044547414</v>
      </c>
      <c r="Q155" s="59">
        <f>($C155/$D155)*VLOOKUP($E155,'AWS Platforms Ratios'!$A$2:$O$25,9,FALSE)</f>
        <v>4.20518319</v>
      </c>
      <c r="R155" s="59">
        <f>($C155/$D155)*VLOOKUP($E155,'AWS Platforms Ratios'!$A$2:$O$25,10,FALSE)</f>
        <v>5.755945582</v>
      </c>
      <c r="S155" s="59">
        <f>$F155*VLOOKUP($E155,'AWS Platforms Ratios'!$A$2:$O$25,11,FALSE)</f>
        <v>0.75</v>
      </c>
      <c r="T155" s="59">
        <f>$F155*VLOOKUP($E155,'AWS Platforms Ratios'!$A$2:$O$25,12,FALSE)</f>
        <v>1.125</v>
      </c>
      <c r="U155" s="59">
        <f>$F155*VLOOKUP($E155,'AWS Platforms Ratios'!$A$2:$O$25,13,FALSE)</f>
        <v>1.5</v>
      </c>
      <c r="V155" s="59">
        <f>$F155*VLOOKUP($E155,'AWS Platforms Ratios'!$A$2:$O$25,14,FALSE)</f>
        <v>2.25</v>
      </c>
      <c r="W155" s="60">
        <f>IF($K155&lt;&gt;"N/A",$M155*(VLOOKUP($L155,'GPU Specs &amp; Ratios'!$B$2:$I$8,5,FALSE)),0)</f>
        <v>0</v>
      </c>
      <c r="X155" s="60">
        <f>IF($K155&lt;&gt;"N/A",$M155*(VLOOKUP($L155,'GPU Specs &amp; Ratios'!$B$2:$I$8,6,FALSE)),0)</f>
        <v>0</v>
      </c>
      <c r="Y155" s="60">
        <f>IF($K155&lt;&gt;"N/A",$M155*(VLOOKUP($L155,'GPU Specs &amp; Ratios'!$B$2:$I$8,7,FALSE)),0)</f>
        <v>0</v>
      </c>
      <c r="Z155" s="60">
        <f>IF($K155&lt;&gt;"N/A",$M155*(VLOOKUP($L155,'GPU Specs &amp; Ratios'!$B$2:$I$8,8,FALSE)),0)</f>
        <v>0</v>
      </c>
      <c r="AA155" s="60">
        <f>(C155/D155)*VLOOKUP($E155,'AWS Platforms Ratios'!$A$2:$O$25,15,FALSE)</f>
        <v>1.1875</v>
      </c>
      <c r="AB155" s="60">
        <f t="shared" ref="AB155:AE155" si="154">O155+S155+W155+$AA155</f>
        <v>2.653685345</v>
      </c>
      <c r="AC155" s="60">
        <f t="shared" si="154"/>
        <v>4.357047414</v>
      </c>
      <c r="AD155" s="60">
        <f t="shared" si="154"/>
        <v>6.89268319</v>
      </c>
      <c r="AE155" s="60">
        <f t="shared" si="154"/>
        <v>9.193445582</v>
      </c>
      <c r="AF155" s="60">
        <f>IF(G155&gt;'Scope 3 Ratios'!$B$5,(G155-'Scope 3 Ratios'!$B$5)*('Scope 3 Ratios'!$B$6/'Scope 3 Ratios'!$B$5),0)</f>
        <v>144.2376</v>
      </c>
      <c r="AG155" s="60">
        <f>J155*IF(I155="SSD",'Scope 3 Ratios'!$B$9,'Scope 3 Ratios'!$B$8)</f>
        <v>400</v>
      </c>
      <c r="AH155" s="60">
        <f>IF(K155&lt;&gt;"N/A",K155*'Scope 3 Ratios'!$B$10,0)</f>
        <v>0</v>
      </c>
      <c r="AI155" s="60">
        <f>(VLOOKUP($E155,'AWS Platforms Ratios'!$A$2:$O$25,3,FALSE)-1)*'Scope 3 Ratios'!$B$7</f>
        <v>100</v>
      </c>
      <c r="AJ155" s="60">
        <f>'Scope 3 Ratios'!$B$2+AF155+AG155+AH155+AI155</f>
        <v>1644.2376</v>
      </c>
      <c r="AK155" s="60">
        <f>AJ155*'Scope 3 Ratios'!$B$4*(C155/D155)</f>
        <v>1.486759983</v>
      </c>
      <c r="AL155" s="61"/>
    </row>
    <row r="156" ht="15.0" customHeight="1">
      <c r="A156" s="56" t="s">
        <v>381</v>
      </c>
      <c r="B156" s="56" t="s">
        <v>382</v>
      </c>
      <c r="C156" s="56">
        <v>2.0</v>
      </c>
      <c r="D156" s="56">
        <f>VLOOKUP(E156,'AWS Platforms Ratios'!$A$2:$B$25,2,FALSE)</f>
        <v>32</v>
      </c>
      <c r="E156" s="57" t="s">
        <v>376</v>
      </c>
      <c r="F156" s="56">
        <v>7.5</v>
      </c>
      <c r="G156" s="56">
        <v>120.0</v>
      </c>
      <c r="H156" s="62" t="s">
        <v>383</v>
      </c>
      <c r="I156" s="56" t="s">
        <v>85</v>
      </c>
      <c r="J156" s="56">
        <v>4.0</v>
      </c>
      <c r="K156" s="58" t="s">
        <v>73</v>
      </c>
      <c r="L156" s="58" t="s">
        <v>73</v>
      </c>
      <c r="M156" s="58" t="s">
        <v>73</v>
      </c>
      <c r="N156" s="58" t="s">
        <v>73</v>
      </c>
      <c r="O156" s="59">
        <f>($C156/$D156)*VLOOKUP($E156,'AWS Platforms Ratios'!$A$2:$O$25,7,FALSE)</f>
        <v>1.43237069</v>
      </c>
      <c r="P156" s="59">
        <f>($C156/$D156)*VLOOKUP($E156,'AWS Platforms Ratios'!$A$2:$O$25,8,FALSE)</f>
        <v>4.089094828</v>
      </c>
      <c r="Q156" s="59">
        <f>($C156/$D156)*VLOOKUP($E156,'AWS Platforms Ratios'!$A$2:$O$25,9,FALSE)</f>
        <v>8.410366379</v>
      </c>
      <c r="R156" s="59">
        <f>($C156/$D156)*VLOOKUP($E156,'AWS Platforms Ratios'!$A$2:$O$25,10,FALSE)</f>
        <v>11.51189116</v>
      </c>
      <c r="S156" s="59">
        <f>$F156*VLOOKUP($E156,'AWS Platforms Ratios'!$A$2:$O$25,11,FALSE)</f>
        <v>1.5</v>
      </c>
      <c r="T156" s="59">
        <f>$F156*VLOOKUP($E156,'AWS Platforms Ratios'!$A$2:$O$25,12,FALSE)</f>
        <v>2.25</v>
      </c>
      <c r="U156" s="59">
        <f>$F156*VLOOKUP($E156,'AWS Platforms Ratios'!$A$2:$O$25,13,FALSE)</f>
        <v>3</v>
      </c>
      <c r="V156" s="59">
        <f>$F156*VLOOKUP($E156,'AWS Platforms Ratios'!$A$2:$O$25,14,FALSE)</f>
        <v>4.5</v>
      </c>
      <c r="W156" s="60">
        <f>IF($K156&lt;&gt;"N/A",$M156*(VLOOKUP($L156,'GPU Specs &amp; Ratios'!$B$2:$I$8,5,FALSE)),0)</f>
        <v>0</v>
      </c>
      <c r="X156" s="60">
        <f>IF($K156&lt;&gt;"N/A",$M156*(VLOOKUP($L156,'GPU Specs &amp; Ratios'!$B$2:$I$8,6,FALSE)),0)</f>
        <v>0</v>
      </c>
      <c r="Y156" s="60">
        <f>IF($K156&lt;&gt;"N/A",$M156*(VLOOKUP($L156,'GPU Specs &amp; Ratios'!$B$2:$I$8,7,FALSE)),0)</f>
        <v>0</v>
      </c>
      <c r="Z156" s="60">
        <f>IF($K156&lt;&gt;"N/A",$M156*(VLOOKUP($L156,'GPU Specs &amp; Ratios'!$B$2:$I$8,8,FALSE)),0)</f>
        <v>0</v>
      </c>
      <c r="AA156" s="60">
        <f>(C156/D156)*VLOOKUP($E156,'AWS Platforms Ratios'!$A$2:$O$25,15,FALSE)</f>
        <v>2.375</v>
      </c>
      <c r="AB156" s="60">
        <f t="shared" ref="AB156:AE156" si="155">O156+S156+W156+$AA156</f>
        <v>5.30737069</v>
      </c>
      <c r="AC156" s="60">
        <f t="shared" si="155"/>
        <v>8.714094828</v>
      </c>
      <c r="AD156" s="60">
        <f t="shared" si="155"/>
        <v>13.78536638</v>
      </c>
      <c r="AE156" s="60">
        <f t="shared" si="155"/>
        <v>18.38689116</v>
      </c>
      <c r="AF156" s="60">
        <f>IF(G156&gt;'Scope 3 Ratios'!$B$5,(G156-'Scope 3 Ratios'!$B$5)*('Scope 3 Ratios'!$B$6/'Scope 3 Ratios'!$B$5),0)</f>
        <v>144.2376</v>
      </c>
      <c r="AG156" s="60">
        <f>J156*IF(I156="SSD",'Scope 3 Ratios'!$B$9,'Scope 3 Ratios'!$B$8)</f>
        <v>400</v>
      </c>
      <c r="AH156" s="60">
        <f>IF(K156&lt;&gt;"N/A",K156*'Scope 3 Ratios'!$B$10,0)</f>
        <v>0</v>
      </c>
      <c r="AI156" s="60">
        <f>(VLOOKUP($E156,'AWS Platforms Ratios'!$A$2:$O$25,3,FALSE)-1)*'Scope 3 Ratios'!$B$7</f>
        <v>100</v>
      </c>
      <c r="AJ156" s="60">
        <f>'Scope 3 Ratios'!$B$2+AF156+AG156+AH156+AI156</f>
        <v>1644.2376</v>
      </c>
      <c r="AK156" s="60">
        <f>AJ156*'Scope 3 Ratios'!$B$4*(C156/D156)</f>
        <v>2.973519965</v>
      </c>
      <c r="AL156" s="61"/>
    </row>
    <row r="157" ht="15.0" customHeight="1">
      <c r="A157" s="56" t="s">
        <v>384</v>
      </c>
      <c r="B157" s="56" t="s">
        <v>382</v>
      </c>
      <c r="C157" s="56">
        <v>4.0</v>
      </c>
      <c r="D157" s="56">
        <f>VLOOKUP(E157,'AWS Platforms Ratios'!$A$2:$B$25,2,FALSE)</f>
        <v>32</v>
      </c>
      <c r="E157" s="57" t="s">
        <v>376</v>
      </c>
      <c r="F157" s="56">
        <v>15.0</v>
      </c>
      <c r="G157" s="56">
        <v>120.0</v>
      </c>
      <c r="H157" s="62" t="s">
        <v>87</v>
      </c>
      <c r="I157" s="56" t="s">
        <v>85</v>
      </c>
      <c r="J157" s="56">
        <v>4.0</v>
      </c>
      <c r="K157" s="58" t="s">
        <v>73</v>
      </c>
      <c r="L157" s="58" t="s">
        <v>73</v>
      </c>
      <c r="M157" s="58" t="s">
        <v>73</v>
      </c>
      <c r="N157" s="58" t="s">
        <v>73</v>
      </c>
      <c r="O157" s="59">
        <f>($C157/$D157)*VLOOKUP($E157,'AWS Platforms Ratios'!$A$2:$O$25,7,FALSE)</f>
        <v>2.864741379</v>
      </c>
      <c r="P157" s="59">
        <f>($C157/$D157)*VLOOKUP($E157,'AWS Platforms Ratios'!$A$2:$O$25,8,FALSE)</f>
        <v>8.178189655</v>
      </c>
      <c r="Q157" s="59">
        <f>($C157/$D157)*VLOOKUP($E157,'AWS Platforms Ratios'!$A$2:$O$25,9,FALSE)</f>
        <v>16.82073276</v>
      </c>
      <c r="R157" s="59">
        <f>($C157/$D157)*VLOOKUP($E157,'AWS Platforms Ratios'!$A$2:$O$25,10,FALSE)</f>
        <v>23.02378233</v>
      </c>
      <c r="S157" s="59">
        <f>$F157*VLOOKUP($E157,'AWS Platforms Ratios'!$A$2:$O$25,11,FALSE)</f>
        <v>3</v>
      </c>
      <c r="T157" s="59">
        <f>$F157*VLOOKUP($E157,'AWS Platforms Ratios'!$A$2:$O$25,12,FALSE)</f>
        <v>4.5</v>
      </c>
      <c r="U157" s="59">
        <f>$F157*VLOOKUP($E157,'AWS Platforms Ratios'!$A$2:$O$25,13,FALSE)</f>
        <v>6</v>
      </c>
      <c r="V157" s="59">
        <f>$F157*VLOOKUP($E157,'AWS Platforms Ratios'!$A$2:$O$25,14,FALSE)</f>
        <v>9</v>
      </c>
      <c r="W157" s="60">
        <f>IF($K157&lt;&gt;"N/A",$M157*(VLOOKUP($L157,'GPU Specs &amp; Ratios'!$B$2:$I$8,5,FALSE)),0)</f>
        <v>0</v>
      </c>
      <c r="X157" s="60">
        <f>IF($K157&lt;&gt;"N/A",$M157*(VLOOKUP($L157,'GPU Specs &amp; Ratios'!$B$2:$I$8,6,FALSE)),0)</f>
        <v>0</v>
      </c>
      <c r="Y157" s="60">
        <f>IF($K157&lt;&gt;"N/A",$M157*(VLOOKUP($L157,'GPU Specs &amp; Ratios'!$B$2:$I$8,7,FALSE)),0)</f>
        <v>0</v>
      </c>
      <c r="Z157" s="60">
        <f>IF($K157&lt;&gt;"N/A",$M157*(VLOOKUP($L157,'GPU Specs &amp; Ratios'!$B$2:$I$8,8,FALSE)),0)</f>
        <v>0</v>
      </c>
      <c r="AA157" s="60">
        <f>(C157/D157)*VLOOKUP($E157,'AWS Platforms Ratios'!$A$2:$O$25,15,FALSE)</f>
        <v>4.75</v>
      </c>
      <c r="AB157" s="60">
        <f t="shared" ref="AB157:AE157" si="156">O157+S157+W157+$AA157</f>
        <v>10.61474138</v>
      </c>
      <c r="AC157" s="60">
        <f t="shared" si="156"/>
        <v>17.42818966</v>
      </c>
      <c r="AD157" s="60">
        <f t="shared" si="156"/>
        <v>27.57073276</v>
      </c>
      <c r="AE157" s="60">
        <f t="shared" si="156"/>
        <v>36.77378233</v>
      </c>
      <c r="AF157" s="60">
        <f>IF(G157&gt;'Scope 3 Ratios'!$B$5,(G157-'Scope 3 Ratios'!$B$5)*('Scope 3 Ratios'!$B$6/'Scope 3 Ratios'!$B$5),0)</f>
        <v>144.2376</v>
      </c>
      <c r="AG157" s="60">
        <f>J157*IF(I157="SSD",'Scope 3 Ratios'!$B$9,'Scope 3 Ratios'!$B$8)</f>
        <v>400</v>
      </c>
      <c r="AH157" s="60">
        <f>IF(K157&lt;&gt;"N/A",K157*'Scope 3 Ratios'!$B$10,0)</f>
        <v>0</v>
      </c>
      <c r="AI157" s="60">
        <f>(VLOOKUP($E157,'AWS Platforms Ratios'!$A$2:$O$25,3,FALSE)-1)*'Scope 3 Ratios'!$B$7</f>
        <v>100</v>
      </c>
      <c r="AJ157" s="60">
        <f>'Scope 3 Ratios'!$B$2+AF157+AG157+AH157+AI157</f>
        <v>1644.2376</v>
      </c>
      <c r="AK157" s="60">
        <f>AJ157*'Scope 3 Ratios'!$B$4*(C157/D157)</f>
        <v>5.947039931</v>
      </c>
      <c r="AL157" s="61"/>
    </row>
    <row r="158" ht="15.0" customHeight="1">
      <c r="A158" s="56" t="s">
        <v>385</v>
      </c>
      <c r="B158" s="56" t="s">
        <v>386</v>
      </c>
      <c r="C158" s="56">
        <v>2.0</v>
      </c>
      <c r="D158" s="56">
        <f>VLOOKUP(E158,'AWS Platforms Ratios'!$A$2:$B$25,2,FALSE)</f>
        <v>32</v>
      </c>
      <c r="E158" s="57" t="s">
        <v>387</v>
      </c>
      <c r="F158" s="56">
        <v>17.1</v>
      </c>
      <c r="G158" s="56">
        <v>280.0</v>
      </c>
      <c r="H158" s="62" t="s">
        <v>388</v>
      </c>
      <c r="I158" s="56" t="s">
        <v>85</v>
      </c>
      <c r="J158" s="56">
        <v>2.0</v>
      </c>
      <c r="K158" s="58" t="s">
        <v>73</v>
      </c>
      <c r="L158" s="58" t="s">
        <v>73</v>
      </c>
      <c r="M158" s="58" t="s">
        <v>73</v>
      </c>
      <c r="N158" s="58" t="s">
        <v>73</v>
      </c>
      <c r="O158" s="59">
        <f>($C158/$D158)*VLOOKUP($E158,'AWS Platforms Ratios'!$A$2:$O$25,7,FALSE)</f>
        <v>1.733922414</v>
      </c>
      <c r="P158" s="59">
        <f>($C158/$D158)*VLOOKUP($E158,'AWS Platforms Ratios'!$A$2:$O$25,8,FALSE)</f>
        <v>4.949956897</v>
      </c>
      <c r="Q158" s="59">
        <f>($C158/$D158)*VLOOKUP($E158,'AWS Platforms Ratios'!$A$2:$O$25,9,FALSE)</f>
        <v>10.18096983</v>
      </c>
      <c r="R158" s="59">
        <f>($C158/$D158)*VLOOKUP($E158,'AWS Platforms Ratios'!$A$2:$O$25,10,FALSE)</f>
        <v>13.9354472</v>
      </c>
      <c r="S158" s="59">
        <f>$F158*VLOOKUP($E158,'AWS Platforms Ratios'!$A$2:$O$25,11,FALSE)</f>
        <v>3.42</v>
      </c>
      <c r="T158" s="59">
        <f>$F158*VLOOKUP($E158,'AWS Platforms Ratios'!$A$2:$O$25,12,FALSE)</f>
        <v>5.13</v>
      </c>
      <c r="U158" s="59">
        <f>$F158*VLOOKUP($E158,'AWS Platforms Ratios'!$A$2:$O$25,13,FALSE)</f>
        <v>6.84</v>
      </c>
      <c r="V158" s="59">
        <f>$F158*VLOOKUP($E158,'AWS Platforms Ratios'!$A$2:$O$25,14,FALSE)</f>
        <v>10.26</v>
      </c>
      <c r="W158" s="60">
        <f>IF($K158&lt;&gt;"N/A",$M158*(VLOOKUP($L158,'GPU Specs &amp; Ratios'!$B$2:$I$8,5,FALSE)),0)</f>
        <v>0</v>
      </c>
      <c r="X158" s="60">
        <f>IF($K158&lt;&gt;"N/A",$M158*(VLOOKUP($L158,'GPU Specs &amp; Ratios'!$B$2:$I$8,6,FALSE)),0)</f>
        <v>0</v>
      </c>
      <c r="Y158" s="60">
        <f>IF($K158&lt;&gt;"N/A",$M158*(VLOOKUP($L158,'GPU Specs &amp; Ratios'!$B$2:$I$8,7,FALSE)),0)</f>
        <v>0</v>
      </c>
      <c r="Z158" s="60">
        <f>IF($K158&lt;&gt;"N/A",$M158*(VLOOKUP($L158,'GPU Specs &amp; Ratios'!$B$2:$I$8,8,FALSE)),0)</f>
        <v>0</v>
      </c>
      <c r="AA158" s="60">
        <f>(C158/D158)*VLOOKUP($E158,'AWS Platforms Ratios'!$A$2:$O$25,15,FALSE)</f>
        <v>2.875</v>
      </c>
      <c r="AB158" s="60">
        <f t="shared" ref="AB158:AE158" si="157">O158+S158+W158+$AA158</f>
        <v>8.028922414</v>
      </c>
      <c r="AC158" s="60">
        <f t="shared" si="157"/>
        <v>12.9549569</v>
      </c>
      <c r="AD158" s="60">
        <f t="shared" si="157"/>
        <v>19.89596983</v>
      </c>
      <c r="AE158" s="60">
        <f t="shared" si="157"/>
        <v>27.0704472</v>
      </c>
      <c r="AF158" s="60">
        <f>IF(G158&gt;'Scope 3 Ratios'!$B$5,(G158-'Scope 3 Ratios'!$B$5)*('Scope 3 Ratios'!$B$6/'Scope 3 Ratios'!$B$5),0)</f>
        <v>366.1416</v>
      </c>
      <c r="AG158" s="60">
        <f>J158*IF(I158="SSD",'Scope 3 Ratios'!$B$9,'Scope 3 Ratios'!$B$8)</f>
        <v>200</v>
      </c>
      <c r="AH158" s="60">
        <f>IF(K158&lt;&gt;"N/A",K158*'Scope 3 Ratios'!$B$10,0)</f>
        <v>0</v>
      </c>
      <c r="AI158" s="60">
        <f>(VLOOKUP($E158,'AWS Platforms Ratios'!$A$2:$O$25,3,FALSE)-1)*'Scope 3 Ratios'!$B$7</f>
        <v>100</v>
      </c>
      <c r="AJ158" s="60">
        <f>'Scope 3 Ratios'!$B$2+AF158+AG158+AH158+AI158</f>
        <v>1666.1416</v>
      </c>
      <c r="AK158" s="60">
        <f>AJ158*'Scope 3 Ratios'!$B$4*(C158/D158)</f>
        <v>3.013132234</v>
      </c>
      <c r="AL158" s="61"/>
    </row>
    <row r="159" ht="15.0" customHeight="1">
      <c r="A159" s="56" t="s">
        <v>389</v>
      </c>
      <c r="B159" s="56" t="s">
        <v>390</v>
      </c>
      <c r="C159" s="56">
        <v>4.0</v>
      </c>
      <c r="D159" s="56">
        <f>VLOOKUP(E159,'AWS Platforms Ratios'!$A$2:$B$25,2,FALSE)</f>
        <v>32</v>
      </c>
      <c r="E159" s="57" t="s">
        <v>387</v>
      </c>
      <c r="F159" s="56">
        <v>34.2</v>
      </c>
      <c r="G159" s="56">
        <v>280.0</v>
      </c>
      <c r="H159" s="62" t="s">
        <v>391</v>
      </c>
      <c r="I159" s="56" t="s">
        <v>85</v>
      </c>
      <c r="J159" s="56">
        <v>2.0</v>
      </c>
      <c r="K159" s="58" t="s">
        <v>73</v>
      </c>
      <c r="L159" s="58" t="s">
        <v>73</v>
      </c>
      <c r="M159" s="58" t="s">
        <v>73</v>
      </c>
      <c r="N159" s="58" t="s">
        <v>73</v>
      </c>
      <c r="O159" s="59">
        <f>($C159/$D159)*VLOOKUP($E159,'AWS Platforms Ratios'!$A$2:$O$25,7,FALSE)</f>
        <v>3.467844828</v>
      </c>
      <c r="P159" s="59">
        <f>($C159/$D159)*VLOOKUP($E159,'AWS Platforms Ratios'!$A$2:$O$25,8,FALSE)</f>
        <v>9.899913793</v>
      </c>
      <c r="Q159" s="59">
        <f>($C159/$D159)*VLOOKUP($E159,'AWS Platforms Ratios'!$A$2:$O$25,9,FALSE)</f>
        <v>20.36193966</v>
      </c>
      <c r="R159" s="59">
        <f>($C159/$D159)*VLOOKUP($E159,'AWS Platforms Ratios'!$A$2:$O$25,10,FALSE)</f>
        <v>27.8708944</v>
      </c>
      <c r="S159" s="59">
        <f>$F159*VLOOKUP($E159,'AWS Platforms Ratios'!$A$2:$O$25,11,FALSE)</f>
        <v>6.84</v>
      </c>
      <c r="T159" s="59">
        <f>$F159*VLOOKUP($E159,'AWS Platforms Ratios'!$A$2:$O$25,12,FALSE)</f>
        <v>10.26</v>
      </c>
      <c r="U159" s="59">
        <f>$F159*VLOOKUP($E159,'AWS Platforms Ratios'!$A$2:$O$25,13,FALSE)</f>
        <v>13.68</v>
      </c>
      <c r="V159" s="59">
        <f>$F159*VLOOKUP($E159,'AWS Platforms Ratios'!$A$2:$O$25,14,FALSE)</f>
        <v>20.52</v>
      </c>
      <c r="W159" s="60">
        <f>IF($K159&lt;&gt;"N/A",$M159*(VLOOKUP($L159,'GPU Specs &amp; Ratios'!$B$2:$I$8,5,FALSE)),0)</f>
        <v>0</v>
      </c>
      <c r="X159" s="60">
        <f>IF($K159&lt;&gt;"N/A",$M159*(VLOOKUP($L159,'GPU Specs &amp; Ratios'!$B$2:$I$8,6,FALSE)),0)</f>
        <v>0</v>
      </c>
      <c r="Y159" s="60">
        <f>IF($K159&lt;&gt;"N/A",$M159*(VLOOKUP($L159,'GPU Specs &amp; Ratios'!$B$2:$I$8,7,FALSE)),0)</f>
        <v>0</v>
      </c>
      <c r="Z159" s="60">
        <f>IF($K159&lt;&gt;"N/A",$M159*(VLOOKUP($L159,'GPU Specs &amp; Ratios'!$B$2:$I$8,8,FALSE)),0)</f>
        <v>0</v>
      </c>
      <c r="AA159" s="60">
        <f>(C159/D159)*VLOOKUP($E159,'AWS Platforms Ratios'!$A$2:$O$25,15,FALSE)</f>
        <v>5.75</v>
      </c>
      <c r="AB159" s="60">
        <f t="shared" ref="AB159:AE159" si="158">O159+S159+W159+$AA159</f>
        <v>16.05784483</v>
      </c>
      <c r="AC159" s="60">
        <f t="shared" si="158"/>
        <v>25.90991379</v>
      </c>
      <c r="AD159" s="60">
        <f t="shared" si="158"/>
        <v>39.79193966</v>
      </c>
      <c r="AE159" s="60">
        <f t="shared" si="158"/>
        <v>54.1408944</v>
      </c>
      <c r="AF159" s="60">
        <f>IF(G159&gt;'Scope 3 Ratios'!$B$5,(G159-'Scope 3 Ratios'!$B$5)*('Scope 3 Ratios'!$B$6/'Scope 3 Ratios'!$B$5),0)</f>
        <v>366.1416</v>
      </c>
      <c r="AG159" s="60">
        <f>J159*IF(I159="SSD",'Scope 3 Ratios'!$B$9,'Scope 3 Ratios'!$B$8)</f>
        <v>200</v>
      </c>
      <c r="AH159" s="60">
        <f>IF(K159&lt;&gt;"N/A",K159*'Scope 3 Ratios'!$B$10,0)</f>
        <v>0</v>
      </c>
      <c r="AI159" s="60">
        <f>(VLOOKUP($E159,'AWS Platforms Ratios'!$A$2:$O$25,3,FALSE)-1)*'Scope 3 Ratios'!$B$7</f>
        <v>100</v>
      </c>
      <c r="AJ159" s="60">
        <f>'Scope 3 Ratios'!$B$2+AF159+AG159+AH159+AI159</f>
        <v>1666.1416</v>
      </c>
      <c r="AK159" s="60">
        <f>AJ159*'Scope 3 Ratios'!$B$4*(C159/D159)</f>
        <v>6.026264468</v>
      </c>
      <c r="AL159" s="61"/>
    </row>
    <row r="160" ht="15.0" customHeight="1">
      <c r="A160" s="56" t="s">
        <v>392</v>
      </c>
      <c r="B160" s="56" t="s">
        <v>390</v>
      </c>
      <c r="C160" s="56">
        <v>8.0</v>
      </c>
      <c r="D160" s="56">
        <f>VLOOKUP(E160,'AWS Platforms Ratios'!$A$2:$B$25,2,FALSE)</f>
        <v>32</v>
      </c>
      <c r="E160" s="57" t="s">
        <v>387</v>
      </c>
      <c r="F160" s="56">
        <v>68.4</v>
      </c>
      <c r="G160" s="56">
        <v>280.0</v>
      </c>
      <c r="H160" s="62" t="s">
        <v>393</v>
      </c>
      <c r="I160" s="56" t="s">
        <v>85</v>
      </c>
      <c r="J160" s="56">
        <v>2.0</v>
      </c>
      <c r="K160" s="58" t="s">
        <v>73</v>
      </c>
      <c r="L160" s="58" t="s">
        <v>73</v>
      </c>
      <c r="M160" s="58" t="s">
        <v>73</v>
      </c>
      <c r="N160" s="58" t="s">
        <v>73</v>
      </c>
      <c r="O160" s="59">
        <f>($C160/$D160)*VLOOKUP($E160,'AWS Platforms Ratios'!$A$2:$O$25,7,FALSE)</f>
        <v>6.935689655</v>
      </c>
      <c r="P160" s="59">
        <f>($C160/$D160)*VLOOKUP($E160,'AWS Platforms Ratios'!$A$2:$O$25,8,FALSE)</f>
        <v>19.79982759</v>
      </c>
      <c r="Q160" s="59">
        <f>($C160/$D160)*VLOOKUP($E160,'AWS Platforms Ratios'!$A$2:$O$25,9,FALSE)</f>
        <v>40.72387931</v>
      </c>
      <c r="R160" s="59">
        <f>($C160/$D160)*VLOOKUP($E160,'AWS Platforms Ratios'!$A$2:$O$25,10,FALSE)</f>
        <v>55.74178879</v>
      </c>
      <c r="S160" s="59">
        <f>$F160*VLOOKUP($E160,'AWS Platforms Ratios'!$A$2:$O$25,11,FALSE)</f>
        <v>13.68</v>
      </c>
      <c r="T160" s="59">
        <f>$F160*VLOOKUP($E160,'AWS Platforms Ratios'!$A$2:$O$25,12,FALSE)</f>
        <v>20.52</v>
      </c>
      <c r="U160" s="59">
        <f>$F160*VLOOKUP($E160,'AWS Platforms Ratios'!$A$2:$O$25,13,FALSE)</f>
        <v>27.36</v>
      </c>
      <c r="V160" s="59">
        <f>$F160*VLOOKUP($E160,'AWS Platforms Ratios'!$A$2:$O$25,14,FALSE)</f>
        <v>41.04</v>
      </c>
      <c r="W160" s="60">
        <f>IF($K160&lt;&gt;"N/A",$M160*(VLOOKUP($L160,'GPU Specs &amp; Ratios'!$B$2:$I$8,5,FALSE)),0)</f>
        <v>0</v>
      </c>
      <c r="X160" s="60">
        <f>IF($K160&lt;&gt;"N/A",$M160*(VLOOKUP($L160,'GPU Specs &amp; Ratios'!$B$2:$I$8,6,FALSE)),0)</f>
        <v>0</v>
      </c>
      <c r="Y160" s="60">
        <f>IF($K160&lt;&gt;"N/A",$M160*(VLOOKUP($L160,'GPU Specs &amp; Ratios'!$B$2:$I$8,7,FALSE)),0)</f>
        <v>0</v>
      </c>
      <c r="Z160" s="60">
        <f>IF($K160&lt;&gt;"N/A",$M160*(VLOOKUP($L160,'GPU Specs &amp; Ratios'!$B$2:$I$8,8,FALSE)),0)</f>
        <v>0</v>
      </c>
      <c r="AA160" s="60">
        <f>(C160/D160)*VLOOKUP($E160,'AWS Platforms Ratios'!$A$2:$O$25,15,FALSE)</f>
        <v>11.5</v>
      </c>
      <c r="AB160" s="60">
        <f t="shared" ref="AB160:AE160" si="159">O160+S160+W160+$AA160</f>
        <v>32.11568966</v>
      </c>
      <c r="AC160" s="60">
        <f t="shared" si="159"/>
        <v>51.81982759</v>
      </c>
      <c r="AD160" s="60">
        <f t="shared" si="159"/>
        <v>79.58387931</v>
      </c>
      <c r="AE160" s="60">
        <f t="shared" si="159"/>
        <v>108.2817888</v>
      </c>
      <c r="AF160" s="60">
        <f>IF(G160&gt;'Scope 3 Ratios'!$B$5,(G160-'Scope 3 Ratios'!$B$5)*('Scope 3 Ratios'!$B$6/'Scope 3 Ratios'!$B$5),0)</f>
        <v>366.1416</v>
      </c>
      <c r="AG160" s="60">
        <f>J160*IF(I160="SSD",'Scope 3 Ratios'!$B$9,'Scope 3 Ratios'!$B$8)</f>
        <v>200</v>
      </c>
      <c r="AH160" s="60">
        <f>IF(K160&lt;&gt;"N/A",K160*'Scope 3 Ratios'!$B$10,0)</f>
        <v>0</v>
      </c>
      <c r="AI160" s="60">
        <f>(VLOOKUP($E160,'AWS Platforms Ratios'!$A$2:$O$25,3,FALSE)-1)*'Scope 3 Ratios'!$B$7</f>
        <v>100</v>
      </c>
      <c r="AJ160" s="60">
        <f>'Scope 3 Ratios'!$B$2+AF160+AG160+AH160+AI160</f>
        <v>1666.1416</v>
      </c>
      <c r="AK160" s="60">
        <f>AJ160*'Scope 3 Ratios'!$B$4*(C160/D160)</f>
        <v>12.05252894</v>
      </c>
      <c r="AL160" s="61"/>
    </row>
    <row r="161" ht="15.0" customHeight="1">
      <c r="A161" s="56" t="s">
        <v>394</v>
      </c>
      <c r="B161" s="56" t="s">
        <v>395</v>
      </c>
      <c r="C161" s="56">
        <v>1.0</v>
      </c>
      <c r="D161" s="56">
        <f>VLOOKUP(E161,'AWS Platforms Ratios'!$A$2:$B$25,2,FALSE)</f>
        <v>32</v>
      </c>
      <c r="E161" s="57" t="s">
        <v>90</v>
      </c>
      <c r="F161" s="56">
        <v>3.75</v>
      </c>
      <c r="G161" s="56">
        <v>240.0</v>
      </c>
      <c r="H161" s="57" t="s">
        <v>396</v>
      </c>
      <c r="I161" s="56" t="s">
        <v>85</v>
      </c>
      <c r="J161" s="56">
        <v>2.0</v>
      </c>
      <c r="K161" s="58" t="s">
        <v>73</v>
      </c>
      <c r="L161" s="58" t="s">
        <v>73</v>
      </c>
      <c r="M161" s="58" t="s">
        <v>73</v>
      </c>
      <c r="N161" s="58" t="s">
        <v>73</v>
      </c>
      <c r="O161" s="59">
        <f>($C161/$D161)*VLOOKUP($E161,'AWS Platforms Ratios'!$A$2:$O$25,7,FALSE)</f>
        <v>0.8669612069</v>
      </c>
      <c r="P161" s="59">
        <f>($C161/$D161)*VLOOKUP($E161,'AWS Platforms Ratios'!$A$2:$O$25,8,FALSE)</f>
        <v>2.474978448</v>
      </c>
      <c r="Q161" s="59">
        <f>($C161/$D161)*VLOOKUP($E161,'AWS Platforms Ratios'!$A$2:$O$25,9,FALSE)</f>
        <v>5.090484914</v>
      </c>
      <c r="R161" s="59">
        <f>($C161/$D161)*VLOOKUP($E161,'AWS Platforms Ratios'!$A$2:$O$25,10,FALSE)</f>
        <v>6.967723599</v>
      </c>
      <c r="S161" s="59">
        <f>$F161*VLOOKUP($E161,'AWS Platforms Ratios'!$A$2:$O$25,11,FALSE)</f>
        <v>0.75</v>
      </c>
      <c r="T161" s="59">
        <f>$F161*VLOOKUP($E161,'AWS Platforms Ratios'!$A$2:$O$25,12,FALSE)</f>
        <v>1.125</v>
      </c>
      <c r="U161" s="59">
        <f>$F161*VLOOKUP($E161,'AWS Platforms Ratios'!$A$2:$O$25,13,FALSE)</f>
        <v>1.5</v>
      </c>
      <c r="V161" s="59">
        <f>$F161*VLOOKUP($E161,'AWS Platforms Ratios'!$A$2:$O$25,14,FALSE)</f>
        <v>2.25</v>
      </c>
      <c r="W161" s="60">
        <f>IF($K161&lt;&gt;"N/A",$M161*(VLOOKUP($L161,'GPU Specs &amp; Ratios'!$B$2:$I$8,5,FALSE)),0)</f>
        <v>0</v>
      </c>
      <c r="X161" s="60">
        <f>IF($K161&lt;&gt;"N/A",$M161*(VLOOKUP($L161,'GPU Specs &amp; Ratios'!$B$2:$I$8,6,FALSE)),0)</f>
        <v>0</v>
      </c>
      <c r="Y161" s="60">
        <f>IF($K161&lt;&gt;"N/A",$M161*(VLOOKUP($L161,'GPU Specs &amp; Ratios'!$B$2:$I$8,7,FALSE)),0)</f>
        <v>0</v>
      </c>
      <c r="Z161" s="60">
        <f>IF($K161&lt;&gt;"N/A",$M161*(VLOOKUP($L161,'GPU Specs &amp; Ratios'!$B$2:$I$8,8,FALSE)),0)</f>
        <v>0</v>
      </c>
      <c r="AA161" s="60">
        <f>(C161/D161)*VLOOKUP($E161,'AWS Platforms Ratios'!$A$2:$O$25,15,FALSE)</f>
        <v>1.4375</v>
      </c>
      <c r="AB161" s="60">
        <f t="shared" ref="AB161:AE161" si="160">O161+S161+W161+$AA161</f>
        <v>3.054461207</v>
      </c>
      <c r="AC161" s="60">
        <f t="shared" si="160"/>
        <v>5.037478448</v>
      </c>
      <c r="AD161" s="60">
        <f t="shared" si="160"/>
        <v>8.027984914</v>
      </c>
      <c r="AE161" s="60">
        <f t="shared" si="160"/>
        <v>10.6552236</v>
      </c>
      <c r="AF161" s="60">
        <f>IF(G161&gt;'Scope 3 Ratios'!$B$5,(G161-'Scope 3 Ratios'!$B$5)*('Scope 3 Ratios'!$B$6/'Scope 3 Ratios'!$B$5),0)</f>
        <v>310.6656</v>
      </c>
      <c r="AG161" s="60">
        <f>J161*IF(I161="SSD",'Scope 3 Ratios'!$B$9,'Scope 3 Ratios'!$B$8)</f>
        <v>200</v>
      </c>
      <c r="AH161" s="60">
        <f>IF(K161&lt;&gt;"N/A",K161*'Scope 3 Ratios'!$B$10,0)</f>
        <v>0</v>
      </c>
      <c r="AI161" s="60">
        <f>(VLOOKUP($E161,'AWS Platforms Ratios'!$A$2:$O$25,3,FALSE)-1)*'Scope 3 Ratios'!$B$7</f>
        <v>100</v>
      </c>
      <c r="AJ161" s="60">
        <f>'Scope 3 Ratios'!$B$2+AF161+AG161+AH161+AI161</f>
        <v>1610.6656</v>
      </c>
      <c r="AK161" s="60">
        <f>AJ161*'Scope 3 Ratios'!$B$4*(C161/D161)</f>
        <v>1.456403356</v>
      </c>
      <c r="AL161" s="61" t="s">
        <v>397</v>
      </c>
    </row>
    <row r="162" ht="15.0" customHeight="1">
      <c r="A162" s="56" t="s">
        <v>398</v>
      </c>
      <c r="B162" s="56" t="s">
        <v>395</v>
      </c>
      <c r="C162" s="56">
        <v>2.0</v>
      </c>
      <c r="D162" s="56">
        <f>VLOOKUP(E162,'AWS Platforms Ratios'!$A$2:$B$25,2,FALSE)</f>
        <v>32</v>
      </c>
      <c r="E162" s="57" t="s">
        <v>90</v>
      </c>
      <c r="F162" s="56">
        <v>7.5</v>
      </c>
      <c r="G162" s="56">
        <v>240.0</v>
      </c>
      <c r="H162" s="57" t="s">
        <v>399</v>
      </c>
      <c r="I162" s="56" t="s">
        <v>85</v>
      </c>
      <c r="J162" s="56">
        <v>2.0</v>
      </c>
      <c r="K162" s="58" t="s">
        <v>73</v>
      </c>
      <c r="L162" s="58" t="s">
        <v>73</v>
      </c>
      <c r="M162" s="58" t="s">
        <v>73</v>
      </c>
      <c r="N162" s="58" t="s">
        <v>73</v>
      </c>
      <c r="O162" s="59">
        <f>($C162/$D162)*VLOOKUP($E162,'AWS Platforms Ratios'!$A$2:$O$25,7,FALSE)</f>
        <v>1.733922414</v>
      </c>
      <c r="P162" s="59">
        <f>($C162/$D162)*VLOOKUP($E162,'AWS Platforms Ratios'!$A$2:$O$25,8,FALSE)</f>
        <v>4.949956897</v>
      </c>
      <c r="Q162" s="59">
        <f>($C162/$D162)*VLOOKUP($E162,'AWS Platforms Ratios'!$A$2:$O$25,9,FALSE)</f>
        <v>10.18096983</v>
      </c>
      <c r="R162" s="59">
        <f>($C162/$D162)*VLOOKUP($E162,'AWS Platforms Ratios'!$A$2:$O$25,10,FALSE)</f>
        <v>13.9354472</v>
      </c>
      <c r="S162" s="59">
        <f>$F162*VLOOKUP($E162,'AWS Platforms Ratios'!$A$2:$O$25,11,FALSE)</f>
        <v>1.5</v>
      </c>
      <c r="T162" s="59">
        <f>$F162*VLOOKUP($E162,'AWS Platforms Ratios'!$A$2:$O$25,12,FALSE)</f>
        <v>2.25</v>
      </c>
      <c r="U162" s="59">
        <f>$F162*VLOOKUP($E162,'AWS Platforms Ratios'!$A$2:$O$25,13,FALSE)</f>
        <v>3</v>
      </c>
      <c r="V162" s="59">
        <f>$F162*VLOOKUP($E162,'AWS Platforms Ratios'!$A$2:$O$25,14,FALSE)</f>
        <v>4.5</v>
      </c>
      <c r="W162" s="60">
        <f>IF($K162&lt;&gt;"N/A",$M162*(VLOOKUP($L162,'GPU Specs &amp; Ratios'!$B$2:$I$8,5,FALSE)),0)</f>
        <v>0</v>
      </c>
      <c r="X162" s="60">
        <f>IF($K162&lt;&gt;"N/A",$M162*(VLOOKUP($L162,'GPU Specs &amp; Ratios'!$B$2:$I$8,6,FALSE)),0)</f>
        <v>0</v>
      </c>
      <c r="Y162" s="60">
        <f>IF($K162&lt;&gt;"N/A",$M162*(VLOOKUP($L162,'GPU Specs &amp; Ratios'!$B$2:$I$8,7,FALSE)),0)</f>
        <v>0</v>
      </c>
      <c r="Z162" s="60">
        <f>IF($K162&lt;&gt;"N/A",$M162*(VLOOKUP($L162,'GPU Specs &amp; Ratios'!$B$2:$I$8,8,FALSE)),0)</f>
        <v>0</v>
      </c>
      <c r="AA162" s="60">
        <f>(C162/D162)*VLOOKUP($E162,'AWS Platforms Ratios'!$A$2:$O$25,15,FALSE)</f>
        <v>2.875</v>
      </c>
      <c r="AB162" s="60">
        <f t="shared" ref="AB162:AE162" si="161">O162+S162+W162+$AA162</f>
        <v>6.108922414</v>
      </c>
      <c r="AC162" s="60">
        <f t="shared" si="161"/>
        <v>10.0749569</v>
      </c>
      <c r="AD162" s="60">
        <f t="shared" si="161"/>
        <v>16.05596983</v>
      </c>
      <c r="AE162" s="60">
        <f t="shared" si="161"/>
        <v>21.3104472</v>
      </c>
      <c r="AF162" s="60">
        <f>IF(G162&gt;'Scope 3 Ratios'!$B$5,(G162-'Scope 3 Ratios'!$B$5)*('Scope 3 Ratios'!$B$6/'Scope 3 Ratios'!$B$5),0)</f>
        <v>310.6656</v>
      </c>
      <c r="AG162" s="60">
        <f>J162*IF(I162="SSD",'Scope 3 Ratios'!$B$9,'Scope 3 Ratios'!$B$8)</f>
        <v>200</v>
      </c>
      <c r="AH162" s="60">
        <f>IF(K162&lt;&gt;"N/A",K162*'Scope 3 Ratios'!$B$10,0)</f>
        <v>0</v>
      </c>
      <c r="AI162" s="60">
        <f>(VLOOKUP($E162,'AWS Platforms Ratios'!$A$2:$O$25,3,FALSE)-1)*'Scope 3 Ratios'!$B$7</f>
        <v>100</v>
      </c>
      <c r="AJ162" s="60">
        <f>'Scope 3 Ratios'!$B$2+AF162+AG162+AH162+AI162</f>
        <v>1610.6656</v>
      </c>
      <c r="AK162" s="60">
        <f>AJ162*'Scope 3 Ratios'!$B$4*(C162/D162)</f>
        <v>2.912806713</v>
      </c>
      <c r="AL162" s="61" t="s">
        <v>397</v>
      </c>
    </row>
    <row r="163" ht="15.0" customHeight="1">
      <c r="A163" s="56" t="s">
        <v>400</v>
      </c>
      <c r="B163" s="56" t="s">
        <v>401</v>
      </c>
      <c r="C163" s="56">
        <v>4.0</v>
      </c>
      <c r="D163" s="56">
        <f>VLOOKUP(E163,'AWS Platforms Ratios'!$A$2:$B$25,2,FALSE)</f>
        <v>32</v>
      </c>
      <c r="E163" s="57" t="s">
        <v>90</v>
      </c>
      <c r="F163" s="56">
        <v>15.0</v>
      </c>
      <c r="G163" s="56">
        <v>240.0</v>
      </c>
      <c r="H163" s="57" t="s">
        <v>103</v>
      </c>
      <c r="I163" s="56" t="s">
        <v>85</v>
      </c>
      <c r="J163" s="56">
        <v>2.0</v>
      </c>
      <c r="K163" s="58" t="s">
        <v>73</v>
      </c>
      <c r="L163" s="58" t="s">
        <v>73</v>
      </c>
      <c r="M163" s="58" t="s">
        <v>73</v>
      </c>
      <c r="N163" s="58" t="s">
        <v>73</v>
      </c>
      <c r="O163" s="59">
        <f>($C163/$D163)*VLOOKUP($E163,'AWS Platforms Ratios'!$A$2:$O$25,7,FALSE)</f>
        <v>3.467844828</v>
      </c>
      <c r="P163" s="59">
        <f>($C163/$D163)*VLOOKUP($E163,'AWS Platforms Ratios'!$A$2:$O$25,8,FALSE)</f>
        <v>9.899913793</v>
      </c>
      <c r="Q163" s="59">
        <f>($C163/$D163)*VLOOKUP($E163,'AWS Platforms Ratios'!$A$2:$O$25,9,FALSE)</f>
        <v>20.36193966</v>
      </c>
      <c r="R163" s="59">
        <f>($C163/$D163)*VLOOKUP($E163,'AWS Platforms Ratios'!$A$2:$O$25,10,FALSE)</f>
        <v>27.8708944</v>
      </c>
      <c r="S163" s="59">
        <f>$F163*VLOOKUP($E163,'AWS Platforms Ratios'!$A$2:$O$25,11,FALSE)</f>
        <v>3</v>
      </c>
      <c r="T163" s="59">
        <f>$F163*VLOOKUP($E163,'AWS Platforms Ratios'!$A$2:$O$25,12,FALSE)</f>
        <v>4.5</v>
      </c>
      <c r="U163" s="59">
        <f>$F163*VLOOKUP($E163,'AWS Platforms Ratios'!$A$2:$O$25,13,FALSE)</f>
        <v>6</v>
      </c>
      <c r="V163" s="59">
        <f>$F163*VLOOKUP($E163,'AWS Platforms Ratios'!$A$2:$O$25,14,FALSE)</f>
        <v>9</v>
      </c>
      <c r="W163" s="60">
        <f>IF($K163&lt;&gt;"N/A",$M163*(VLOOKUP($L163,'GPU Specs &amp; Ratios'!$B$2:$I$8,5,FALSE)),0)</f>
        <v>0</v>
      </c>
      <c r="X163" s="60">
        <f>IF($K163&lt;&gt;"N/A",$M163*(VLOOKUP($L163,'GPU Specs &amp; Ratios'!$B$2:$I$8,6,FALSE)),0)</f>
        <v>0</v>
      </c>
      <c r="Y163" s="60">
        <f>IF($K163&lt;&gt;"N/A",$M163*(VLOOKUP($L163,'GPU Specs &amp; Ratios'!$B$2:$I$8,7,FALSE)),0)</f>
        <v>0</v>
      </c>
      <c r="Z163" s="60">
        <f>IF($K163&lt;&gt;"N/A",$M163*(VLOOKUP($L163,'GPU Specs &amp; Ratios'!$B$2:$I$8,8,FALSE)),0)</f>
        <v>0</v>
      </c>
      <c r="AA163" s="60">
        <f>(C163/D163)*VLOOKUP($E163,'AWS Platforms Ratios'!$A$2:$O$25,15,FALSE)</f>
        <v>5.75</v>
      </c>
      <c r="AB163" s="60">
        <f t="shared" ref="AB163:AE163" si="162">O163+S163+W163+$AA163</f>
        <v>12.21784483</v>
      </c>
      <c r="AC163" s="60">
        <f t="shared" si="162"/>
        <v>20.14991379</v>
      </c>
      <c r="AD163" s="60">
        <f t="shared" si="162"/>
        <v>32.11193966</v>
      </c>
      <c r="AE163" s="60">
        <f t="shared" si="162"/>
        <v>42.6208944</v>
      </c>
      <c r="AF163" s="60">
        <f>IF(G163&gt;'Scope 3 Ratios'!$B$5,(G163-'Scope 3 Ratios'!$B$5)*('Scope 3 Ratios'!$B$6/'Scope 3 Ratios'!$B$5),0)</f>
        <v>310.6656</v>
      </c>
      <c r="AG163" s="60">
        <f>J163*IF(I163="SSD",'Scope 3 Ratios'!$B$9,'Scope 3 Ratios'!$B$8)</f>
        <v>200</v>
      </c>
      <c r="AH163" s="60">
        <f>IF(K163&lt;&gt;"N/A",K163*'Scope 3 Ratios'!$B$10,0)</f>
        <v>0</v>
      </c>
      <c r="AI163" s="60">
        <f>(VLOOKUP($E163,'AWS Platforms Ratios'!$A$2:$O$25,3,FALSE)-1)*'Scope 3 Ratios'!$B$7</f>
        <v>100</v>
      </c>
      <c r="AJ163" s="60">
        <f>'Scope 3 Ratios'!$B$2+AF163+AG163+AH163+AI163</f>
        <v>1610.6656</v>
      </c>
      <c r="AK163" s="60">
        <f>AJ163*'Scope 3 Ratios'!$B$4*(C163/D163)</f>
        <v>5.825613426</v>
      </c>
      <c r="AL163" s="61" t="s">
        <v>397</v>
      </c>
    </row>
    <row r="164" ht="15.0" customHeight="1">
      <c r="A164" s="56" t="s">
        <v>402</v>
      </c>
      <c r="B164" s="56" t="s">
        <v>401</v>
      </c>
      <c r="C164" s="56">
        <v>8.0</v>
      </c>
      <c r="D164" s="56">
        <f>VLOOKUP(E164,'AWS Platforms Ratios'!$A$2:$B$25,2,FALSE)</f>
        <v>32</v>
      </c>
      <c r="E164" s="57" t="s">
        <v>90</v>
      </c>
      <c r="F164" s="56">
        <v>30.0</v>
      </c>
      <c r="G164" s="56">
        <v>240.0</v>
      </c>
      <c r="H164" s="57" t="s">
        <v>105</v>
      </c>
      <c r="I164" s="56" t="s">
        <v>85</v>
      </c>
      <c r="J164" s="56">
        <v>2.0</v>
      </c>
      <c r="K164" s="58" t="s">
        <v>73</v>
      </c>
      <c r="L164" s="58" t="s">
        <v>73</v>
      </c>
      <c r="M164" s="58" t="s">
        <v>73</v>
      </c>
      <c r="N164" s="58" t="s">
        <v>73</v>
      </c>
      <c r="O164" s="59">
        <f>($C164/$D164)*VLOOKUP($E164,'AWS Platforms Ratios'!$A$2:$O$25,7,FALSE)</f>
        <v>6.935689655</v>
      </c>
      <c r="P164" s="59">
        <f>($C164/$D164)*VLOOKUP($E164,'AWS Platforms Ratios'!$A$2:$O$25,8,FALSE)</f>
        <v>19.79982759</v>
      </c>
      <c r="Q164" s="59">
        <f>($C164/$D164)*VLOOKUP($E164,'AWS Platforms Ratios'!$A$2:$O$25,9,FALSE)</f>
        <v>40.72387931</v>
      </c>
      <c r="R164" s="59">
        <f>($C164/$D164)*VLOOKUP($E164,'AWS Platforms Ratios'!$A$2:$O$25,10,FALSE)</f>
        <v>55.74178879</v>
      </c>
      <c r="S164" s="59">
        <f>$F164*VLOOKUP($E164,'AWS Platforms Ratios'!$A$2:$O$25,11,FALSE)</f>
        <v>6</v>
      </c>
      <c r="T164" s="59">
        <f>$F164*VLOOKUP($E164,'AWS Platforms Ratios'!$A$2:$O$25,12,FALSE)</f>
        <v>9</v>
      </c>
      <c r="U164" s="59">
        <f>$F164*VLOOKUP($E164,'AWS Platforms Ratios'!$A$2:$O$25,13,FALSE)</f>
        <v>12</v>
      </c>
      <c r="V164" s="59">
        <f>$F164*VLOOKUP($E164,'AWS Platforms Ratios'!$A$2:$O$25,14,FALSE)</f>
        <v>18</v>
      </c>
      <c r="W164" s="60">
        <f>IF($K164&lt;&gt;"N/A",$M164*(VLOOKUP($L164,'GPU Specs &amp; Ratios'!$B$2:$I$8,5,FALSE)),0)</f>
        <v>0</v>
      </c>
      <c r="X164" s="60">
        <f>IF($K164&lt;&gt;"N/A",$M164*(VLOOKUP($L164,'GPU Specs &amp; Ratios'!$B$2:$I$8,6,FALSE)),0)</f>
        <v>0</v>
      </c>
      <c r="Y164" s="60">
        <f>IF($K164&lt;&gt;"N/A",$M164*(VLOOKUP($L164,'GPU Specs &amp; Ratios'!$B$2:$I$8,7,FALSE)),0)</f>
        <v>0</v>
      </c>
      <c r="Z164" s="60">
        <f>IF($K164&lt;&gt;"N/A",$M164*(VLOOKUP($L164,'GPU Specs &amp; Ratios'!$B$2:$I$8,8,FALSE)),0)</f>
        <v>0</v>
      </c>
      <c r="AA164" s="60">
        <f>(C164/D164)*VLOOKUP($E164,'AWS Platforms Ratios'!$A$2:$O$25,15,FALSE)</f>
        <v>11.5</v>
      </c>
      <c r="AB164" s="60">
        <f t="shared" ref="AB164:AE164" si="163">O164+S164+W164+$AA164</f>
        <v>24.43568966</v>
      </c>
      <c r="AC164" s="60">
        <f t="shared" si="163"/>
        <v>40.29982759</v>
      </c>
      <c r="AD164" s="60">
        <f t="shared" si="163"/>
        <v>64.22387931</v>
      </c>
      <c r="AE164" s="60">
        <f t="shared" si="163"/>
        <v>85.24178879</v>
      </c>
      <c r="AF164" s="60">
        <f>IF(G164&gt;'Scope 3 Ratios'!$B$5,(G164-'Scope 3 Ratios'!$B$5)*('Scope 3 Ratios'!$B$6/'Scope 3 Ratios'!$B$5),0)</f>
        <v>310.6656</v>
      </c>
      <c r="AG164" s="60">
        <f>J164*IF(I164="SSD",'Scope 3 Ratios'!$B$9,'Scope 3 Ratios'!$B$8)</f>
        <v>200</v>
      </c>
      <c r="AH164" s="60">
        <f>IF(K164&lt;&gt;"N/A",K164*'Scope 3 Ratios'!$B$10,0)</f>
        <v>0</v>
      </c>
      <c r="AI164" s="60">
        <f>(VLOOKUP($E164,'AWS Platforms Ratios'!$A$2:$O$25,3,FALSE)-1)*'Scope 3 Ratios'!$B$7</f>
        <v>100</v>
      </c>
      <c r="AJ164" s="60">
        <f>'Scope 3 Ratios'!$B$2+AF164+AG164+AH164+AI164</f>
        <v>1610.6656</v>
      </c>
      <c r="AK164" s="60">
        <f>AJ164*'Scope 3 Ratios'!$B$4*(C164/D164)</f>
        <v>11.65122685</v>
      </c>
      <c r="AL164" s="61" t="s">
        <v>397</v>
      </c>
    </row>
    <row r="165" ht="15.0" customHeight="1">
      <c r="A165" s="56" t="s">
        <v>403</v>
      </c>
      <c r="B165" s="56" t="s">
        <v>264</v>
      </c>
      <c r="C165" s="56">
        <v>2.0</v>
      </c>
      <c r="D165" s="56">
        <f>VLOOKUP(E165,'AWS Platforms Ratios'!$A$2:$B$25,2,FALSE)</f>
        <v>72</v>
      </c>
      <c r="E165" s="57" t="s">
        <v>269</v>
      </c>
      <c r="F165" s="56">
        <v>8.0</v>
      </c>
      <c r="G165" s="56">
        <v>256.0</v>
      </c>
      <c r="H165" s="57" t="s">
        <v>71</v>
      </c>
      <c r="I165" s="63" t="s">
        <v>72</v>
      </c>
      <c r="J165" s="56">
        <v>0.0</v>
      </c>
      <c r="K165" s="58" t="s">
        <v>73</v>
      </c>
      <c r="L165" s="58" t="s">
        <v>73</v>
      </c>
      <c r="M165" s="58" t="s">
        <v>73</v>
      </c>
      <c r="N165" s="58" t="s">
        <v>73</v>
      </c>
      <c r="O165" s="59">
        <f>($C165/$D165)*VLOOKUP($E165,'AWS Platforms Ratios'!$A$2:$O$25,7,FALSE)</f>
        <v>0.9716666667</v>
      </c>
      <c r="P165" s="59">
        <f>($C165/$D165)*VLOOKUP($E165,'AWS Platforms Ratios'!$A$2:$O$25,8,FALSE)</f>
        <v>2.773888889</v>
      </c>
      <c r="Q165" s="59">
        <f>($C165/$D165)*VLOOKUP($E165,'AWS Platforms Ratios'!$A$2:$O$25,9,FALSE)</f>
        <v>5.705277778</v>
      </c>
      <c r="R165" s="59">
        <f>($C165/$D165)*VLOOKUP($E165,'AWS Platforms Ratios'!$A$2:$O$25,10,FALSE)</f>
        <v>7.809236111</v>
      </c>
      <c r="S165" s="59">
        <f>$F165*VLOOKUP($E165,'AWS Platforms Ratios'!$A$2:$O$25,11,FALSE)</f>
        <v>1.6</v>
      </c>
      <c r="T165" s="59">
        <f>$F165*VLOOKUP($E165,'AWS Platforms Ratios'!$A$2:$O$25,12,FALSE)</f>
        <v>2.4</v>
      </c>
      <c r="U165" s="59">
        <f>$F165*VLOOKUP($E165,'AWS Platforms Ratios'!$A$2:$O$25,13,FALSE)</f>
        <v>3.2</v>
      </c>
      <c r="V165" s="59">
        <f>$F165*VLOOKUP($E165,'AWS Platforms Ratios'!$A$2:$O$25,14,FALSE)</f>
        <v>4.8</v>
      </c>
      <c r="W165" s="60">
        <f>IF($K165&lt;&gt;"N/A",$M165*(VLOOKUP($L165,'GPU Specs &amp; Ratios'!$B$2:$I$8,5,FALSE)),0)</f>
        <v>0</v>
      </c>
      <c r="X165" s="60">
        <f>IF($K165&lt;&gt;"N/A",$M165*(VLOOKUP($L165,'GPU Specs &amp; Ratios'!$B$2:$I$8,6,FALSE)),0)</f>
        <v>0</v>
      </c>
      <c r="Y165" s="60">
        <f>IF($K165&lt;&gt;"N/A",$M165*(VLOOKUP($L165,'GPU Specs &amp; Ratios'!$B$2:$I$8,7,FALSE)),0)</f>
        <v>0</v>
      </c>
      <c r="Z165" s="60">
        <f>IF($K165&lt;&gt;"N/A",$M165*(VLOOKUP($L165,'GPU Specs &amp; Ratios'!$B$2:$I$8,8,FALSE)),0)</f>
        <v>0</v>
      </c>
      <c r="AA165" s="60">
        <f>(C165/D165)*VLOOKUP($E165,'AWS Platforms Ratios'!$A$2:$O$25,15,FALSE)</f>
        <v>1.611111111</v>
      </c>
      <c r="AB165" s="60">
        <f t="shared" ref="AB165:AE165" si="164">O165+S165+W165+$AA165</f>
        <v>4.182777778</v>
      </c>
      <c r="AC165" s="60">
        <f t="shared" si="164"/>
        <v>6.785</v>
      </c>
      <c r="AD165" s="60">
        <f t="shared" si="164"/>
        <v>10.51638889</v>
      </c>
      <c r="AE165" s="60">
        <f t="shared" si="164"/>
        <v>14.22034722</v>
      </c>
      <c r="AF165" s="60">
        <f>IF(G165&gt;'Scope 3 Ratios'!$B$5,(G165-'Scope 3 Ratios'!$B$5)*('Scope 3 Ratios'!$B$6/'Scope 3 Ratios'!$B$5),0)</f>
        <v>332.856</v>
      </c>
      <c r="AG165" s="60">
        <f>J165*IF(I165="SSD",'Scope 3 Ratios'!$B$9,'Scope 3 Ratios'!$B$8)</f>
        <v>0</v>
      </c>
      <c r="AH165" s="60">
        <f>IF(K165&lt;&gt;"N/A",K165*'Scope 3 Ratios'!$B$10,0)</f>
        <v>0</v>
      </c>
      <c r="AI165" s="60">
        <f>(VLOOKUP($E165,'AWS Platforms Ratios'!$A$2:$O$25,3,FALSE)-1)*'Scope 3 Ratios'!$B$7</f>
        <v>100</v>
      </c>
      <c r="AJ165" s="60">
        <f>'Scope 3 Ratios'!$B$2+AF165+AG165+AH165+AI165</f>
        <v>1432.856</v>
      </c>
      <c r="AK165" s="60">
        <f>AJ165*'Scope 3 Ratios'!$B$4*(C165/D165)</f>
        <v>1.151665381</v>
      </c>
      <c r="AL165" s="61" t="s">
        <v>404</v>
      </c>
    </row>
    <row r="166" ht="15.0" customHeight="1">
      <c r="A166" s="56" t="s">
        <v>405</v>
      </c>
      <c r="B166" s="56" t="s">
        <v>264</v>
      </c>
      <c r="C166" s="56">
        <v>4.0</v>
      </c>
      <c r="D166" s="56">
        <f>VLOOKUP(E166,'AWS Platforms Ratios'!$A$2:$B$25,2,FALSE)</f>
        <v>72</v>
      </c>
      <c r="E166" s="57" t="s">
        <v>269</v>
      </c>
      <c r="F166" s="56">
        <v>16.0</v>
      </c>
      <c r="G166" s="56">
        <v>256.0</v>
      </c>
      <c r="H166" s="57" t="s">
        <v>71</v>
      </c>
      <c r="I166" s="63" t="s">
        <v>72</v>
      </c>
      <c r="J166" s="56">
        <v>0.0</v>
      </c>
      <c r="K166" s="58" t="s">
        <v>73</v>
      </c>
      <c r="L166" s="58" t="s">
        <v>73</v>
      </c>
      <c r="M166" s="58" t="s">
        <v>73</v>
      </c>
      <c r="N166" s="58" t="s">
        <v>73</v>
      </c>
      <c r="O166" s="59">
        <f>($C166/$D166)*VLOOKUP($E166,'AWS Platforms Ratios'!$A$2:$O$25,7,FALSE)</f>
        <v>1.943333333</v>
      </c>
      <c r="P166" s="59">
        <f>($C166/$D166)*VLOOKUP($E166,'AWS Platforms Ratios'!$A$2:$O$25,8,FALSE)</f>
        <v>5.547777778</v>
      </c>
      <c r="Q166" s="59">
        <f>($C166/$D166)*VLOOKUP($E166,'AWS Platforms Ratios'!$A$2:$O$25,9,FALSE)</f>
        <v>11.41055556</v>
      </c>
      <c r="R166" s="59">
        <f>($C166/$D166)*VLOOKUP($E166,'AWS Platforms Ratios'!$A$2:$O$25,10,FALSE)</f>
        <v>15.61847222</v>
      </c>
      <c r="S166" s="59">
        <f>$F166*VLOOKUP($E166,'AWS Platforms Ratios'!$A$2:$O$25,11,FALSE)</f>
        <v>3.2</v>
      </c>
      <c r="T166" s="59">
        <f>$F166*VLOOKUP($E166,'AWS Platforms Ratios'!$A$2:$O$25,12,FALSE)</f>
        <v>4.8</v>
      </c>
      <c r="U166" s="59">
        <f>$F166*VLOOKUP($E166,'AWS Platforms Ratios'!$A$2:$O$25,13,FALSE)</f>
        <v>6.4</v>
      </c>
      <c r="V166" s="59">
        <f>$F166*VLOOKUP($E166,'AWS Platforms Ratios'!$A$2:$O$25,14,FALSE)</f>
        <v>9.6</v>
      </c>
      <c r="W166" s="60">
        <f>IF($K166&lt;&gt;"N/A",$M166*(VLOOKUP($L166,'GPU Specs &amp; Ratios'!$B$2:$I$8,5,FALSE)),0)</f>
        <v>0</v>
      </c>
      <c r="X166" s="60">
        <f>IF($K166&lt;&gt;"N/A",$M166*(VLOOKUP($L166,'GPU Specs &amp; Ratios'!$B$2:$I$8,6,FALSE)),0)</f>
        <v>0</v>
      </c>
      <c r="Y166" s="60">
        <f>IF($K166&lt;&gt;"N/A",$M166*(VLOOKUP($L166,'GPU Specs &amp; Ratios'!$B$2:$I$8,7,FALSE)),0)</f>
        <v>0</v>
      </c>
      <c r="Z166" s="60">
        <f>IF($K166&lt;&gt;"N/A",$M166*(VLOOKUP($L166,'GPU Specs &amp; Ratios'!$B$2:$I$8,8,FALSE)),0)</f>
        <v>0</v>
      </c>
      <c r="AA166" s="60">
        <f>(C166/D166)*VLOOKUP($E166,'AWS Platforms Ratios'!$A$2:$O$25,15,FALSE)</f>
        <v>3.222222222</v>
      </c>
      <c r="AB166" s="60">
        <f t="shared" ref="AB166:AE166" si="165">O166+S166+W166+$AA166</f>
        <v>8.365555556</v>
      </c>
      <c r="AC166" s="60">
        <f t="shared" si="165"/>
        <v>13.57</v>
      </c>
      <c r="AD166" s="60">
        <f t="shared" si="165"/>
        <v>21.03277778</v>
      </c>
      <c r="AE166" s="60">
        <f t="shared" si="165"/>
        <v>28.44069444</v>
      </c>
      <c r="AF166" s="60">
        <f>IF(G166&gt;'Scope 3 Ratios'!$B$5,(G166-'Scope 3 Ratios'!$B$5)*('Scope 3 Ratios'!$B$6/'Scope 3 Ratios'!$B$5),0)</f>
        <v>332.856</v>
      </c>
      <c r="AG166" s="60">
        <f>J166*IF(I166="SSD",'Scope 3 Ratios'!$B$9,'Scope 3 Ratios'!$B$8)</f>
        <v>0</v>
      </c>
      <c r="AH166" s="60">
        <f>IF(K166&lt;&gt;"N/A",K166*'Scope 3 Ratios'!$B$10,0)</f>
        <v>0</v>
      </c>
      <c r="AI166" s="60">
        <f>(VLOOKUP($E166,'AWS Platforms Ratios'!$A$2:$O$25,3,FALSE)-1)*'Scope 3 Ratios'!$B$7</f>
        <v>100</v>
      </c>
      <c r="AJ166" s="60">
        <f>'Scope 3 Ratios'!$B$2+AF166+AG166+AH166+AI166</f>
        <v>1432.856</v>
      </c>
      <c r="AK166" s="60">
        <f>AJ166*'Scope 3 Ratios'!$B$4*(C166/D166)</f>
        <v>2.303330761</v>
      </c>
      <c r="AL166" s="61" t="s">
        <v>404</v>
      </c>
    </row>
    <row r="167" ht="15.0" customHeight="1">
      <c r="A167" s="56" t="s">
        <v>406</v>
      </c>
      <c r="B167" s="56" t="s">
        <v>264</v>
      </c>
      <c r="C167" s="56">
        <v>8.0</v>
      </c>
      <c r="D167" s="56">
        <f>VLOOKUP(E167,'AWS Platforms Ratios'!$A$2:$B$25,2,FALSE)</f>
        <v>72</v>
      </c>
      <c r="E167" s="57" t="s">
        <v>269</v>
      </c>
      <c r="F167" s="56">
        <v>32.0</v>
      </c>
      <c r="G167" s="56">
        <v>256.0</v>
      </c>
      <c r="H167" s="57" t="s">
        <v>71</v>
      </c>
      <c r="I167" s="63" t="s">
        <v>72</v>
      </c>
      <c r="J167" s="56">
        <v>0.0</v>
      </c>
      <c r="K167" s="58" t="s">
        <v>73</v>
      </c>
      <c r="L167" s="58" t="s">
        <v>73</v>
      </c>
      <c r="M167" s="58" t="s">
        <v>73</v>
      </c>
      <c r="N167" s="58" t="s">
        <v>73</v>
      </c>
      <c r="O167" s="59">
        <f>($C167/$D167)*VLOOKUP($E167,'AWS Platforms Ratios'!$A$2:$O$25,7,FALSE)</f>
        <v>3.886666667</v>
      </c>
      <c r="P167" s="59">
        <f>($C167/$D167)*VLOOKUP($E167,'AWS Platforms Ratios'!$A$2:$O$25,8,FALSE)</f>
        <v>11.09555556</v>
      </c>
      <c r="Q167" s="59">
        <f>($C167/$D167)*VLOOKUP($E167,'AWS Platforms Ratios'!$A$2:$O$25,9,FALSE)</f>
        <v>22.82111111</v>
      </c>
      <c r="R167" s="59">
        <f>($C167/$D167)*VLOOKUP($E167,'AWS Platforms Ratios'!$A$2:$O$25,10,FALSE)</f>
        <v>31.23694444</v>
      </c>
      <c r="S167" s="59">
        <f>$F167*VLOOKUP($E167,'AWS Platforms Ratios'!$A$2:$O$25,11,FALSE)</f>
        <v>6.4</v>
      </c>
      <c r="T167" s="59">
        <f>$F167*VLOOKUP($E167,'AWS Platforms Ratios'!$A$2:$O$25,12,FALSE)</f>
        <v>9.6</v>
      </c>
      <c r="U167" s="59">
        <f>$F167*VLOOKUP($E167,'AWS Platforms Ratios'!$A$2:$O$25,13,FALSE)</f>
        <v>12.8</v>
      </c>
      <c r="V167" s="59">
        <f>$F167*VLOOKUP($E167,'AWS Platforms Ratios'!$A$2:$O$25,14,FALSE)</f>
        <v>19.2</v>
      </c>
      <c r="W167" s="60">
        <f>IF($K167&lt;&gt;"N/A",$M167*(VLOOKUP($L167,'GPU Specs &amp; Ratios'!$B$2:$I$8,5,FALSE)),0)</f>
        <v>0</v>
      </c>
      <c r="X167" s="60">
        <f>IF($K167&lt;&gt;"N/A",$M167*(VLOOKUP($L167,'GPU Specs &amp; Ratios'!$B$2:$I$8,6,FALSE)),0)</f>
        <v>0</v>
      </c>
      <c r="Y167" s="60">
        <f>IF($K167&lt;&gt;"N/A",$M167*(VLOOKUP($L167,'GPU Specs &amp; Ratios'!$B$2:$I$8,7,FALSE)),0)</f>
        <v>0</v>
      </c>
      <c r="Z167" s="60">
        <f>IF($K167&lt;&gt;"N/A",$M167*(VLOOKUP($L167,'GPU Specs &amp; Ratios'!$B$2:$I$8,8,FALSE)),0)</f>
        <v>0</v>
      </c>
      <c r="AA167" s="60">
        <f>(C167/D167)*VLOOKUP($E167,'AWS Platforms Ratios'!$A$2:$O$25,15,FALSE)</f>
        <v>6.444444444</v>
      </c>
      <c r="AB167" s="60">
        <f t="shared" ref="AB167:AE167" si="166">O167+S167+W167+$AA167</f>
        <v>16.73111111</v>
      </c>
      <c r="AC167" s="60">
        <f t="shared" si="166"/>
        <v>27.14</v>
      </c>
      <c r="AD167" s="60">
        <f t="shared" si="166"/>
        <v>42.06555556</v>
      </c>
      <c r="AE167" s="60">
        <f t="shared" si="166"/>
        <v>56.88138889</v>
      </c>
      <c r="AF167" s="60">
        <f>IF(G167&gt;'Scope 3 Ratios'!$B$5,(G167-'Scope 3 Ratios'!$B$5)*('Scope 3 Ratios'!$B$6/'Scope 3 Ratios'!$B$5),0)</f>
        <v>332.856</v>
      </c>
      <c r="AG167" s="60">
        <f>J167*IF(I167="SSD",'Scope 3 Ratios'!$B$9,'Scope 3 Ratios'!$B$8)</f>
        <v>0</v>
      </c>
      <c r="AH167" s="60">
        <f>IF(K167&lt;&gt;"N/A",K167*'Scope 3 Ratios'!$B$10,0)</f>
        <v>0</v>
      </c>
      <c r="AI167" s="60">
        <f>(VLOOKUP($E167,'AWS Platforms Ratios'!$A$2:$O$25,3,FALSE)-1)*'Scope 3 Ratios'!$B$7</f>
        <v>100</v>
      </c>
      <c r="AJ167" s="60">
        <f>'Scope 3 Ratios'!$B$2+AF167+AG167+AH167+AI167</f>
        <v>1432.856</v>
      </c>
      <c r="AK167" s="60">
        <f>AJ167*'Scope 3 Ratios'!$B$4*(C167/D167)</f>
        <v>4.606661523</v>
      </c>
      <c r="AL167" s="61" t="s">
        <v>404</v>
      </c>
    </row>
    <row r="168" ht="15.0" customHeight="1">
      <c r="A168" s="56" t="s">
        <v>407</v>
      </c>
      <c r="B168" s="56" t="s">
        <v>264</v>
      </c>
      <c r="C168" s="56">
        <v>16.0</v>
      </c>
      <c r="D168" s="56">
        <f>VLOOKUP(E168,'AWS Platforms Ratios'!$A$2:$B$25,2,FALSE)</f>
        <v>72</v>
      </c>
      <c r="E168" s="57" t="s">
        <v>269</v>
      </c>
      <c r="F168" s="56">
        <v>64.0</v>
      </c>
      <c r="G168" s="56">
        <v>256.0</v>
      </c>
      <c r="H168" s="57" t="s">
        <v>71</v>
      </c>
      <c r="I168" s="63" t="s">
        <v>72</v>
      </c>
      <c r="J168" s="56">
        <v>0.0</v>
      </c>
      <c r="K168" s="58" t="s">
        <v>73</v>
      </c>
      <c r="L168" s="58" t="s">
        <v>73</v>
      </c>
      <c r="M168" s="58" t="s">
        <v>73</v>
      </c>
      <c r="N168" s="58" t="s">
        <v>73</v>
      </c>
      <c r="O168" s="59">
        <f>($C168/$D168)*VLOOKUP($E168,'AWS Platforms Ratios'!$A$2:$O$25,7,FALSE)</f>
        <v>7.773333333</v>
      </c>
      <c r="P168" s="59">
        <f>($C168/$D168)*VLOOKUP($E168,'AWS Platforms Ratios'!$A$2:$O$25,8,FALSE)</f>
        <v>22.19111111</v>
      </c>
      <c r="Q168" s="59">
        <f>($C168/$D168)*VLOOKUP($E168,'AWS Platforms Ratios'!$A$2:$O$25,9,FALSE)</f>
        <v>45.64222222</v>
      </c>
      <c r="R168" s="59">
        <f>($C168/$D168)*VLOOKUP($E168,'AWS Platforms Ratios'!$A$2:$O$25,10,FALSE)</f>
        <v>62.47388889</v>
      </c>
      <c r="S168" s="59">
        <f>$F168*VLOOKUP($E168,'AWS Platforms Ratios'!$A$2:$O$25,11,FALSE)</f>
        <v>12.8</v>
      </c>
      <c r="T168" s="59">
        <f>$F168*VLOOKUP($E168,'AWS Platforms Ratios'!$A$2:$O$25,12,FALSE)</f>
        <v>19.2</v>
      </c>
      <c r="U168" s="59">
        <f>$F168*VLOOKUP($E168,'AWS Platforms Ratios'!$A$2:$O$25,13,FALSE)</f>
        <v>25.6</v>
      </c>
      <c r="V168" s="59">
        <f>$F168*VLOOKUP($E168,'AWS Platforms Ratios'!$A$2:$O$25,14,FALSE)</f>
        <v>38.4</v>
      </c>
      <c r="W168" s="60">
        <f>IF($K168&lt;&gt;"N/A",$M168*(VLOOKUP($L168,'GPU Specs &amp; Ratios'!$B$2:$I$8,5,FALSE)),0)</f>
        <v>0</v>
      </c>
      <c r="X168" s="60">
        <f>IF($K168&lt;&gt;"N/A",$M168*(VLOOKUP($L168,'GPU Specs &amp; Ratios'!$B$2:$I$8,6,FALSE)),0)</f>
        <v>0</v>
      </c>
      <c r="Y168" s="60">
        <f>IF($K168&lt;&gt;"N/A",$M168*(VLOOKUP($L168,'GPU Specs &amp; Ratios'!$B$2:$I$8,7,FALSE)),0)</f>
        <v>0</v>
      </c>
      <c r="Z168" s="60">
        <f>IF($K168&lt;&gt;"N/A",$M168*(VLOOKUP($L168,'GPU Specs &amp; Ratios'!$B$2:$I$8,8,FALSE)),0)</f>
        <v>0</v>
      </c>
      <c r="AA168" s="60">
        <f>(C168/D168)*VLOOKUP($E168,'AWS Platforms Ratios'!$A$2:$O$25,15,FALSE)</f>
        <v>12.88888889</v>
      </c>
      <c r="AB168" s="60">
        <f t="shared" ref="AB168:AE168" si="167">O168+S168+W168+$AA168</f>
        <v>33.46222222</v>
      </c>
      <c r="AC168" s="60">
        <f t="shared" si="167"/>
        <v>54.28</v>
      </c>
      <c r="AD168" s="60">
        <f t="shared" si="167"/>
        <v>84.13111111</v>
      </c>
      <c r="AE168" s="60">
        <f t="shared" si="167"/>
        <v>113.7627778</v>
      </c>
      <c r="AF168" s="60">
        <f>IF(G168&gt;'Scope 3 Ratios'!$B$5,(G168-'Scope 3 Ratios'!$B$5)*('Scope 3 Ratios'!$B$6/'Scope 3 Ratios'!$B$5),0)</f>
        <v>332.856</v>
      </c>
      <c r="AG168" s="60">
        <f>J168*IF(I168="SSD",'Scope 3 Ratios'!$B$9,'Scope 3 Ratios'!$B$8)</f>
        <v>0</v>
      </c>
      <c r="AH168" s="60">
        <f>IF(K168&lt;&gt;"N/A",K168*'Scope 3 Ratios'!$B$10,0)</f>
        <v>0</v>
      </c>
      <c r="AI168" s="60">
        <f>(VLOOKUP($E168,'AWS Platforms Ratios'!$A$2:$O$25,3,FALSE)-1)*'Scope 3 Ratios'!$B$7</f>
        <v>100</v>
      </c>
      <c r="AJ168" s="60">
        <f>'Scope 3 Ratios'!$B$2+AF168+AG168+AH168+AI168</f>
        <v>1432.856</v>
      </c>
      <c r="AK168" s="60">
        <f>AJ168*'Scope 3 Ratios'!$B$4*(C168/D168)</f>
        <v>9.213323045</v>
      </c>
      <c r="AL168" s="61" t="s">
        <v>404</v>
      </c>
    </row>
    <row r="169" ht="15.0" customHeight="1">
      <c r="A169" s="56" t="s">
        <v>408</v>
      </c>
      <c r="B169" s="56" t="s">
        <v>264</v>
      </c>
      <c r="C169" s="56">
        <v>40.0</v>
      </c>
      <c r="D169" s="56">
        <f>VLOOKUP(E169,'AWS Platforms Ratios'!$A$2:$B$25,2,FALSE)</f>
        <v>48</v>
      </c>
      <c r="E169" s="57" t="s">
        <v>225</v>
      </c>
      <c r="F169" s="56">
        <v>160.0</v>
      </c>
      <c r="G169" s="56">
        <v>256.0</v>
      </c>
      <c r="H169" s="57" t="s">
        <v>71</v>
      </c>
      <c r="I169" s="63" t="s">
        <v>72</v>
      </c>
      <c r="J169" s="56">
        <v>0.0</v>
      </c>
      <c r="K169" s="58" t="s">
        <v>73</v>
      </c>
      <c r="L169" s="58" t="s">
        <v>73</v>
      </c>
      <c r="M169" s="58" t="s">
        <v>73</v>
      </c>
      <c r="N169" s="58" t="s">
        <v>73</v>
      </c>
      <c r="O169" s="59">
        <f>($C169/$D169)*VLOOKUP($E169,'AWS Platforms Ratios'!$A$2:$O$25,7,FALSE)</f>
        <v>24.12413793</v>
      </c>
      <c r="P169" s="59">
        <f>($C169/$D169)*VLOOKUP($E169,'AWS Platforms Ratios'!$A$2:$O$25,8,FALSE)</f>
        <v>68.86896552</v>
      </c>
      <c r="Q169" s="59">
        <f>($C169/$D169)*VLOOKUP($E169,'AWS Platforms Ratios'!$A$2:$O$25,9,FALSE)</f>
        <v>141.6482759</v>
      </c>
      <c r="R169" s="59">
        <f>($C169/$D169)*VLOOKUP($E169,'AWS Platforms Ratios'!$A$2:$O$25,10,FALSE)</f>
        <v>193.8844828</v>
      </c>
      <c r="S169" s="59">
        <f>$F169*VLOOKUP($E169,'AWS Platforms Ratios'!$A$2:$O$25,11,FALSE)</f>
        <v>32</v>
      </c>
      <c r="T169" s="59">
        <f>$F169*VLOOKUP($E169,'AWS Platforms Ratios'!$A$2:$O$25,12,FALSE)</f>
        <v>48</v>
      </c>
      <c r="U169" s="59">
        <f>$F169*VLOOKUP($E169,'AWS Platforms Ratios'!$A$2:$O$25,13,FALSE)</f>
        <v>64</v>
      </c>
      <c r="V169" s="59">
        <f>$F169*VLOOKUP($E169,'AWS Platforms Ratios'!$A$2:$O$25,14,FALSE)</f>
        <v>96</v>
      </c>
      <c r="W169" s="60">
        <f>IF($K169&lt;&gt;"N/A",$M169*(VLOOKUP($L169,'GPU Specs &amp; Ratios'!$B$2:$I$8,5,FALSE)),0)</f>
        <v>0</v>
      </c>
      <c r="X169" s="60">
        <f>IF($K169&lt;&gt;"N/A",$M169*(VLOOKUP($L169,'GPU Specs &amp; Ratios'!$B$2:$I$8,6,FALSE)),0)</f>
        <v>0</v>
      </c>
      <c r="Y169" s="60">
        <f>IF($K169&lt;&gt;"N/A",$M169*(VLOOKUP($L169,'GPU Specs &amp; Ratios'!$B$2:$I$8,7,FALSE)),0)</f>
        <v>0</v>
      </c>
      <c r="Z169" s="60">
        <f>IF($K169&lt;&gt;"N/A",$M169*(VLOOKUP($L169,'GPU Specs &amp; Ratios'!$B$2:$I$8,8,FALSE)),0)</f>
        <v>0</v>
      </c>
      <c r="AA169" s="60">
        <f>(C169/D169)*VLOOKUP($E169,'AWS Platforms Ratios'!$A$2:$O$25,15,FALSE)</f>
        <v>40</v>
      </c>
      <c r="AB169" s="60">
        <f t="shared" ref="AB169:AE169" si="168">O169+S169+W169+$AA169</f>
        <v>96.12413793</v>
      </c>
      <c r="AC169" s="60">
        <f t="shared" si="168"/>
        <v>156.8689655</v>
      </c>
      <c r="AD169" s="60">
        <f t="shared" si="168"/>
        <v>245.6482759</v>
      </c>
      <c r="AE169" s="60">
        <f t="shared" si="168"/>
        <v>329.8844828</v>
      </c>
      <c r="AF169" s="60">
        <f>IF(G169&gt;'Scope 3 Ratios'!$B$5,(G169-'Scope 3 Ratios'!$B$5)*('Scope 3 Ratios'!$B$6/'Scope 3 Ratios'!$B$5),0)</f>
        <v>332.856</v>
      </c>
      <c r="AG169" s="60">
        <f>J169*IF(I169="SSD",'Scope 3 Ratios'!$B$9,'Scope 3 Ratios'!$B$8)</f>
        <v>0</v>
      </c>
      <c r="AH169" s="60">
        <f>IF(K169&lt;&gt;"N/A",K169*'Scope 3 Ratios'!$B$10,0)</f>
        <v>0</v>
      </c>
      <c r="AI169" s="60">
        <f>(VLOOKUP($E169,'AWS Platforms Ratios'!$A$2:$O$25,3,FALSE)-1)*'Scope 3 Ratios'!$B$7</f>
        <v>100</v>
      </c>
      <c r="AJ169" s="60">
        <f>'Scope 3 Ratios'!$B$2+AF169+AG169+AH169+AI169</f>
        <v>1432.856</v>
      </c>
      <c r="AK169" s="60">
        <f>AJ169*'Scope 3 Ratios'!$B$4*(C169/D169)</f>
        <v>34.54996142</v>
      </c>
      <c r="AL169" s="61" t="s">
        <v>404</v>
      </c>
    </row>
    <row r="170" ht="15.0" customHeight="1">
      <c r="A170" s="56" t="s">
        <v>409</v>
      </c>
      <c r="B170" s="56" t="s">
        <v>410</v>
      </c>
      <c r="C170" s="56">
        <v>64.0</v>
      </c>
      <c r="D170" s="56">
        <f>VLOOKUP(E170,'AWS Platforms Ratios'!$A$2:$B$25,2,FALSE)</f>
        <v>72</v>
      </c>
      <c r="E170" s="57" t="s">
        <v>269</v>
      </c>
      <c r="F170" s="56">
        <v>256.0</v>
      </c>
      <c r="G170" s="56">
        <v>256.0</v>
      </c>
      <c r="H170" s="57" t="s">
        <v>71</v>
      </c>
      <c r="I170" s="63" t="s">
        <v>72</v>
      </c>
      <c r="J170" s="56">
        <v>0.0</v>
      </c>
      <c r="K170" s="58" t="s">
        <v>73</v>
      </c>
      <c r="L170" s="58" t="s">
        <v>73</v>
      </c>
      <c r="M170" s="58" t="s">
        <v>73</v>
      </c>
      <c r="N170" s="58" t="s">
        <v>73</v>
      </c>
      <c r="O170" s="59">
        <f>($C170/$D170)*VLOOKUP($E170,'AWS Platforms Ratios'!$A$2:$O$25,7,FALSE)</f>
        <v>31.09333333</v>
      </c>
      <c r="P170" s="59">
        <f>($C170/$D170)*VLOOKUP($E170,'AWS Platforms Ratios'!$A$2:$O$25,8,FALSE)</f>
        <v>88.76444444</v>
      </c>
      <c r="Q170" s="59">
        <f>($C170/$D170)*VLOOKUP($E170,'AWS Platforms Ratios'!$A$2:$O$25,9,FALSE)</f>
        <v>182.5688889</v>
      </c>
      <c r="R170" s="59">
        <f>($C170/$D170)*VLOOKUP($E170,'AWS Platforms Ratios'!$A$2:$O$25,10,FALSE)</f>
        <v>249.8955556</v>
      </c>
      <c r="S170" s="59">
        <f>$F170*VLOOKUP($E170,'AWS Platforms Ratios'!$A$2:$O$25,11,FALSE)</f>
        <v>51.2</v>
      </c>
      <c r="T170" s="59">
        <f>$F170*VLOOKUP($E170,'AWS Platforms Ratios'!$A$2:$O$25,12,FALSE)</f>
        <v>76.8</v>
      </c>
      <c r="U170" s="59">
        <f>$F170*VLOOKUP($E170,'AWS Platforms Ratios'!$A$2:$O$25,13,FALSE)</f>
        <v>102.4</v>
      </c>
      <c r="V170" s="59">
        <f>$F170*VLOOKUP($E170,'AWS Platforms Ratios'!$A$2:$O$25,14,FALSE)</f>
        <v>153.6</v>
      </c>
      <c r="W170" s="60">
        <f>IF($K170&lt;&gt;"N/A",$M170*(VLOOKUP($L170,'GPU Specs &amp; Ratios'!$B$2:$I$8,5,FALSE)),0)</f>
        <v>0</v>
      </c>
      <c r="X170" s="60">
        <f>IF($K170&lt;&gt;"N/A",$M170*(VLOOKUP($L170,'GPU Specs &amp; Ratios'!$B$2:$I$8,6,FALSE)),0)</f>
        <v>0</v>
      </c>
      <c r="Y170" s="60">
        <f>IF($K170&lt;&gt;"N/A",$M170*(VLOOKUP($L170,'GPU Specs &amp; Ratios'!$B$2:$I$8,7,FALSE)),0)</f>
        <v>0</v>
      </c>
      <c r="Z170" s="60">
        <f>IF($K170&lt;&gt;"N/A",$M170*(VLOOKUP($L170,'GPU Specs &amp; Ratios'!$B$2:$I$8,8,FALSE)),0)</f>
        <v>0</v>
      </c>
      <c r="AA170" s="60">
        <f>(C170/D170)*VLOOKUP($E170,'AWS Platforms Ratios'!$A$2:$O$25,15,FALSE)</f>
        <v>51.55555556</v>
      </c>
      <c r="AB170" s="60">
        <f t="shared" ref="AB170:AE170" si="169">O170+S170+W170+$AA170</f>
        <v>133.8488889</v>
      </c>
      <c r="AC170" s="60">
        <f t="shared" si="169"/>
        <v>217.12</v>
      </c>
      <c r="AD170" s="60">
        <f t="shared" si="169"/>
        <v>336.5244444</v>
      </c>
      <c r="AE170" s="60">
        <f t="shared" si="169"/>
        <v>455.0511111</v>
      </c>
      <c r="AF170" s="60">
        <f>IF(G170&gt;'Scope 3 Ratios'!$B$5,(G170-'Scope 3 Ratios'!$B$5)*('Scope 3 Ratios'!$B$6/'Scope 3 Ratios'!$B$5),0)</f>
        <v>332.856</v>
      </c>
      <c r="AG170" s="60">
        <f>J170*IF(I170="SSD",'Scope 3 Ratios'!$B$9,'Scope 3 Ratios'!$B$8)</f>
        <v>0</v>
      </c>
      <c r="AH170" s="60">
        <f>IF(K170&lt;&gt;"N/A",K170*'Scope 3 Ratios'!$B$10,0)</f>
        <v>0</v>
      </c>
      <c r="AI170" s="60">
        <f>(VLOOKUP($E170,'AWS Platforms Ratios'!$A$2:$O$25,3,FALSE)-1)*'Scope 3 Ratios'!$B$7</f>
        <v>100</v>
      </c>
      <c r="AJ170" s="60">
        <f>'Scope 3 Ratios'!$B$2+AF170+AG170+AH170+AI170</f>
        <v>1432.856</v>
      </c>
      <c r="AK170" s="60">
        <f>AJ170*'Scope 3 Ratios'!$B$4*(C170/D170)</f>
        <v>36.85329218</v>
      </c>
      <c r="AL170" s="61" t="s">
        <v>404</v>
      </c>
    </row>
    <row r="171" ht="15.0" customHeight="1">
      <c r="A171" s="56" t="s">
        <v>411</v>
      </c>
      <c r="B171" s="56" t="s">
        <v>313</v>
      </c>
      <c r="C171" s="56">
        <v>2.0</v>
      </c>
      <c r="D171" s="56">
        <f>VLOOKUP(E171,'AWS Platforms Ratios'!$A$2:$B$25,2,FALSE)</f>
        <v>96</v>
      </c>
      <c r="E171" s="57" t="s">
        <v>350</v>
      </c>
      <c r="F171" s="56">
        <v>8.0</v>
      </c>
      <c r="G171" s="56">
        <v>384.0</v>
      </c>
      <c r="H171" s="57" t="s">
        <v>71</v>
      </c>
      <c r="I171" s="63" t="s">
        <v>72</v>
      </c>
      <c r="J171" s="56">
        <v>0.0</v>
      </c>
      <c r="K171" s="58" t="s">
        <v>73</v>
      </c>
      <c r="L171" s="58" t="s">
        <v>73</v>
      </c>
      <c r="M171" s="58" t="s">
        <v>73</v>
      </c>
      <c r="N171" s="58" t="s">
        <v>73</v>
      </c>
      <c r="O171" s="59">
        <f>($C171/$D171)*VLOOKUP($E171,'AWS Platforms Ratios'!$A$2:$O$25,7,FALSE)</f>
        <v>1.205833333</v>
      </c>
      <c r="P171" s="59">
        <f>($C171/$D171)*VLOOKUP($E171,'AWS Platforms Ratios'!$A$2:$O$25,8,FALSE)</f>
        <v>3.054791667</v>
      </c>
      <c r="Q171" s="59">
        <f>($C171/$D171)*VLOOKUP($E171,'AWS Platforms Ratios'!$A$2:$O$25,9,FALSE)</f>
        <v>7.160416667</v>
      </c>
      <c r="R171" s="59">
        <f>($C171/$D171)*VLOOKUP($E171,'AWS Platforms Ratios'!$A$2:$O$25,10,FALSE)</f>
        <v>9.9578125</v>
      </c>
      <c r="S171" s="59">
        <f>$F171*VLOOKUP($E171,'AWS Platforms Ratios'!$A$2:$O$25,11,FALSE)</f>
        <v>1.204375</v>
      </c>
      <c r="T171" s="59">
        <f>$F171*VLOOKUP($E171,'AWS Platforms Ratios'!$A$2:$O$25,12,FALSE)</f>
        <v>1.924791667</v>
      </c>
      <c r="U171" s="59">
        <f>$F171*VLOOKUP($E171,'AWS Platforms Ratios'!$A$2:$O$25,13,FALSE)</f>
        <v>4.960416667</v>
      </c>
      <c r="V171" s="59">
        <f>$F171*VLOOKUP($E171,'AWS Platforms Ratios'!$A$2:$O$25,14,FALSE)</f>
        <v>7.996041667</v>
      </c>
      <c r="W171" s="60">
        <f>IF($K171&lt;&gt;"N/A",$M171*(VLOOKUP($L171,'GPU Specs &amp; Ratios'!$B$2:$I$8,5,FALSE)),0)</f>
        <v>0</v>
      </c>
      <c r="X171" s="60">
        <f>IF($K171&lt;&gt;"N/A",$M171*(VLOOKUP($L171,'GPU Specs &amp; Ratios'!$B$2:$I$8,6,FALSE)),0)</f>
        <v>0</v>
      </c>
      <c r="Y171" s="60">
        <f>IF($K171&lt;&gt;"N/A",$M171*(VLOOKUP($L171,'GPU Specs &amp; Ratios'!$B$2:$I$8,7,FALSE)),0)</f>
        <v>0</v>
      </c>
      <c r="Z171" s="60">
        <f>IF($K171&lt;&gt;"N/A",$M171*(VLOOKUP($L171,'GPU Specs &amp; Ratios'!$B$2:$I$8,8,FALSE)),0)</f>
        <v>0</v>
      </c>
      <c r="AA171" s="60">
        <f>(C171/D171)*VLOOKUP($E171,'AWS Platforms Ratios'!$A$2:$O$25,15,FALSE)</f>
        <v>2</v>
      </c>
      <c r="AB171" s="60">
        <f t="shared" ref="AB171:AE171" si="170">O171+S171+W171+$AA171</f>
        <v>4.410208333</v>
      </c>
      <c r="AC171" s="60">
        <f t="shared" si="170"/>
        <v>6.979583333</v>
      </c>
      <c r="AD171" s="60">
        <f t="shared" si="170"/>
        <v>14.12083333</v>
      </c>
      <c r="AE171" s="60">
        <f t="shared" si="170"/>
        <v>19.95385417</v>
      </c>
      <c r="AF171" s="60">
        <f>IF(G171&gt;'Scope 3 Ratios'!$B$5,(G171-'Scope 3 Ratios'!$B$5)*('Scope 3 Ratios'!$B$6/'Scope 3 Ratios'!$B$5),0)</f>
        <v>510.3792</v>
      </c>
      <c r="AG171" s="60">
        <f>J171*IF(I171="SSD",'Scope 3 Ratios'!$B$9,'Scope 3 Ratios'!$B$8)</f>
        <v>0</v>
      </c>
      <c r="AH171" s="60">
        <f>IF(K171&lt;&gt;"N/A",K171*'Scope 3 Ratios'!$B$10,0)</f>
        <v>0</v>
      </c>
      <c r="AI171" s="60">
        <f>(VLOOKUP($E171,'AWS Platforms Ratios'!$A$2:$O$25,3,FALSE)-1)*'Scope 3 Ratios'!$B$7</f>
        <v>100</v>
      </c>
      <c r="AJ171" s="60">
        <f>'Scope 3 Ratios'!$B$2+AF171+AG171+AH171+AI171</f>
        <v>1610.3792</v>
      </c>
      <c r="AK171" s="60">
        <f>AJ171*'Scope 3 Ratios'!$B$4*(C171/D171)</f>
        <v>0.9707629244</v>
      </c>
      <c r="AL171" s="61" t="s">
        <v>412</v>
      </c>
    </row>
    <row r="172" ht="15.0" customHeight="1">
      <c r="A172" s="56" t="s">
        <v>413</v>
      </c>
      <c r="B172" s="56" t="s">
        <v>313</v>
      </c>
      <c r="C172" s="56">
        <v>4.0</v>
      </c>
      <c r="D172" s="56">
        <f>VLOOKUP(E172,'AWS Platforms Ratios'!$A$2:$B$25,2,FALSE)</f>
        <v>96</v>
      </c>
      <c r="E172" s="57" t="s">
        <v>350</v>
      </c>
      <c r="F172" s="56">
        <v>16.0</v>
      </c>
      <c r="G172" s="56">
        <v>384.0</v>
      </c>
      <c r="H172" s="57" t="s">
        <v>71</v>
      </c>
      <c r="I172" s="63" t="s">
        <v>72</v>
      </c>
      <c r="J172" s="56">
        <v>0.0</v>
      </c>
      <c r="K172" s="58" t="s">
        <v>73</v>
      </c>
      <c r="L172" s="58" t="s">
        <v>73</v>
      </c>
      <c r="M172" s="58" t="s">
        <v>73</v>
      </c>
      <c r="N172" s="58" t="s">
        <v>73</v>
      </c>
      <c r="O172" s="59">
        <f>($C172/$D172)*VLOOKUP($E172,'AWS Platforms Ratios'!$A$2:$O$25,7,FALSE)</f>
        <v>2.411666667</v>
      </c>
      <c r="P172" s="59">
        <f>($C172/$D172)*VLOOKUP($E172,'AWS Platforms Ratios'!$A$2:$O$25,8,FALSE)</f>
        <v>6.109583333</v>
      </c>
      <c r="Q172" s="59">
        <f>($C172/$D172)*VLOOKUP($E172,'AWS Platforms Ratios'!$A$2:$O$25,9,FALSE)</f>
        <v>14.32083333</v>
      </c>
      <c r="R172" s="59">
        <f>($C172/$D172)*VLOOKUP($E172,'AWS Platforms Ratios'!$A$2:$O$25,10,FALSE)</f>
        <v>19.915625</v>
      </c>
      <c r="S172" s="59">
        <f>$F172*VLOOKUP($E172,'AWS Platforms Ratios'!$A$2:$O$25,11,FALSE)</f>
        <v>2.40875</v>
      </c>
      <c r="T172" s="59">
        <f>$F172*VLOOKUP($E172,'AWS Platforms Ratios'!$A$2:$O$25,12,FALSE)</f>
        <v>3.849583333</v>
      </c>
      <c r="U172" s="59">
        <f>$F172*VLOOKUP($E172,'AWS Platforms Ratios'!$A$2:$O$25,13,FALSE)</f>
        <v>9.920833333</v>
      </c>
      <c r="V172" s="59">
        <f>$F172*VLOOKUP($E172,'AWS Platforms Ratios'!$A$2:$O$25,14,FALSE)</f>
        <v>15.99208333</v>
      </c>
      <c r="W172" s="60">
        <f>IF($K172&lt;&gt;"N/A",$M172*(VLOOKUP($L172,'GPU Specs &amp; Ratios'!$B$2:$I$8,5,FALSE)),0)</f>
        <v>0</v>
      </c>
      <c r="X172" s="60">
        <f>IF($K172&lt;&gt;"N/A",$M172*(VLOOKUP($L172,'GPU Specs &amp; Ratios'!$B$2:$I$8,6,FALSE)),0)</f>
        <v>0</v>
      </c>
      <c r="Y172" s="60">
        <f>IF($K172&lt;&gt;"N/A",$M172*(VLOOKUP($L172,'GPU Specs &amp; Ratios'!$B$2:$I$8,7,FALSE)),0)</f>
        <v>0</v>
      </c>
      <c r="Z172" s="60">
        <f>IF($K172&lt;&gt;"N/A",$M172*(VLOOKUP($L172,'GPU Specs &amp; Ratios'!$B$2:$I$8,8,FALSE)),0)</f>
        <v>0</v>
      </c>
      <c r="AA172" s="60">
        <f>(C172/D172)*VLOOKUP($E172,'AWS Platforms Ratios'!$A$2:$O$25,15,FALSE)</f>
        <v>4</v>
      </c>
      <c r="AB172" s="60">
        <f t="shared" ref="AB172:AE172" si="171">O172+S172+W172+$AA172</f>
        <v>8.820416667</v>
      </c>
      <c r="AC172" s="60">
        <f t="shared" si="171"/>
        <v>13.95916667</v>
      </c>
      <c r="AD172" s="60">
        <f t="shared" si="171"/>
        <v>28.24166667</v>
      </c>
      <c r="AE172" s="60">
        <f t="shared" si="171"/>
        <v>39.90770833</v>
      </c>
      <c r="AF172" s="60">
        <f>IF(G172&gt;'Scope 3 Ratios'!$B$5,(G172-'Scope 3 Ratios'!$B$5)*('Scope 3 Ratios'!$B$6/'Scope 3 Ratios'!$B$5),0)</f>
        <v>510.3792</v>
      </c>
      <c r="AG172" s="60">
        <f>J172*IF(I172="SSD",'Scope 3 Ratios'!$B$9,'Scope 3 Ratios'!$B$8)</f>
        <v>0</v>
      </c>
      <c r="AH172" s="60">
        <f>IF(K172&lt;&gt;"N/A",K172*'Scope 3 Ratios'!$B$10,0)</f>
        <v>0</v>
      </c>
      <c r="AI172" s="60">
        <f>(VLOOKUP($E172,'AWS Platforms Ratios'!$A$2:$O$25,3,FALSE)-1)*'Scope 3 Ratios'!$B$7</f>
        <v>100</v>
      </c>
      <c r="AJ172" s="60">
        <f>'Scope 3 Ratios'!$B$2+AF172+AG172+AH172+AI172</f>
        <v>1610.3792</v>
      </c>
      <c r="AK172" s="60">
        <f>AJ172*'Scope 3 Ratios'!$B$4*(C172/D172)</f>
        <v>1.941525849</v>
      </c>
      <c r="AL172" s="61" t="s">
        <v>412</v>
      </c>
    </row>
    <row r="173" ht="15.0" customHeight="1">
      <c r="A173" s="56" t="s">
        <v>414</v>
      </c>
      <c r="B173" s="56" t="s">
        <v>313</v>
      </c>
      <c r="C173" s="56">
        <v>8.0</v>
      </c>
      <c r="D173" s="56">
        <f>VLOOKUP(E173,'AWS Platforms Ratios'!$A$2:$B$25,2,FALSE)</f>
        <v>96</v>
      </c>
      <c r="E173" s="57" t="s">
        <v>350</v>
      </c>
      <c r="F173" s="56">
        <v>32.0</v>
      </c>
      <c r="G173" s="56">
        <v>384.0</v>
      </c>
      <c r="H173" s="57" t="s">
        <v>71</v>
      </c>
      <c r="I173" s="63" t="s">
        <v>72</v>
      </c>
      <c r="J173" s="56">
        <v>0.0</v>
      </c>
      <c r="K173" s="58" t="s">
        <v>73</v>
      </c>
      <c r="L173" s="58" t="s">
        <v>73</v>
      </c>
      <c r="M173" s="58" t="s">
        <v>73</v>
      </c>
      <c r="N173" s="58" t="s">
        <v>73</v>
      </c>
      <c r="O173" s="59">
        <f>($C173/$D173)*VLOOKUP($E173,'AWS Platforms Ratios'!$A$2:$O$25,7,FALSE)</f>
        <v>4.823333333</v>
      </c>
      <c r="P173" s="59">
        <f>($C173/$D173)*VLOOKUP($E173,'AWS Platforms Ratios'!$A$2:$O$25,8,FALSE)</f>
        <v>12.21916667</v>
      </c>
      <c r="Q173" s="59">
        <f>($C173/$D173)*VLOOKUP($E173,'AWS Platforms Ratios'!$A$2:$O$25,9,FALSE)</f>
        <v>28.64166667</v>
      </c>
      <c r="R173" s="59">
        <f>($C173/$D173)*VLOOKUP($E173,'AWS Platforms Ratios'!$A$2:$O$25,10,FALSE)</f>
        <v>39.83125</v>
      </c>
      <c r="S173" s="59">
        <f>$F173*VLOOKUP($E173,'AWS Platforms Ratios'!$A$2:$O$25,11,FALSE)</f>
        <v>4.8175</v>
      </c>
      <c r="T173" s="59">
        <f>$F173*VLOOKUP($E173,'AWS Platforms Ratios'!$A$2:$O$25,12,FALSE)</f>
        <v>7.699166667</v>
      </c>
      <c r="U173" s="59">
        <f>$F173*VLOOKUP($E173,'AWS Platforms Ratios'!$A$2:$O$25,13,FALSE)</f>
        <v>19.84166667</v>
      </c>
      <c r="V173" s="59">
        <f>$F173*VLOOKUP($E173,'AWS Platforms Ratios'!$A$2:$O$25,14,FALSE)</f>
        <v>31.98416667</v>
      </c>
      <c r="W173" s="60">
        <f>IF($K173&lt;&gt;"N/A",$M173*(VLOOKUP($L173,'GPU Specs &amp; Ratios'!$B$2:$I$8,5,FALSE)),0)</f>
        <v>0</v>
      </c>
      <c r="X173" s="60">
        <f>IF($K173&lt;&gt;"N/A",$M173*(VLOOKUP($L173,'GPU Specs &amp; Ratios'!$B$2:$I$8,6,FALSE)),0)</f>
        <v>0</v>
      </c>
      <c r="Y173" s="60">
        <f>IF($K173&lt;&gt;"N/A",$M173*(VLOOKUP($L173,'GPU Specs &amp; Ratios'!$B$2:$I$8,7,FALSE)),0)</f>
        <v>0</v>
      </c>
      <c r="Z173" s="60">
        <f>IF($K173&lt;&gt;"N/A",$M173*(VLOOKUP($L173,'GPU Specs &amp; Ratios'!$B$2:$I$8,8,FALSE)),0)</f>
        <v>0</v>
      </c>
      <c r="AA173" s="60">
        <f>(C173/D173)*VLOOKUP($E173,'AWS Platforms Ratios'!$A$2:$O$25,15,FALSE)</f>
        <v>8</v>
      </c>
      <c r="AB173" s="60">
        <f t="shared" ref="AB173:AE173" si="172">O173+S173+W173+$AA173</f>
        <v>17.64083333</v>
      </c>
      <c r="AC173" s="60">
        <f t="shared" si="172"/>
        <v>27.91833333</v>
      </c>
      <c r="AD173" s="60">
        <f t="shared" si="172"/>
        <v>56.48333333</v>
      </c>
      <c r="AE173" s="60">
        <f t="shared" si="172"/>
        <v>79.81541667</v>
      </c>
      <c r="AF173" s="60">
        <f>IF(G173&gt;'Scope 3 Ratios'!$B$5,(G173-'Scope 3 Ratios'!$B$5)*('Scope 3 Ratios'!$B$6/'Scope 3 Ratios'!$B$5),0)</f>
        <v>510.3792</v>
      </c>
      <c r="AG173" s="60">
        <f>J173*IF(I173="SSD",'Scope 3 Ratios'!$B$9,'Scope 3 Ratios'!$B$8)</f>
        <v>0</v>
      </c>
      <c r="AH173" s="60">
        <f>IF(K173&lt;&gt;"N/A",K173*'Scope 3 Ratios'!$B$10,0)</f>
        <v>0</v>
      </c>
      <c r="AI173" s="60">
        <f>(VLOOKUP($E173,'AWS Platforms Ratios'!$A$2:$O$25,3,FALSE)-1)*'Scope 3 Ratios'!$B$7</f>
        <v>100</v>
      </c>
      <c r="AJ173" s="60">
        <f>'Scope 3 Ratios'!$B$2+AF173+AG173+AH173+AI173</f>
        <v>1610.3792</v>
      </c>
      <c r="AK173" s="60">
        <f>AJ173*'Scope 3 Ratios'!$B$4*(C173/D173)</f>
        <v>3.883051698</v>
      </c>
      <c r="AL173" s="61" t="s">
        <v>412</v>
      </c>
    </row>
    <row r="174" ht="15.0" customHeight="1">
      <c r="A174" s="56" t="s">
        <v>415</v>
      </c>
      <c r="B174" s="56" t="s">
        <v>313</v>
      </c>
      <c r="C174" s="56">
        <v>16.0</v>
      </c>
      <c r="D174" s="56">
        <f>VLOOKUP(E174,'AWS Platforms Ratios'!$A$2:$B$25,2,FALSE)</f>
        <v>96</v>
      </c>
      <c r="E174" s="57" t="s">
        <v>350</v>
      </c>
      <c r="F174" s="56">
        <v>64.0</v>
      </c>
      <c r="G174" s="56">
        <v>384.0</v>
      </c>
      <c r="H174" s="57" t="s">
        <v>71</v>
      </c>
      <c r="I174" s="63" t="s">
        <v>72</v>
      </c>
      <c r="J174" s="56">
        <v>0.0</v>
      </c>
      <c r="K174" s="58" t="s">
        <v>73</v>
      </c>
      <c r="L174" s="58" t="s">
        <v>73</v>
      </c>
      <c r="M174" s="58" t="s">
        <v>73</v>
      </c>
      <c r="N174" s="58" t="s">
        <v>73</v>
      </c>
      <c r="O174" s="59">
        <f>($C174/$D174)*VLOOKUP($E174,'AWS Platforms Ratios'!$A$2:$O$25,7,FALSE)</f>
        <v>9.646666667</v>
      </c>
      <c r="P174" s="59">
        <f>($C174/$D174)*VLOOKUP($E174,'AWS Platforms Ratios'!$A$2:$O$25,8,FALSE)</f>
        <v>24.43833333</v>
      </c>
      <c r="Q174" s="59">
        <f>($C174/$D174)*VLOOKUP($E174,'AWS Platforms Ratios'!$A$2:$O$25,9,FALSE)</f>
        <v>57.28333333</v>
      </c>
      <c r="R174" s="59">
        <f>($C174/$D174)*VLOOKUP($E174,'AWS Platforms Ratios'!$A$2:$O$25,10,FALSE)</f>
        <v>79.6625</v>
      </c>
      <c r="S174" s="59">
        <f>$F174*VLOOKUP($E174,'AWS Platforms Ratios'!$A$2:$O$25,11,FALSE)</f>
        <v>9.635</v>
      </c>
      <c r="T174" s="59">
        <f>$F174*VLOOKUP($E174,'AWS Platforms Ratios'!$A$2:$O$25,12,FALSE)</f>
        <v>15.39833333</v>
      </c>
      <c r="U174" s="59">
        <f>$F174*VLOOKUP($E174,'AWS Platforms Ratios'!$A$2:$O$25,13,FALSE)</f>
        <v>39.68333333</v>
      </c>
      <c r="V174" s="59">
        <f>$F174*VLOOKUP($E174,'AWS Platforms Ratios'!$A$2:$O$25,14,FALSE)</f>
        <v>63.96833333</v>
      </c>
      <c r="W174" s="60">
        <f>IF($K174&lt;&gt;"N/A",$M174*(VLOOKUP($L174,'GPU Specs &amp; Ratios'!$B$2:$I$8,5,FALSE)),0)</f>
        <v>0</v>
      </c>
      <c r="X174" s="60">
        <f>IF($K174&lt;&gt;"N/A",$M174*(VLOOKUP($L174,'GPU Specs &amp; Ratios'!$B$2:$I$8,6,FALSE)),0)</f>
        <v>0</v>
      </c>
      <c r="Y174" s="60">
        <f>IF($K174&lt;&gt;"N/A",$M174*(VLOOKUP($L174,'GPU Specs &amp; Ratios'!$B$2:$I$8,7,FALSE)),0)</f>
        <v>0</v>
      </c>
      <c r="Z174" s="60">
        <f>IF($K174&lt;&gt;"N/A",$M174*(VLOOKUP($L174,'GPU Specs &amp; Ratios'!$B$2:$I$8,8,FALSE)),0)</f>
        <v>0</v>
      </c>
      <c r="AA174" s="60">
        <f>(C174/D174)*VLOOKUP($E174,'AWS Platforms Ratios'!$A$2:$O$25,15,FALSE)</f>
        <v>16</v>
      </c>
      <c r="AB174" s="60">
        <f t="shared" ref="AB174:AE174" si="173">O174+S174+W174+$AA174</f>
        <v>35.28166667</v>
      </c>
      <c r="AC174" s="60">
        <f t="shared" si="173"/>
        <v>55.83666667</v>
      </c>
      <c r="AD174" s="60">
        <f t="shared" si="173"/>
        <v>112.9666667</v>
      </c>
      <c r="AE174" s="60">
        <f t="shared" si="173"/>
        <v>159.6308333</v>
      </c>
      <c r="AF174" s="60">
        <f>IF(G174&gt;'Scope 3 Ratios'!$B$5,(G174-'Scope 3 Ratios'!$B$5)*('Scope 3 Ratios'!$B$6/'Scope 3 Ratios'!$B$5),0)</f>
        <v>510.3792</v>
      </c>
      <c r="AG174" s="60">
        <f>J174*IF(I174="SSD",'Scope 3 Ratios'!$B$9,'Scope 3 Ratios'!$B$8)</f>
        <v>0</v>
      </c>
      <c r="AH174" s="60">
        <f>IF(K174&lt;&gt;"N/A",K174*'Scope 3 Ratios'!$B$10,0)</f>
        <v>0</v>
      </c>
      <c r="AI174" s="60">
        <f>(VLOOKUP($E174,'AWS Platforms Ratios'!$A$2:$O$25,3,FALSE)-1)*'Scope 3 Ratios'!$B$7</f>
        <v>100</v>
      </c>
      <c r="AJ174" s="60">
        <f>'Scope 3 Ratios'!$B$2+AF174+AG174+AH174+AI174</f>
        <v>1610.3792</v>
      </c>
      <c r="AK174" s="60">
        <f>AJ174*'Scope 3 Ratios'!$B$4*(C174/D174)</f>
        <v>7.766103395</v>
      </c>
      <c r="AL174" s="61" t="s">
        <v>412</v>
      </c>
    </row>
    <row r="175" ht="15.0" customHeight="1">
      <c r="A175" s="56" t="s">
        <v>416</v>
      </c>
      <c r="B175" s="56" t="s">
        <v>128</v>
      </c>
      <c r="C175" s="56">
        <v>32.0</v>
      </c>
      <c r="D175" s="56">
        <f>VLOOKUP(E175,'AWS Platforms Ratios'!$A$2:$B$25,2,FALSE)</f>
        <v>96</v>
      </c>
      <c r="E175" s="57" t="s">
        <v>350</v>
      </c>
      <c r="F175" s="56">
        <v>128.0</v>
      </c>
      <c r="G175" s="56">
        <v>384.0</v>
      </c>
      <c r="H175" s="57" t="s">
        <v>71</v>
      </c>
      <c r="I175" s="63" t="s">
        <v>72</v>
      </c>
      <c r="J175" s="56">
        <v>0.0</v>
      </c>
      <c r="K175" s="58" t="s">
        <v>73</v>
      </c>
      <c r="L175" s="58" t="s">
        <v>73</v>
      </c>
      <c r="M175" s="58" t="s">
        <v>73</v>
      </c>
      <c r="N175" s="58" t="s">
        <v>73</v>
      </c>
      <c r="O175" s="59">
        <f>($C175/$D175)*VLOOKUP($E175,'AWS Platforms Ratios'!$A$2:$O$25,7,FALSE)</f>
        <v>19.29333333</v>
      </c>
      <c r="P175" s="59">
        <f>($C175/$D175)*VLOOKUP($E175,'AWS Platforms Ratios'!$A$2:$O$25,8,FALSE)</f>
        <v>48.87666667</v>
      </c>
      <c r="Q175" s="59">
        <f>($C175/$D175)*VLOOKUP($E175,'AWS Platforms Ratios'!$A$2:$O$25,9,FALSE)</f>
        <v>114.5666667</v>
      </c>
      <c r="R175" s="59">
        <f>($C175/$D175)*VLOOKUP($E175,'AWS Platforms Ratios'!$A$2:$O$25,10,FALSE)</f>
        <v>159.325</v>
      </c>
      <c r="S175" s="59">
        <f>$F175*VLOOKUP($E175,'AWS Platforms Ratios'!$A$2:$O$25,11,FALSE)</f>
        <v>19.27</v>
      </c>
      <c r="T175" s="59">
        <f>$F175*VLOOKUP($E175,'AWS Platforms Ratios'!$A$2:$O$25,12,FALSE)</f>
        <v>30.79666667</v>
      </c>
      <c r="U175" s="59">
        <f>$F175*VLOOKUP($E175,'AWS Platforms Ratios'!$A$2:$O$25,13,FALSE)</f>
        <v>79.36666667</v>
      </c>
      <c r="V175" s="59">
        <f>$F175*VLOOKUP($E175,'AWS Platforms Ratios'!$A$2:$O$25,14,FALSE)</f>
        <v>127.9366667</v>
      </c>
      <c r="W175" s="60">
        <f>IF($K175&lt;&gt;"N/A",$M175*(VLOOKUP($L175,'GPU Specs &amp; Ratios'!$B$2:$I$8,5,FALSE)),0)</f>
        <v>0</v>
      </c>
      <c r="X175" s="60">
        <f>IF($K175&lt;&gt;"N/A",$M175*(VLOOKUP($L175,'GPU Specs &amp; Ratios'!$B$2:$I$8,6,FALSE)),0)</f>
        <v>0</v>
      </c>
      <c r="Y175" s="60">
        <f>IF($K175&lt;&gt;"N/A",$M175*(VLOOKUP($L175,'GPU Specs &amp; Ratios'!$B$2:$I$8,7,FALSE)),0)</f>
        <v>0</v>
      </c>
      <c r="Z175" s="60">
        <f>IF($K175&lt;&gt;"N/A",$M175*(VLOOKUP($L175,'GPU Specs &amp; Ratios'!$B$2:$I$8,8,FALSE)),0)</f>
        <v>0</v>
      </c>
      <c r="AA175" s="60">
        <f>(C175/D175)*VLOOKUP($E175,'AWS Platforms Ratios'!$A$2:$O$25,15,FALSE)</f>
        <v>32</v>
      </c>
      <c r="AB175" s="60">
        <f t="shared" ref="AB175:AE175" si="174">O175+S175+W175+$AA175</f>
        <v>70.56333333</v>
      </c>
      <c r="AC175" s="60">
        <f t="shared" si="174"/>
        <v>111.6733333</v>
      </c>
      <c r="AD175" s="60">
        <f t="shared" si="174"/>
        <v>225.9333333</v>
      </c>
      <c r="AE175" s="60">
        <f t="shared" si="174"/>
        <v>319.2616667</v>
      </c>
      <c r="AF175" s="60">
        <f>IF(G175&gt;'Scope 3 Ratios'!$B$5,(G175-'Scope 3 Ratios'!$B$5)*('Scope 3 Ratios'!$B$6/'Scope 3 Ratios'!$B$5),0)</f>
        <v>510.3792</v>
      </c>
      <c r="AG175" s="60">
        <f>J175*IF(I175="SSD",'Scope 3 Ratios'!$B$9,'Scope 3 Ratios'!$B$8)</f>
        <v>0</v>
      </c>
      <c r="AH175" s="60">
        <f>IF(K175&lt;&gt;"N/A",K175*'Scope 3 Ratios'!$B$10,0)</f>
        <v>0</v>
      </c>
      <c r="AI175" s="60">
        <f>(VLOOKUP($E175,'AWS Platforms Ratios'!$A$2:$O$25,3,FALSE)-1)*'Scope 3 Ratios'!$B$7</f>
        <v>100</v>
      </c>
      <c r="AJ175" s="60">
        <f>'Scope 3 Ratios'!$B$2+AF175+AG175+AH175+AI175</f>
        <v>1610.3792</v>
      </c>
      <c r="AK175" s="60">
        <f>AJ175*'Scope 3 Ratios'!$B$4*(C175/D175)</f>
        <v>15.53220679</v>
      </c>
      <c r="AL175" s="61" t="s">
        <v>412</v>
      </c>
    </row>
    <row r="176" ht="15.0" customHeight="1">
      <c r="A176" s="56" t="s">
        <v>417</v>
      </c>
      <c r="B176" s="56" t="s">
        <v>313</v>
      </c>
      <c r="C176" s="56">
        <v>48.0</v>
      </c>
      <c r="D176" s="56">
        <f>VLOOKUP(E176,'AWS Platforms Ratios'!$A$2:$B$25,2,FALSE)</f>
        <v>96</v>
      </c>
      <c r="E176" s="57" t="s">
        <v>350</v>
      </c>
      <c r="F176" s="56">
        <v>192.0</v>
      </c>
      <c r="G176" s="56">
        <v>384.0</v>
      </c>
      <c r="H176" s="57" t="s">
        <v>71</v>
      </c>
      <c r="I176" s="63" t="s">
        <v>72</v>
      </c>
      <c r="J176" s="56">
        <v>0.0</v>
      </c>
      <c r="K176" s="58" t="s">
        <v>73</v>
      </c>
      <c r="L176" s="58" t="s">
        <v>73</v>
      </c>
      <c r="M176" s="58" t="s">
        <v>73</v>
      </c>
      <c r="N176" s="58" t="s">
        <v>73</v>
      </c>
      <c r="O176" s="59">
        <f>($C176/$D176)*VLOOKUP($E176,'AWS Platforms Ratios'!$A$2:$O$25,7,FALSE)</f>
        <v>28.94</v>
      </c>
      <c r="P176" s="59">
        <f>($C176/$D176)*VLOOKUP($E176,'AWS Platforms Ratios'!$A$2:$O$25,8,FALSE)</f>
        <v>73.315</v>
      </c>
      <c r="Q176" s="59">
        <f>($C176/$D176)*VLOOKUP($E176,'AWS Platforms Ratios'!$A$2:$O$25,9,FALSE)</f>
        <v>171.85</v>
      </c>
      <c r="R176" s="59">
        <f>($C176/$D176)*VLOOKUP($E176,'AWS Platforms Ratios'!$A$2:$O$25,10,FALSE)</f>
        <v>238.9875</v>
      </c>
      <c r="S176" s="59">
        <f>$F176*VLOOKUP($E176,'AWS Platforms Ratios'!$A$2:$O$25,11,FALSE)</f>
        <v>28.905</v>
      </c>
      <c r="T176" s="59">
        <f>$F176*VLOOKUP($E176,'AWS Platforms Ratios'!$A$2:$O$25,12,FALSE)</f>
        <v>46.195</v>
      </c>
      <c r="U176" s="59">
        <f>$F176*VLOOKUP($E176,'AWS Platforms Ratios'!$A$2:$O$25,13,FALSE)</f>
        <v>119.05</v>
      </c>
      <c r="V176" s="59">
        <f>$F176*VLOOKUP($E176,'AWS Platforms Ratios'!$A$2:$O$25,14,FALSE)</f>
        <v>191.905</v>
      </c>
      <c r="W176" s="60">
        <f>IF($K176&lt;&gt;"N/A",$M176*(VLOOKUP($L176,'GPU Specs &amp; Ratios'!$B$2:$I$8,5,FALSE)),0)</f>
        <v>0</v>
      </c>
      <c r="X176" s="60">
        <f>IF($K176&lt;&gt;"N/A",$M176*(VLOOKUP($L176,'GPU Specs &amp; Ratios'!$B$2:$I$8,6,FALSE)),0)</f>
        <v>0</v>
      </c>
      <c r="Y176" s="60">
        <f>IF($K176&lt;&gt;"N/A",$M176*(VLOOKUP($L176,'GPU Specs &amp; Ratios'!$B$2:$I$8,7,FALSE)),0)</f>
        <v>0</v>
      </c>
      <c r="Z176" s="60">
        <f>IF($K176&lt;&gt;"N/A",$M176*(VLOOKUP($L176,'GPU Specs &amp; Ratios'!$B$2:$I$8,8,FALSE)),0)</f>
        <v>0</v>
      </c>
      <c r="AA176" s="60">
        <f>(C176/D176)*VLOOKUP($E176,'AWS Platforms Ratios'!$A$2:$O$25,15,FALSE)</f>
        <v>48</v>
      </c>
      <c r="AB176" s="60">
        <f t="shared" ref="AB176:AE176" si="175">O176+S176+W176+$AA176</f>
        <v>105.845</v>
      </c>
      <c r="AC176" s="60">
        <f t="shared" si="175"/>
        <v>167.51</v>
      </c>
      <c r="AD176" s="60">
        <f t="shared" si="175"/>
        <v>338.9</v>
      </c>
      <c r="AE176" s="60">
        <f t="shared" si="175"/>
        <v>478.8925</v>
      </c>
      <c r="AF176" s="60">
        <f>IF(G176&gt;'Scope 3 Ratios'!$B$5,(G176-'Scope 3 Ratios'!$B$5)*('Scope 3 Ratios'!$B$6/'Scope 3 Ratios'!$B$5),0)</f>
        <v>510.3792</v>
      </c>
      <c r="AG176" s="60">
        <f>J176*IF(I176="SSD",'Scope 3 Ratios'!$B$9,'Scope 3 Ratios'!$B$8)</f>
        <v>0</v>
      </c>
      <c r="AH176" s="60">
        <f>IF(K176&lt;&gt;"N/A",K176*'Scope 3 Ratios'!$B$10,0)</f>
        <v>0</v>
      </c>
      <c r="AI176" s="60">
        <f>(VLOOKUP($E176,'AWS Platforms Ratios'!$A$2:$O$25,3,FALSE)-1)*'Scope 3 Ratios'!$B$7</f>
        <v>100</v>
      </c>
      <c r="AJ176" s="60">
        <f>'Scope 3 Ratios'!$B$2+AF176+AG176+AH176+AI176</f>
        <v>1610.3792</v>
      </c>
      <c r="AK176" s="60">
        <f>AJ176*'Scope 3 Ratios'!$B$4*(C176/D176)</f>
        <v>23.29831019</v>
      </c>
      <c r="AL176" s="61" t="s">
        <v>412</v>
      </c>
    </row>
    <row r="177" ht="15.0" customHeight="1">
      <c r="A177" s="56" t="s">
        <v>418</v>
      </c>
      <c r="B177" s="56" t="s">
        <v>128</v>
      </c>
      <c r="C177" s="56">
        <v>64.0</v>
      </c>
      <c r="D177" s="56">
        <f>VLOOKUP(E177,'AWS Platforms Ratios'!$A$2:$B$25,2,FALSE)</f>
        <v>96</v>
      </c>
      <c r="E177" s="57" t="s">
        <v>350</v>
      </c>
      <c r="F177" s="56">
        <v>256.0</v>
      </c>
      <c r="G177" s="56">
        <v>384.0</v>
      </c>
      <c r="H177" s="57" t="s">
        <v>71</v>
      </c>
      <c r="I177" s="63" t="s">
        <v>72</v>
      </c>
      <c r="J177" s="56">
        <v>0.0</v>
      </c>
      <c r="K177" s="58" t="s">
        <v>73</v>
      </c>
      <c r="L177" s="58" t="s">
        <v>73</v>
      </c>
      <c r="M177" s="58" t="s">
        <v>73</v>
      </c>
      <c r="N177" s="58" t="s">
        <v>73</v>
      </c>
      <c r="O177" s="59">
        <f>($C177/$D177)*VLOOKUP($E177,'AWS Platforms Ratios'!$A$2:$O$25,7,FALSE)</f>
        <v>38.58666667</v>
      </c>
      <c r="P177" s="59">
        <f>($C177/$D177)*VLOOKUP($E177,'AWS Platforms Ratios'!$A$2:$O$25,8,FALSE)</f>
        <v>97.75333333</v>
      </c>
      <c r="Q177" s="59">
        <f>($C177/$D177)*VLOOKUP($E177,'AWS Platforms Ratios'!$A$2:$O$25,9,FALSE)</f>
        <v>229.1333333</v>
      </c>
      <c r="R177" s="59">
        <f>($C177/$D177)*VLOOKUP($E177,'AWS Platforms Ratios'!$A$2:$O$25,10,FALSE)</f>
        <v>318.65</v>
      </c>
      <c r="S177" s="59">
        <f>$F177*VLOOKUP($E177,'AWS Platforms Ratios'!$A$2:$O$25,11,FALSE)</f>
        <v>38.54</v>
      </c>
      <c r="T177" s="59">
        <f>$F177*VLOOKUP($E177,'AWS Platforms Ratios'!$A$2:$O$25,12,FALSE)</f>
        <v>61.59333333</v>
      </c>
      <c r="U177" s="59">
        <f>$F177*VLOOKUP($E177,'AWS Platforms Ratios'!$A$2:$O$25,13,FALSE)</f>
        <v>158.7333333</v>
      </c>
      <c r="V177" s="59">
        <f>$F177*VLOOKUP($E177,'AWS Platforms Ratios'!$A$2:$O$25,14,FALSE)</f>
        <v>255.8733333</v>
      </c>
      <c r="W177" s="60">
        <f>IF($K177&lt;&gt;"N/A",$M177*(VLOOKUP($L177,'GPU Specs &amp; Ratios'!$B$2:$I$8,5,FALSE)),0)</f>
        <v>0</v>
      </c>
      <c r="X177" s="60">
        <f>IF($K177&lt;&gt;"N/A",$M177*(VLOOKUP($L177,'GPU Specs &amp; Ratios'!$B$2:$I$8,6,FALSE)),0)</f>
        <v>0</v>
      </c>
      <c r="Y177" s="60">
        <f>IF($K177&lt;&gt;"N/A",$M177*(VLOOKUP($L177,'GPU Specs &amp; Ratios'!$B$2:$I$8,7,FALSE)),0)</f>
        <v>0</v>
      </c>
      <c r="Z177" s="60">
        <f>IF($K177&lt;&gt;"N/A",$M177*(VLOOKUP($L177,'GPU Specs &amp; Ratios'!$B$2:$I$8,8,FALSE)),0)</f>
        <v>0</v>
      </c>
      <c r="AA177" s="60">
        <f>(C177/D177)*VLOOKUP($E177,'AWS Platforms Ratios'!$A$2:$O$25,15,FALSE)</f>
        <v>64</v>
      </c>
      <c r="AB177" s="60">
        <f t="shared" ref="AB177:AE177" si="176">O177+S177+W177+$AA177</f>
        <v>141.1266667</v>
      </c>
      <c r="AC177" s="60">
        <f t="shared" si="176"/>
        <v>223.3466667</v>
      </c>
      <c r="AD177" s="60">
        <f t="shared" si="176"/>
        <v>451.8666667</v>
      </c>
      <c r="AE177" s="60">
        <f t="shared" si="176"/>
        <v>638.5233333</v>
      </c>
      <c r="AF177" s="60">
        <f>IF(G177&gt;'Scope 3 Ratios'!$B$5,(G177-'Scope 3 Ratios'!$B$5)*('Scope 3 Ratios'!$B$6/'Scope 3 Ratios'!$B$5),0)</f>
        <v>510.3792</v>
      </c>
      <c r="AG177" s="60">
        <f>J177*IF(I177="SSD",'Scope 3 Ratios'!$B$9,'Scope 3 Ratios'!$B$8)</f>
        <v>0</v>
      </c>
      <c r="AH177" s="60">
        <f>IF(K177&lt;&gt;"N/A",K177*'Scope 3 Ratios'!$B$10,0)</f>
        <v>0</v>
      </c>
      <c r="AI177" s="60">
        <f>(VLOOKUP($E177,'AWS Platforms Ratios'!$A$2:$O$25,3,FALSE)-1)*'Scope 3 Ratios'!$B$7</f>
        <v>100</v>
      </c>
      <c r="AJ177" s="60">
        <f>'Scope 3 Ratios'!$B$2+AF177+AG177+AH177+AI177</f>
        <v>1610.3792</v>
      </c>
      <c r="AK177" s="60">
        <f>AJ177*'Scope 3 Ratios'!$B$4*(C177/D177)</f>
        <v>31.06441358</v>
      </c>
      <c r="AL177" s="61" t="s">
        <v>412</v>
      </c>
    </row>
    <row r="178" ht="15.0" customHeight="1">
      <c r="A178" s="56" t="s">
        <v>419</v>
      </c>
      <c r="B178" s="56" t="s">
        <v>313</v>
      </c>
      <c r="C178" s="56">
        <v>96.0</v>
      </c>
      <c r="D178" s="56">
        <f>VLOOKUP(E178,'AWS Platforms Ratios'!$A$2:$B$25,2,FALSE)</f>
        <v>96</v>
      </c>
      <c r="E178" s="57" t="s">
        <v>350</v>
      </c>
      <c r="F178" s="56">
        <v>384.0</v>
      </c>
      <c r="G178" s="56">
        <v>384.0</v>
      </c>
      <c r="H178" s="57" t="s">
        <v>71</v>
      </c>
      <c r="I178" s="63" t="s">
        <v>72</v>
      </c>
      <c r="J178" s="56">
        <v>0.0</v>
      </c>
      <c r="K178" s="58" t="s">
        <v>73</v>
      </c>
      <c r="L178" s="58" t="s">
        <v>73</v>
      </c>
      <c r="M178" s="58" t="s">
        <v>73</v>
      </c>
      <c r="N178" s="58" t="s">
        <v>73</v>
      </c>
      <c r="O178" s="59">
        <f>($C178/$D178)*VLOOKUP($E178,'AWS Platforms Ratios'!$A$2:$O$25,7,FALSE)</f>
        <v>57.88</v>
      </c>
      <c r="P178" s="59">
        <f>($C178/$D178)*VLOOKUP($E178,'AWS Platforms Ratios'!$A$2:$O$25,8,FALSE)</f>
        <v>146.63</v>
      </c>
      <c r="Q178" s="59">
        <f>($C178/$D178)*VLOOKUP($E178,'AWS Platforms Ratios'!$A$2:$O$25,9,FALSE)</f>
        <v>343.7</v>
      </c>
      <c r="R178" s="59">
        <f>($C178/$D178)*VLOOKUP($E178,'AWS Platforms Ratios'!$A$2:$O$25,10,FALSE)</f>
        <v>477.975</v>
      </c>
      <c r="S178" s="59">
        <f>$F178*VLOOKUP($E178,'AWS Platforms Ratios'!$A$2:$O$25,11,FALSE)</f>
        <v>57.81</v>
      </c>
      <c r="T178" s="59">
        <f>$F178*VLOOKUP($E178,'AWS Platforms Ratios'!$A$2:$O$25,12,FALSE)</f>
        <v>92.39</v>
      </c>
      <c r="U178" s="59">
        <f>$F178*VLOOKUP($E178,'AWS Platforms Ratios'!$A$2:$O$25,13,FALSE)</f>
        <v>238.1</v>
      </c>
      <c r="V178" s="59">
        <f>$F178*VLOOKUP($E178,'AWS Platforms Ratios'!$A$2:$O$25,14,FALSE)</f>
        <v>383.81</v>
      </c>
      <c r="W178" s="60">
        <f>IF($K178&lt;&gt;"N/A",$M178*(VLOOKUP($L178,'GPU Specs &amp; Ratios'!$B$2:$I$8,5,FALSE)),0)</f>
        <v>0</v>
      </c>
      <c r="X178" s="60">
        <f>IF($K178&lt;&gt;"N/A",$M178*(VLOOKUP($L178,'GPU Specs &amp; Ratios'!$B$2:$I$8,6,FALSE)),0)</f>
        <v>0</v>
      </c>
      <c r="Y178" s="60">
        <f>IF($K178&lt;&gt;"N/A",$M178*(VLOOKUP($L178,'GPU Specs &amp; Ratios'!$B$2:$I$8,7,FALSE)),0)</f>
        <v>0</v>
      </c>
      <c r="Z178" s="60">
        <f>IF($K178&lt;&gt;"N/A",$M178*(VLOOKUP($L178,'GPU Specs &amp; Ratios'!$B$2:$I$8,8,FALSE)),0)</f>
        <v>0</v>
      </c>
      <c r="AA178" s="60">
        <f>(C178/D178)*VLOOKUP($E178,'AWS Platforms Ratios'!$A$2:$O$25,15,FALSE)</f>
        <v>96</v>
      </c>
      <c r="AB178" s="60">
        <f t="shared" ref="AB178:AE178" si="177">O178+S178+W178+$AA178</f>
        <v>211.69</v>
      </c>
      <c r="AC178" s="60">
        <f t="shared" si="177"/>
        <v>335.02</v>
      </c>
      <c r="AD178" s="60">
        <f t="shared" si="177"/>
        <v>677.8</v>
      </c>
      <c r="AE178" s="60">
        <f t="shared" si="177"/>
        <v>957.785</v>
      </c>
      <c r="AF178" s="60">
        <f>IF(G178&gt;'Scope 3 Ratios'!$B$5,(G178-'Scope 3 Ratios'!$B$5)*('Scope 3 Ratios'!$B$6/'Scope 3 Ratios'!$B$5),0)</f>
        <v>510.3792</v>
      </c>
      <c r="AG178" s="60">
        <f>J178*IF(I178="SSD",'Scope 3 Ratios'!$B$9,'Scope 3 Ratios'!$B$8)</f>
        <v>0</v>
      </c>
      <c r="AH178" s="60">
        <f>IF(K178&lt;&gt;"N/A",K178*'Scope 3 Ratios'!$B$10,0)</f>
        <v>0</v>
      </c>
      <c r="AI178" s="60">
        <f>(VLOOKUP($E178,'AWS Platforms Ratios'!$A$2:$O$25,3,FALSE)-1)*'Scope 3 Ratios'!$B$7</f>
        <v>100</v>
      </c>
      <c r="AJ178" s="60">
        <f>'Scope 3 Ratios'!$B$2+AF178+AG178+AH178+AI178</f>
        <v>1610.3792</v>
      </c>
      <c r="AK178" s="60">
        <f>AJ178*'Scope 3 Ratios'!$B$4*(C178/D178)</f>
        <v>46.59662037</v>
      </c>
      <c r="AL178" s="61" t="s">
        <v>412</v>
      </c>
    </row>
    <row r="179" ht="15.0" customHeight="1">
      <c r="A179" s="56" t="s">
        <v>420</v>
      </c>
      <c r="B179" s="56" t="s">
        <v>421</v>
      </c>
      <c r="C179" s="56">
        <v>96.0</v>
      </c>
      <c r="D179" s="56">
        <f>VLOOKUP(E179,'AWS Platforms Ratios'!$A$2:$B$25,2,FALSE)</f>
        <v>96</v>
      </c>
      <c r="E179" s="57" t="s">
        <v>350</v>
      </c>
      <c r="F179" s="56">
        <v>384.0</v>
      </c>
      <c r="G179" s="56">
        <v>384.0</v>
      </c>
      <c r="H179" s="57" t="s">
        <v>71</v>
      </c>
      <c r="I179" s="63" t="s">
        <v>72</v>
      </c>
      <c r="J179" s="56">
        <v>0.0</v>
      </c>
      <c r="K179" s="58" t="s">
        <v>73</v>
      </c>
      <c r="L179" s="58" t="s">
        <v>73</v>
      </c>
      <c r="M179" s="58" t="s">
        <v>73</v>
      </c>
      <c r="N179" s="58" t="s">
        <v>73</v>
      </c>
      <c r="O179" s="59">
        <f>($C179/$D179)*VLOOKUP($E179,'AWS Platforms Ratios'!$A$2:$O$25,7,FALSE)</f>
        <v>57.88</v>
      </c>
      <c r="P179" s="59">
        <f>($C179/$D179)*VLOOKUP($E179,'AWS Platforms Ratios'!$A$2:$O$25,8,FALSE)</f>
        <v>146.63</v>
      </c>
      <c r="Q179" s="59">
        <f>($C179/$D179)*VLOOKUP($E179,'AWS Platforms Ratios'!$A$2:$O$25,9,FALSE)</f>
        <v>343.7</v>
      </c>
      <c r="R179" s="59">
        <f>($C179/$D179)*VLOOKUP($E179,'AWS Platforms Ratios'!$A$2:$O$25,10,FALSE)</f>
        <v>477.975</v>
      </c>
      <c r="S179" s="59">
        <f>$F179*VLOOKUP($E179,'AWS Platforms Ratios'!$A$2:$O$25,11,FALSE)</f>
        <v>57.81</v>
      </c>
      <c r="T179" s="59">
        <f>$F179*VLOOKUP($E179,'AWS Platforms Ratios'!$A$2:$O$25,12,FALSE)</f>
        <v>92.39</v>
      </c>
      <c r="U179" s="59">
        <f>$F179*VLOOKUP($E179,'AWS Platforms Ratios'!$A$2:$O$25,13,FALSE)</f>
        <v>238.1</v>
      </c>
      <c r="V179" s="59">
        <f>$F179*VLOOKUP($E179,'AWS Platforms Ratios'!$A$2:$O$25,14,FALSE)</f>
        <v>383.81</v>
      </c>
      <c r="W179" s="60">
        <f>IF($K179&lt;&gt;"N/A",$M179*(VLOOKUP($L179,'GPU Specs &amp; Ratios'!$B$2:$I$8,5,FALSE)),0)</f>
        <v>0</v>
      </c>
      <c r="X179" s="60">
        <f>IF($K179&lt;&gt;"N/A",$M179*(VLOOKUP($L179,'GPU Specs &amp; Ratios'!$B$2:$I$8,6,FALSE)),0)</f>
        <v>0</v>
      </c>
      <c r="Y179" s="60">
        <f>IF($K179&lt;&gt;"N/A",$M179*(VLOOKUP($L179,'GPU Specs &amp; Ratios'!$B$2:$I$8,7,FALSE)),0)</f>
        <v>0</v>
      </c>
      <c r="Z179" s="60">
        <f>IF($K179&lt;&gt;"N/A",$M179*(VLOOKUP($L179,'GPU Specs &amp; Ratios'!$B$2:$I$8,8,FALSE)),0)</f>
        <v>0</v>
      </c>
      <c r="AA179" s="60">
        <f>(C179/D179)*VLOOKUP($E179,'AWS Platforms Ratios'!$A$2:$O$25,15,FALSE)</f>
        <v>96</v>
      </c>
      <c r="AB179" s="60">
        <f t="shared" ref="AB179:AE179" si="178">O179+S179+W179+$AA179</f>
        <v>211.69</v>
      </c>
      <c r="AC179" s="60">
        <f t="shared" si="178"/>
        <v>335.02</v>
      </c>
      <c r="AD179" s="60">
        <f t="shared" si="178"/>
        <v>677.8</v>
      </c>
      <c r="AE179" s="60">
        <f t="shared" si="178"/>
        <v>957.785</v>
      </c>
      <c r="AF179" s="60">
        <f>IF(G179&gt;'Scope 3 Ratios'!$B$5,(G179-'Scope 3 Ratios'!$B$5)*('Scope 3 Ratios'!$B$6/'Scope 3 Ratios'!$B$5),0)</f>
        <v>510.3792</v>
      </c>
      <c r="AG179" s="60">
        <f>J179*IF(I179="SSD",'Scope 3 Ratios'!$B$9,'Scope 3 Ratios'!$B$8)</f>
        <v>0</v>
      </c>
      <c r="AH179" s="60">
        <f>IF(K179&lt;&gt;"N/A",K179*'Scope 3 Ratios'!$B$10,0)</f>
        <v>0</v>
      </c>
      <c r="AI179" s="60">
        <f>(VLOOKUP($E179,'AWS Platforms Ratios'!$A$2:$O$25,3,FALSE)-1)*'Scope 3 Ratios'!$B$7</f>
        <v>100</v>
      </c>
      <c r="AJ179" s="60">
        <f>'Scope 3 Ratios'!$B$2+AF179+AG179+AH179+AI179</f>
        <v>1610.3792</v>
      </c>
      <c r="AK179" s="60">
        <f>AJ179*'Scope 3 Ratios'!$B$4*(C179/D179)</f>
        <v>46.59662037</v>
      </c>
      <c r="AL179" s="61" t="s">
        <v>412</v>
      </c>
    </row>
    <row r="180" ht="15.0" customHeight="1">
      <c r="A180" s="56" t="s">
        <v>422</v>
      </c>
      <c r="B180" s="56" t="s">
        <v>69</v>
      </c>
      <c r="C180" s="56">
        <v>2.0</v>
      </c>
      <c r="D180" s="56">
        <f>VLOOKUP(E180,'AWS Platforms Ratios'!$A$2:$B$25,2,FALSE)</f>
        <v>96</v>
      </c>
      <c r="E180" s="57" t="s">
        <v>423</v>
      </c>
      <c r="F180" s="56">
        <v>8.0</v>
      </c>
      <c r="G180" s="56">
        <v>384.0</v>
      </c>
      <c r="H180" s="57" t="s">
        <v>71</v>
      </c>
      <c r="I180" s="63" t="s">
        <v>72</v>
      </c>
      <c r="J180" s="56">
        <v>0.0</v>
      </c>
      <c r="K180" s="58" t="s">
        <v>73</v>
      </c>
      <c r="L180" s="58" t="s">
        <v>73</v>
      </c>
      <c r="M180" s="58" t="s">
        <v>73</v>
      </c>
      <c r="N180" s="58" t="s">
        <v>73</v>
      </c>
      <c r="O180" s="59">
        <f>($C180/$D180)*VLOOKUP($E180,'AWS Platforms Ratios'!$A$2:$O$25,7,FALSE)</f>
        <v>0.967738478</v>
      </c>
      <c r="P180" s="59">
        <f>($C180/$D180)*VLOOKUP($E180,'AWS Platforms Ratios'!$A$2:$O$25,8,FALSE)</f>
        <v>2.652170418</v>
      </c>
      <c r="Q180" s="59">
        <f>($C180/$D180)*VLOOKUP($E180,'AWS Platforms Ratios'!$A$2:$O$25,9,FALSE)</f>
        <v>6.26886388</v>
      </c>
      <c r="R180" s="59">
        <f>($C180/$D180)*VLOOKUP($E180,'AWS Platforms Ratios'!$A$2:$O$25,10,FALSE)</f>
        <v>8.487875134</v>
      </c>
      <c r="S180" s="59">
        <f>$F180*VLOOKUP($E180,'AWS Platforms Ratios'!$A$2:$O$25,11,FALSE)</f>
        <v>1.6</v>
      </c>
      <c r="T180" s="59">
        <f>$F180*VLOOKUP($E180,'AWS Platforms Ratios'!$A$2:$O$25,12,FALSE)</f>
        <v>2.4</v>
      </c>
      <c r="U180" s="59">
        <f>$F180*VLOOKUP($E180,'AWS Platforms Ratios'!$A$2:$O$25,13,FALSE)</f>
        <v>3.2</v>
      </c>
      <c r="V180" s="59">
        <f>$F180*VLOOKUP($E180,'AWS Platforms Ratios'!$A$2:$O$25,14,FALSE)</f>
        <v>4.8</v>
      </c>
      <c r="W180" s="60">
        <f>IF($K180&lt;&gt;"N/A",$M180*(VLOOKUP($L180,'GPU Specs &amp; Ratios'!$B$2:$I$8,5,FALSE)),0)</f>
        <v>0</v>
      </c>
      <c r="X180" s="60">
        <f>IF($K180&lt;&gt;"N/A",$M180*(VLOOKUP($L180,'GPU Specs &amp; Ratios'!$B$2:$I$8,6,FALSE)),0)</f>
        <v>0</v>
      </c>
      <c r="Y180" s="60">
        <f>IF($K180&lt;&gt;"N/A",$M180*(VLOOKUP($L180,'GPU Specs &amp; Ratios'!$B$2:$I$8,7,FALSE)),0)</f>
        <v>0</v>
      </c>
      <c r="Z180" s="60">
        <f>IF($K180&lt;&gt;"N/A",$M180*(VLOOKUP($L180,'GPU Specs &amp; Ratios'!$B$2:$I$8,8,FALSE)),0)</f>
        <v>0</v>
      </c>
      <c r="AA180" s="60">
        <f>(C180/D180)*VLOOKUP($E180,'AWS Platforms Ratios'!$A$2:$O$25,15,FALSE)</f>
        <v>1.666666667</v>
      </c>
      <c r="AB180" s="60">
        <f t="shared" ref="AB180:AE180" si="179">O180+S180+W180+$AA180</f>
        <v>4.234405145</v>
      </c>
      <c r="AC180" s="60">
        <f t="shared" si="179"/>
        <v>6.718837085</v>
      </c>
      <c r="AD180" s="60">
        <f t="shared" si="179"/>
        <v>11.13553055</v>
      </c>
      <c r="AE180" s="60">
        <f t="shared" si="179"/>
        <v>14.9545418</v>
      </c>
      <c r="AF180" s="60">
        <f>IF(G180&gt;'Scope 3 Ratios'!$B$5,(G180-'Scope 3 Ratios'!$B$5)*('Scope 3 Ratios'!$B$6/'Scope 3 Ratios'!$B$5),0)</f>
        <v>510.3792</v>
      </c>
      <c r="AG180" s="60">
        <f>J180*IF(I180="SSD",'Scope 3 Ratios'!$B$9,'Scope 3 Ratios'!$B$8)</f>
        <v>0</v>
      </c>
      <c r="AH180" s="60">
        <f>IF(K180&lt;&gt;"N/A",K180*'Scope 3 Ratios'!$B$10,0)</f>
        <v>0</v>
      </c>
      <c r="AI180" s="60">
        <f>(VLOOKUP($E180,'AWS Platforms Ratios'!$A$2:$O$25,3,FALSE)-1)*'Scope 3 Ratios'!$B$7</f>
        <v>100</v>
      </c>
      <c r="AJ180" s="60">
        <f>'Scope 3 Ratios'!$B$2+AF180+AG180+AH180+AI180</f>
        <v>1610.3792</v>
      </c>
      <c r="AK180" s="60">
        <f>AJ180*'Scope 3 Ratios'!$B$4*(C180/D180)</f>
        <v>0.9707629244</v>
      </c>
      <c r="AL180" s="61" t="s">
        <v>424</v>
      </c>
    </row>
    <row r="181" ht="15.0" customHeight="1">
      <c r="A181" s="56" t="s">
        <v>425</v>
      </c>
      <c r="B181" s="56" t="s">
        <v>69</v>
      </c>
      <c r="C181" s="56">
        <v>4.0</v>
      </c>
      <c r="D181" s="56">
        <f>VLOOKUP(E181,'AWS Platforms Ratios'!$A$2:$B$25,2,FALSE)</f>
        <v>96</v>
      </c>
      <c r="E181" s="57" t="s">
        <v>423</v>
      </c>
      <c r="F181" s="56">
        <v>16.0</v>
      </c>
      <c r="G181" s="56">
        <v>384.0</v>
      </c>
      <c r="H181" s="57" t="s">
        <v>71</v>
      </c>
      <c r="I181" s="63" t="s">
        <v>72</v>
      </c>
      <c r="J181" s="56">
        <v>0.0</v>
      </c>
      <c r="K181" s="58" t="s">
        <v>73</v>
      </c>
      <c r="L181" s="58" t="s">
        <v>73</v>
      </c>
      <c r="M181" s="58" t="s">
        <v>73</v>
      </c>
      <c r="N181" s="58" t="s">
        <v>73</v>
      </c>
      <c r="O181" s="59">
        <f>($C181/$D181)*VLOOKUP($E181,'AWS Platforms Ratios'!$A$2:$O$25,7,FALSE)</f>
        <v>1.935476956</v>
      </c>
      <c r="P181" s="59">
        <f>($C181/$D181)*VLOOKUP($E181,'AWS Platforms Ratios'!$A$2:$O$25,8,FALSE)</f>
        <v>5.304340836</v>
      </c>
      <c r="Q181" s="59">
        <f>($C181/$D181)*VLOOKUP($E181,'AWS Platforms Ratios'!$A$2:$O$25,9,FALSE)</f>
        <v>12.53772776</v>
      </c>
      <c r="R181" s="59">
        <f>($C181/$D181)*VLOOKUP($E181,'AWS Platforms Ratios'!$A$2:$O$25,10,FALSE)</f>
        <v>16.97575027</v>
      </c>
      <c r="S181" s="59">
        <f>$F181*VLOOKUP($E181,'AWS Platforms Ratios'!$A$2:$O$25,11,FALSE)</f>
        <v>3.2</v>
      </c>
      <c r="T181" s="59">
        <f>$F181*VLOOKUP($E181,'AWS Platforms Ratios'!$A$2:$O$25,12,FALSE)</f>
        <v>4.8</v>
      </c>
      <c r="U181" s="59">
        <f>$F181*VLOOKUP($E181,'AWS Platforms Ratios'!$A$2:$O$25,13,FALSE)</f>
        <v>6.4</v>
      </c>
      <c r="V181" s="59">
        <f>$F181*VLOOKUP($E181,'AWS Platforms Ratios'!$A$2:$O$25,14,FALSE)</f>
        <v>9.6</v>
      </c>
      <c r="W181" s="60">
        <f>IF($K181&lt;&gt;"N/A",$M181*(VLOOKUP($L181,'GPU Specs &amp; Ratios'!$B$2:$I$8,5,FALSE)),0)</f>
        <v>0</v>
      </c>
      <c r="X181" s="60">
        <f>IF($K181&lt;&gt;"N/A",$M181*(VLOOKUP($L181,'GPU Specs &amp; Ratios'!$B$2:$I$8,6,FALSE)),0)</f>
        <v>0</v>
      </c>
      <c r="Y181" s="60">
        <f>IF($K181&lt;&gt;"N/A",$M181*(VLOOKUP($L181,'GPU Specs &amp; Ratios'!$B$2:$I$8,7,FALSE)),0)</f>
        <v>0</v>
      </c>
      <c r="Z181" s="60">
        <f>IF($K181&lt;&gt;"N/A",$M181*(VLOOKUP($L181,'GPU Specs &amp; Ratios'!$B$2:$I$8,8,FALSE)),0)</f>
        <v>0</v>
      </c>
      <c r="AA181" s="60">
        <f>(C181/D181)*VLOOKUP($E181,'AWS Platforms Ratios'!$A$2:$O$25,15,FALSE)</f>
        <v>3.333333333</v>
      </c>
      <c r="AB181" s="60">
        <f t="shared" ref="AB181:AE181" si="180">O181+S181+W181+$AA181</f>
        <v>8.468810289</v>
      </c>
      <c r="AC181" s="60">
        <f t="shared" si="180"/>
        <v>13.43767417</v>
      </c>
      <c r="AD181" s="60">
        <f t="shared" si="180"/>
        <v>22.27106109</v>
      </c>
      <c r="AE181" s="60">
        <f t="shared" si="180"/>
        <v>29.9090836</v>
      </c>
      <c r="AF181" s="60">
        <f>IF(G181&gt;'Scope 3 Ratios'!$B$5,(G181-'Scope 3 Ratios'!$B$5)*('Scope 3 Ratios'!$B$6/'Scope 3 Ratios'!$B$5),0)</f>
        <v>510.3792</v>
      </c>
      <c r="AG181" s="60">
        <f>J181*IF(I181="SSD",'Scope 3 Ratios'!$B$9,'Scope 3 Ratios'!$B$8)</f>
        <v>0</v>
      </c>
      <c r="AH181" s="60">
        <f>IF(K181&lt;&gt;"N/A",K181*'Scope 3 Ratios'!$B$10,0)</f>
        <v>0</v>
      </c>
      <c r="AI181" s="60">
        <f>(VLOOKUP($E181,'AWS Platforms Ratios'!$A$2:$O$25,3,FALSE)-1)*'Scope 3 Ratios'!$B$7</f>
        <v>100</v>
      </c>
      <c r="AJ181" s="60">
        <f>'Scope 3 Ratios'!$B$2+AF181+AG181+AH181+AI181</f>
        <v>1610.3792</v>
      </c>
      <c r="AK181" s="60">
        <f>AJ181*'Scope 3 Ratios'!$B$4*(C181/D181)</f>
        <v>1.941525849</v>
      </c>
      <c r="AL181" s="61" t="s">
        <v>424</v>
      </c>
    </row>
    <row r="182" ht="15.0" customHeight="1">
      <c r="A182" s="56" t="s">
        <v>426</v>
      </c>
      <c r="B182" s="56" t="s">
        <v>69</v>
      </c>
      <c r="C182" s="56">
        <v>8.0</v>
      </c>
      <c r="D182" s="56">
        <f>VLOOKUP(E182,'AWS Platforms Ratios'!$A$2:$B$25,2,FALSE)</f>
        <v>96</v>
      </c>
      <c r="E182" s="57" t="s">
        <v>423</v>
      </c>
      <c r="F182" s="56">
        <v>32.0</v>
      </c>
      <c r="G182" s="56">
        <v>384.0</v>
      </c>
      <c r="H182" s="57" t="s">
        <v>71</v>
      </c>
      <c r="I182" s="63" t="s">
        <v>72</v>
      </c>
      <c r="J182" s="56">
        <v>0.0</v>
      </c>
      <c r="K182" s="58" t="s">
        <v>73</v>
      </c>
      <c r="L182" s="58" t="s">
        <v>73</v>
      </c>
      <c r="M182" s="58" t="s">
        <v>73</v>
      </c>
      <c r="N182" s="58" t="s">
        <v>73</v>
      </c>
      <c r="O182" s="59">
        <f>($C182/$D182)*VLOOKUP($E182,'AWS Platforms Ratios'!$A$2:$O$25,7,FALSE)</f>
        <v>3.870953912</v>
      </c>
      <c r="P182" s="59">
        <f>($C182/$D182)*VLOOKUP($E182,'AWS Platforms Ratios'!$A$2:$O$25,8,FALSE)</f>
        <v>10.60868167</v>
      </c>
      <c r="Q182" s="59">
        <f>($C182/$D182)*VLOOKUP($E182,'AWS Platforms Ratios'!$A$2:$O$25,9,FALSE)</f>
        <v>25.07545552</v>
      </c>
      <c r="R182" s="59">
        <f>($C182/$D182)*VLOOKUP($E182,'AWS Platforms Ratios'!$A$2:$O$25,10,FALSE)</f>
        <v>33.95150054</v>
      </c>
      <c r="S182" s="59">
        <f>$F182*VLOOKUP($E182,'AWS Platforms Ratios'!$A$2:$O$25,11,FALSE)</f>
        <v>6.4</v>
      </c>
      <c r="T182" s="59">
        <f>$F182*VLOOKUP($E182,'AWS Platforms Ratios'!$A$2:$O$25,12,FALSE)</f>
        <v>9.6</v>
      </c>
      <c r="U182" s="59">
        <f>$F182*VLOOKUP($E182,'AWS Platforms Ratios'!$A$2:$O$25,13,FALSE)</f>
        <v>12.8</v>
      </c>
      <c r="V182" s="59">
        <f>$F182*VLOOKUP($E182,'AWS Platforms Ratios'!$A$2:$O$25,14,FALSE)</f>
        <v>19.2</v>
      </c>
      <c r="W182" s="60">
        <f>IF($K182&lt;&gt;"N/A",$M182*(VLOOKUP($L182,'GPU Specs &amp; Ratios'!$B$2:$I$8,5,FALSE)),0)</f>
        <v>0</v>
      </c>
      <c r="X182" s="60">
        <f>IF($K182&lt;&gt;"N/A",$M182*(VLOOKUP($L182,'GPU Specs &amp; Ratios'!$B$2:$I$8,6,FALSE)),0)</f>
        <v>0</v>
      </c>
      <c r="Y182" s="60">
        <f>IF($K182&lt;&gt;"N/A",$M182*(VLOOKUP($L182,'GPU Specs &amp; Ratios'!$B$2:$I$8,7,FALSE)),0)</f>
        <v>0</v>
      </c>
      <c r="Z182" s="60">
        <f>IF($K182&lt;&gt;"N/A",$M182*(VLOOKUP($L182,'GPU Specs &amp; Ratios'!$B$2:$I$8,8,FALSE)),0)</f>
        <v>0</v>
      </c>
      <c r="AA182" s="60">
        <f>(C182/D182)*VLOOKUP($E182,'AWS Platforms Ratios'!$A$2:$O$25,15,FALSE)</f>
        <v>6.666666667</v>
      </c>
      <c r="AB182" s="60">
        <f t="shared" ref="AB182:AE182" si="181">O182+S182+W182+$AA182</f>
        <v>16.93762058</v>
      </c>
      <c r="AC182" s="60">
        <f t="shared" si="181"/>
        <v>26.87534834</v>
      </c>
      <c r="AD182" s="60">
        <f t="shared" si="181"/>
        <v>44.54212219</v>
      </c>
      <c r="AE182" s="60">
        <f t="shared" si="181"/>
        <v>59.8181672</v>
      </c>
      <c r="AF182" s="60">
        <f>IF(G182&gt;'Scope 3 Ratios'!$B$5,(G182-'Scope 3 Ratios'!$B$5)*('Scope 3 Ratios'!$B$6/'Scope 3 Ratios'!$B$5),0)</f>
        <v>510.3792</v>
      </c>
      <c r="AG182" s="60">
        <f>J182*IF(I182="SSD",'Scope 3 Ratios'!$B$9,'Scope 3 Ratios'!$B$8)</f>
        <v>0</v>
      </c>
      <c r="AH182" s="60">
        <f>IF(K182&lt;&gt;"N/A",K182*'Scope 3 Ratios'!$B$10,0)</f>
        <v>0</v>
      </c>
      <c r="AI182" s="60">
        <f>(VLOOKUP($E182,'AWS Platforms Ratios'!$A$2:$O$25,3,FALSE)-1)*'Scope 3 Ratios'!$B$7</f>
        <v>100</v>
      </c>
      <c r="AJ182" s="60">
        <f>'Scope 3 Ratios'!$B$2+AF182+AG182+AH182+AI182</f>
        <v>1610.3792</v>
      </c>
      <c r="AK182" s="60">
        <f>AJ182*'Scope 3 Ratios'!$B$4*(C182/D182)</f>
        <v>3.883051698</v>
      </c>
      <c r="AL182" s="61" t="s">
        <v>424</v>
      </c>
    </row>
    <row r="183" ht="15.0" customHeight="1">
      <c r="A183" s="56" t="s">
        <v>427</v>
      </c>
      <c r="B183" s="56" t="s">
        <v>69</v>
      </c>
      <c r="C183" s="56">
        <v>16.0</v>
      </c>
      <c r="D183" s="56">
        <f>VLOOKUP(E183,'AWS Platforms Ratios'!$A$2:$B$25,2,FALSE)</f>
        <v>96</v>
      </c>
      <c r="E183" s="57" t="s">
        <v>423</v>
      </c>
      <c r="F183" s="56">
        <v>64.0</v>
      </c>
      <c r="G183" s="56">
        <v>384.0</v>
      </c>
      <c r="H183" s="57" t="s">
        <v>71</v>
      </c>
      <c r="I183" s="63" t="s">
        <v>72</v>
      </c>
      <c r="J183" s="56">
        <v>0.0</v>
      </c>
      <c r="K183" s="58" t="s">
        <v>73</v>
      </c>
      <c r="L183" s="58" t="s">
        <v>73</v>
      </c>
      <c r="M183" s="58" t="s">
        <v>73</v>
      </c>
      <c r="N183" s="58" t="s">
        <v>73</v>
      </c>
      <c r="O183" s="59">
        <f>($C183/$D183)*VLOOKUP($E183,'AWS Platforms Ratios'!$A$2:$O$25,7,FALSE)</f>
        <v>7.741907824</v>
      </c>
      <c r="P183" s="59">
        <f>($C183/$D183)*VLOOKUP($E183,'AWS Platforms Ratios'!$A$2:$O$25,8,FALSE)</f>
        <v>21.21736334</v>
      </c>
      <c r="Q183" s="59">
        <f>($C183/$D183)*VLOOKUP($E183,'AWS Platforms Ratios'!$A$2:$O$25,9,FALSE)</f>
        <v>50.15091104</v>
      </c>
      <c r="R183" s="59">
        <f>($C183/$D183)*VLOOKUP($E183,'AWS Platforms Ratios'!$A$2:$O$25,10,FALSE)</f>
        <v>67.90300107</v>
      </c>
      <c r="S183" s="59">
        <f>$F183*VLOOKUP($E183,'AWS Platforms Ratios'!$A$2:$O$25,11,FALSE)</f>
        <v>12.8</v>
      </c>
      <c r="T183" s="59">
        <f>$F183*VLOOKUP($E183,'AWS Platforms Ratios'!$A$2:$O$25,12,FALSE)</f>
        <v>19.2</v>
      </c>
      <c r="U183" s="59">
        <f>$F183*VLOOKUP($E183,'AWS Platforms Ratios'!$A$2:$O$25,13,FALSE)</f>
        <v>25.6</v>
      </c>
      <c r="V183" s="59">
        <f>$F183*VLOOKUP($E183,'AWS Platforms Ratios'!$A$2:$O$25,14,FALSE)</f>
        <v>38.4</v>
      </c>
      <c r="W183" s="60">
        <f>IF($K183&lt;&gt;"N/A",$M183*(VLOOKUP($L183,'GPU Specs &amp; Ratios'!$B$2:$I$8,5,FALSE)),0)</f>
        <v>0</v>
      </c>
      <c r="X183" s="60">
        <f>IF($K183&lt;&gt;"N/A",$M183*(VLOOKUP($L183,'GPU Specs &amp; Ratios'!$B$2:$I$8,6,FALSE)),0)</f>
        <v>0</v>
      </c>
      <c r="Y183" s="60">
        <f>IF($K183&lt;&gt;"N/A",$M183*(VLOOKUP($L183,'GPU Specs &amp; Ratios'!$B$2:$I$8,7,FALSE)),0)</f>
        <v>0</v>
      </c>
      <c r="Z183" s="60">
        <f>IF($K183&lt;&gt;"N/A",$M183*(VLOOKUP($L183,'GPU Specs &amp; Ratios'!$B$2:$I$8,8,FALSE)),0)</f>
        <v>0</v>
      </c>
      <c r="AA183" s="60">
        <f>(C183/D183)*VLOOKUP($E183,'AWS Platforms Ratios'!$A$2:$O$25,15,FALSE)</f>
        <v>13.33333333</v>
      </c>
      <c r="AB183" s="60">
        <f t="shared" ref="AB183:AE183" si="182">O183+S183+W183+$AA183</f>
        <v>33.87524116</v>
      </c>
      <c r="AC183" s="60">
        <f t="shared" si="182"/>
        <v>53.75069668</v>
      </c>
      <c r="AD183" s="60">
        <f t="shared" si="182"/>
        <v>89.08424437</v>
      </c>
      <c r="AE183" s="60">
        <f t="shared" si="182"/>
        <v>119.6363344</v>
      </c>
      <c r="AF183" s="60">
        <f>IF(G183&gt;'Scope 3 Ratios'!$B$5,(G183-'Scope 3 Ratios'!$B$5)*('Scope 3 Ratios'!$B$6/'Scope 3 Ratios'!$B$5),0)</f>
        <v>510.3792</v>
      </c>
      <c r="AG183" s="60">
        <f>J183*IF(I183="SSD",'Scope 3 Ratios'!$B$9,'Scope 3 Ratios'!$B$8)</f>
        <v>0</v>
      </c>
      <c r="AH183" s="60">
        <f>IF(K183&lt;&gt;"N/A",K183*'Scope 3 Ratios'!$B$10,0)</f>
        <v>0</v>
      </c>
      <c r="AI183" s="60">
        <f>(VLOOKUP($E183,'AWS Platforms Ratios'!$A$2:$O$25,3,FALSE)-1)*'Scope 3 Ratios'!$B$7</f>
        <v>100</v>
      </c>
      <c r="AJ183" s="60">
        <f>'Scope 3 Ratios'!$B$2+AF183+AG183+AH183+AI183</f>
        <v>1610.3792</v>
      </c>
      <c r="AK183" s="60">
        <f>AJ183*'Scope 3 Ratios'!$B$4*(C183/D183)</f>
        <v>7.766103395</v>
      </c>
      <c r="AL183" s="61" t="s">
        <v>424</v>
      </c>
    </row>
    <row r="184" ht="15.0" customHeight="1">
      <c r="A184" s="56" t="s">
        <v>428</v>
      </c>
      <c r="B184" s="56" t="s">
        <v>128</v>
      </c>
      <c r="C184" s="56">
        <v>32.0</v>
      </c>
      <c r="D184" s="56">
        <f>VLOOKUP(E184,'AWS Platforms Ratios'!$A$2:$B$25,2,FALSE)</f>
        <v>96</v>
      </c>
      <c r="E184" s="57" t="s">
        <v>423</v>
      </c>
      <c r="F184" s="56">
        <v>128.0</v>
      </c>
      <c r="G184" s="56">
        <v>384.0</v>
      </c>
      <c r="H184" s="57" t="s">
        <v>71</v>
      </c>
      <c r="I184" s="63" t="s">
        <v>72</v>
      </c>
      <c r="J184" s="56">
        <v>0.0</v>
      </c>
      <c r="K184" s="58" t="s">
        <v>73</v>
      </c>
      <c r="L184" s="58" t="s">
        <v>73</v>
      </c>
      <c r="M184" s="58" t="s">
        <v>73</v>
      </c>
      <c r="N184" s="58" t="s">
        <v>73</v>
      </c>
      <c r="O184" s="59">
        <f>($C184/$D184)*VLOOKUP($E184,'AWS Platforms Ratios'!$A$2:$O$25,7,FALSE)</f>
        <v>15.48381565</v>
      </c>
      <c r="P184" s="59">
        <f>($C184/$D184)*VLOOKUP($E184,'AWS Platforms Ratios'!$A$2:$O$25,8,FALSE)</f>
        <v>42.43472669</v>
      </c>
      <c r="Q184" s="59">
        <f>($C184/$D184)*VLOOKUP($E184,'AWS Platforms Ratios'!$A$2:$O$25,9,FALSE)</f>
        <v>100.3018221</v>
      </c>
      <c r="R184" s="59">
        <f>($C184/$D184)*VLOOKUP($E184,'AWS Platforms Ratios'!$A$2:$O$25,10,FALSE)</f>
        <v>135.8060021</v>
      </c>
      <c r="S184" s="59">
        <f>$F184*VLOOKUP($E184,'AWS Platforms Ratios'!$A$2:$O$25,11,FALSE)</f>
        <v>25.6</v>
      </c>
      <c r="T184" s="59">
        <f>$F184*VLOOKUP($E184,'AWS Platforms Ratios'!$A$2:$O$25,12,FALSE)</f>
        <v>38.4</v>
      </c>
      <c r="U184" s="59">
        <f>$F184*VLOOKUP($E184,'AWS Platforms Ratios'!$A$2:$O$25,13,FALSE)</f>
        <v>51.2</v>
      </c>
      <c r="V184" s="59">
        <f>$F184*VLOOKUP($E184,'AWS Platforms Ratios'!$A$2:$O$25,14,FALSE)</f>
        <v>76.8</v>
      </c>
      <c r="W184" s="60">
        <f>IF($K184&lt;&gt;"N/A",$M184*(VLOOKUP($L184,'GPU Specs &amp; Ratios'!$B$2:$I$8,5,FALSE)),0)</f>
        <v>0</v>
      </c>
      <c r="X184" s="60">
        <f>IF($K184&lt;&gt;"N/A",$M184*(VLOOKUP($L184,'GPU Specs &amp; Ratios'!$B$2:$I$8,6,FALSE)),0)</f>
        <v>0</v>
      </c>
      <c r="Y184" s="60">
        <f>IF($K184&lt;&gt;"N/A",$M184*(VLOOKUP($L184,'GPU Specs &amp; Ratios'!$B$2:$I$8,7,FALSE)),0)</f>
        <v>0</v>
      </c>
      <c r="Z184" s="60">
        <f>IF($K184&lt;&gt;"N/A",$M184*(VLOOKUP($L184,'GPU Specs &amp; Ratios'!$B$2:$I$8,8,FALSE)),0)</f>
        <v>0</v>
      </c>
      <c r="AA184" s="60">
        <f>(C184/D184)*VLOOKUP($E184,'AWS Platforms Ratios'!$A$2:$O$25,15,FALSE)</f>
        <v>26.66666667</v>
      </c>
      <c r="AB184" s="60">
        <f t="shared" ref="AB184:AE184" si="183">O184+S184+W184+$AA184</f>
        <v>67.75048232</v>
      </c>
      <c r="AC184" s="60">
        <f t="shared" si="183"/>
        <v>107.5013934</v>
      </c>
      <c r="AD184" s="60">
        <f t="shared" si="183"/>
        <v>178.1684887</v>
      </c>
      <c r="AE184" s="60">
        <f t="shared" si="183"/>
        <v>239.2726688</v>
      </c>
      <c r="AF184" s="60">
        <f>IF(G184&gt;'Scope 3 Ratios'!$B$5,(G184-'Scope 3 Ratios'!$B$5)*('Scope 3 Ratios'!$B$6/'Scope 3 Ratios'!$B$5),0)</f>
        <v>510.3792</v>
      </c>
      <c r="AG184" s="60">
        <f>J184*IF(I184="SSD",'Scope 3 Ratios'!$B$9,'Scope 3 Ratios'!$B$8)</f>
        <v>0</v>
      </c>
      <c r="AH184" s="60">
        <f>IF(K184&lt;&gt;"N/A",K184*'Scope 3 Ratios'!$B$10,0)</f>
        <v>0</v>
      </c>
      <c r="AI184" s="60">
        <f>(VLOOKUP($E184,'AWS Platforms Ratios'!$A$2:$O$25,3,FALSE)-1)*'Scope 3 Ratios'!$B$7</f>
        <v>100</v>
      </c>
      <c r="AJ184" s="60">
        <f>'Scope 3 Ratios'!$B$2+AF184+AG184+AH184+AI184</f>
        <v>1610.3792</v>
      </c>
      <c r="AK184" s="60">
        <f>AJ184*'Scope 3 Ratios'!$B$4*(C184/D184)</f>
        <v>15.53220679</v>
      </c>
      <c r="AL184" s="61" t="s">
        <v>424</v>
      </c>
    </row>
    <row r="185" ht="15.0" customHeight="1">
      <c r="A185" s="56" t="s">
        <v>429</v>
      </c>
      <c r="B185" s="56" t="s">
        <v>69</v>
      </c>
      <c r="C185" s="56">
        <v>48.0</v>
      </c>
      <c r="D185" s="56">
        <f>VLOOKUP(E185,'AWS Platforms Ratios'!$A$2:$B$25,2,FALSE)</f>
        <v>96</v>
      </c>
      <c r="E185" s="57" t="s">
        <v>423</v>
      </c>
      <c r="F185" s="56">
        <v>192.0</v>
      </c>
      <c r="G185" s="56">
        <v>384.0</v>
      </c>
      <c r="H185" s="57" t="s">
        <v>71</v>
      </c>
      <c r="I185" s="63" t="s">
        <v>72</v>
      </c>
      <c r="J185" s="56">
        <v>0.0</v>
      </c>
      <c r="K185" s="58" t="s">
        <v>73</v>
      </c>
      <c r="L185" s="58" t="s">
        <v>73</v>
      </c>
      <c r="M185" s="58" t="s">
        <v>73</v>
      </c>
      <c r="N185" s="58" t="s">
        <v>73</v>
      </c>
      <c r="O185" s="59">
        <f>($C185/$D185)*VLOOKUP($E185,'AWS Platforms Ratios'!$A$2:$O$25,7,FALSE)</f>
        <v>23.22572347</v>
      </c>
      <c r="P185" s="59">
        <f>($C185/$D185)*VLOOKUP($E185,'AWS Platforms Ratios'!$A$2:$O$25,8,FALSE)</f>
        <v>63.65209003</v>
      </c>
      <c r="Q185" s="59">
        <f>($C185/$D185)*VLOOKUP($E185,'AWS Platforms Ratios'!$A$2:$O$25,9,FALSE)</f>
        <v>150.4527331</v>
      </c>
      <c r="R185" s="59">
        <f>($C185/$D185)*VLOOKUP($E185,'AWS Platforms Ratios'!$A$2:$O$25,10,FALSE)</f>
        <v>203.7090032</v>
      </c>
      <c r="S185" s="59">
        <f>$F185*VLOOKUP($E185,'AWS Platforms Ratios'!$A$2:$O$25,11,FALSE)</f>
        <v>38.4</v>
      </c>
      <c r="T185" s="59">
        <f>$F185*VLOOKUP($E185,'AWS Platforms Ratios'!$A$2:$O$25,12,FALSE)</f>
        <v>57.6</v>
      </c>
      <c r="U185" s="59">
        <f>$F185*VLOOKUP($E185,'AWS Platforms Ratios'!$A$2:$O$25,13,FALSE)</f>
        <v>76.8</v>
      </c>
      <c r="V185" s="59">
        <f>$F185*VLOOKUP($E185,'AWS Platforms Ratios'!$A$2:$O$25,14,FALSE)</f>
        <v>115.2</v>
      </c>
      <c r="W185" s="60">
        <f>IF($K185&lt;&gt;"N/A",$M185*(VLOOKUP($L185,'GPU Specs &amp; Ratios'!$B$2:$I$8,5,FALSE)),0)</f>
        <v>0</v>
      </c>
      <c r="X185" s="60">
        <f>IF($K185&lt;&gt;"N/A",$M185*(VLOOKUP($L185,'GPU Specs &amp; Ratios'!$B$2:$I$8,6,FALSE)),0)</f>
        <v>0</v>
      </c>
      <c r="Y185" s="60">
        <f>IF($K185&lt;&gt;"N/A",$M185*(VLOOKUP($L185,'GPU Specs &amp; Ratios'!$B$2:$I$8,7,FALSE)),0)</f>
        <v>0</v>
      </c>
      <c r="Z185" s="60">
        <f>IF($K185&lt;&gt;"N/A",$M185*(VLOOKUP($L185,'GPU Specs &amp; Ratios'!$B$2:$I$8,8,FALSE)),0)</f>
        <v>0</v>
      </c>
      <c r="AA185" s="60">
        <f>(C185/D185)*VLOOKUP($E185,'AWS Platforms Ratios'!$A$2:$O$25,15,FALSE)</f>
        <v>40</v>
      </c>
      <c r="AB185" s="60">
        <f t="shared" ref="AB185:AE185" si="184">O185+S185+W185+$AA185</f>
        <v>101.6257235</v>
      </c>
      <c r="AC185" s="60">
        <f t="shared" si="184"/>
        <v>161.25209</v>
      </c>
      <c r="AD185" s="60">
        <f t="shared" si="184"/>
        <v>267.2527331</v>
      </c>
      <c r="AE185" s="60">
        <f t="shared" si="184"/>
        <v>358.9090032</v>
      </c>
      <c r="AF185" s="60">
        <f>IF(G185&gt;'Scope 3 Ratios'!$B$5,(G185-'Scope 3 Ratios'!$B$5)*('Scope 3 Ratios'!$B$6/'Scope 3 Ratios'!$B$5),0)</f>
        <v>510.3792</v>
      </c>
      <c r="AG185" s="60">
        <f>J185*IF(I185="SSD",'Scope 3 Ratios'!$B$9,'Scope 3 Ratios'!$B$8)</f>
        <v>0</v>
      </c>
      <c r="AH185" s="60">
        <f>IF(K185&lt;&gt;"N/A",K185*'Scope 3 Ratios'!$B$10,0)</f>
        <v>0</v>
      </c>
      <c r="AI185" s="60">
        <f>(VLOOKUP($E185,'AWS Platforms Ratios'!$A$2:$O$25,3,FALSE)-1)*'Scope 3 Ratios'!$B$7</f>
        <v>100</v>
      </c>
      <c r="AJ185" s="60">
        <f>'Scope 3 Ratios'!$B$2+AF185+AG185+AH185+AI185</f>
        <v>1610.3792</v>
      </c>
      <c r="AK185" s="60">
        <f>AJ185*'Scope 3 Ratios'!$B$4*(C185/D185)</f>
        <v>23.29831019</v>
      </c>
      <c r="AL185" s="61" t="s">
        <v>424</v>
      </c>
    </row>
    <row r="186" ht="15.0" customHeight="1">
      <c r="A186" s="56" t="s">
        <v>430</v>
      </c>
      <c r="B186" s="56" t="s">
        <v>128</v>
      </c>
      <c r="C186" s="56">
        <v>64.0</v>
      </c>
      <c r="D186" s="56">
        <f>VLOOKUP(E186,'AWS Platforms Ratios'!$A$2:$B$25,2,FALSE)</f>
        <v>96</v>
      </c>
      <c r="E186" s="57" t="s">
        <v>423</v>
      </c>
      <c r="F186" s="56">
        <v>256.0</v>
      </c>
      <c r="G186" s="56">
        <v>384.0</v>
      </c>
      <c r="H186" s="57" t="s">
        <v>71</v>
      </c>
      <c r="I186" s="63" t="s">
        <v>72</v>
      </c>
      <c r="J186" s="56">
        <v>0.0</v>
      </c>
      <c r="K186" s="58" t="s">
        <v>73</v>
      </c>
      <c r="L186" s="58" t="s">
        <v>73</v>
      </c>
      <c r="M186" s="58" t="s">
        <v>73</v>
      </c>
      <c r="N186" s="58" t="s">
        <v>73</v>
      </c>
      <c r="O186" s="59">
        <f>($C186/$D186)*VLOOKUP($E186,'AWS Platforms Ratios'!$A$2:$O$25,7,FALSE)</f>
        <v>30.9676313</v>
      </c>
      <c r="P186" s="59">
        <f>($C186/$D186)*VLOOKUP($E186,'AWS Platforms Ratios'!$A$2:$O$25,8,FALSE)</f>
        <v>84.86945338</v>
      </c>
      <c r="Q186" s="59">
        <f>($C186/$D186)*VLOOKUP($E186,'AWS Platforms Ratios'!$A$2:$O$25,9,FALSE)</f>
        <v>200.6036442</v>
      </c>
      <c r="R186" s="59">
        <f>($C186/$D186)*VLOOKUP($E186,'AWS Platforms Ratios'!$A$2:$O$25,10,FALSE)</f>
        <v>271.6120043</v>
      </c>
      <c r="S186" s="59">
        <f>$F186*VLOOKUP($E186,'AWS Platforms Ratios'!$A$2:$O$25,11,FALSE)</f>
        <v>51.2</v>
      </c>
      <c r="T186" s="59">
        <f>$F186*VLOOKUP($E186,'AWS Platforms Ratios'!$A$2:$O$25,12,FALSE)</f>
        <v>76.8</v>
      </c>
      <c r="U186" s="59">
        <f>$F186*VLOOKUP($E186,'AWS Platforms Ratios'!$A$2:$O$25,13,FALSE)</f>
        <v>102.4</v>
      </c>
      <c r="V186" s="59">
        <f>$F186*VLOOKUP($E186,'AWS Platforms Ratios'!$A$2:$O$25,14,FALSE)</f>
        <v>153.6</v>
      </c>
      <c r="W186" s="60">
        <f>IF($K186&lt;&gt;"N/A",$M186*(VLOOKUP($L186,'GPU Specs &amp; Ratios'!$B$2:$I$8,5,FALSE)),0)</f>
        <v>0</v>
      </c>
      <c r="X186" s="60">
        <f>IF($K186&lt;&gt;"N/A",$M186*(VLOOKUP($L186,'GPU Specs &amp; Ratios'!$B$2:$I$8,6,FALSE)),0)</f>
        <v>0</v>
      </c>
      <c r="Y186" s="60">
        <f>IF($K186&lt;&gt;"N/A",$M186*(VLOOKUP($L186,'GPU Specs &amp; Ratios'!$B$2:$I$8,7,FALSE)),0)</f>
        <v>0</v>
      </c>
      <c r="Z186" s="60">
        <f>IF($K186&lt;&gt;"N/A",$M186*(VLOOKUP($L186,'GPU Specs &amp; Ratios'!$B$2:$I$8,8,FALSE)),0)</f>
        <v>0</v>
      </c>
      <c r="AA186" s="60">
        <f>(C186/D186)*VLOOKUP($E186,'AWS Platforms Ratios'!$A$2:$O$25,15,FALSE)</f>
        <v>53.33333333</v>
      </c>
      <c r="AB186" s="60">
        <f t="shared" ref="AB186:AE186" si="185">O186+S186+W186+$AA186</f>
        <v>135.5009646</v>
      </c>
      <c r="AC186" s="60">
        <f t="shared" si="185"/>
        <v>215.0027867</v>
      </c>
      <c r="AD186" s="60">
        <f t="shared" si="185"/>
        <v>356.3369775</v>
      </c>
      <c r="AE186" s="60">
        <f t="shared" si="185"/>
        <v>478.5453376</v>
      </c>
      <c r="AF186" s="60">
        <f>IF(G186&gt;'Scope 3 Ratios'!$B$5,(G186-'Scope 3 Ratios'!$B$5)*('Scope 3 Ratios'!$B$6/'Scope 3 Ratios'!$B$5),0)</f>
        <v>510.3792</v>
      </c>
      <c r="AG186" s="60">
        <f>J186*IF(I186="SSD",'Scope 3 Ratios'!$B$9,'Scope 3 Ratios'!$B$8)</f>
        <v>0</v>
      </c>
      <c r="AH186" s="60">
        <f>IF(K186&lt;&gt;"N/A",K186*'Scope 3 Ratios'!$B$10,0)</f>
        <v>0</v>
      </c>
      <c r="AI186" s="60">
        <f>(VLOOKUP($E186,'AWS Platforms Ratios'!$A$2:$O$25,3,FALSE)-1)*'Scope 3 Ratios'!$B$7</f>
        <v>100</v>
      </c>
      <c r="AJ186" s="60">
        <f>'Scope 3 Ratios'!$B$2+AF186+AG186+AH186+AI186</f>
        <v>1610.3792</v>
      </c>
      <c r="AK186" s="60">
        <f>AJ186*'Scope 3 Ratios'!$B$4*(C186/D186)</f>
        <v>31.06441358</v>
      </c>
      <c r="AL186" s="61" t="s">
        <v>424</v>
      </c>
    </row>
    <row r="187" ht="15.0" customHeight="1">
      <c r="A187" s="56" t="s">
        <v>431</v>
      </c>
      <c r="B187" s="56" t="s">
        <v>69</v>
      </c>
      <c r="C187" s="56">
        <v>96.0</v>
      </c>
      <c r="D187" s="56">
        <f>VLOOKUP(E187,'AWS Platforms Ratios'!$A$2:$B$25,2,FALSE)</f>
        <v>96</v>
      </c>
      <c r="E187" s="57" t="s">
        <v>423</v>
      </c>
      <c r="F187" s="56">
        <v>384.0</v>
      </c>
      <c r="G187" s="56">
        <v>384.0</v>
      </c>
      <c r="H187" s="57" t="s">
        <v>71</v>
      </c>
      <c r="I187" s="63" t="s">
        <v>72</v>
      </c>
      <c r="J187" s="56">
        <v>0.0</v>
      </c>
      <c r="K187" s="58" t="s">
        <v>73</v>
      </c>
      <c r="L187" s="58" t="s">
        <v>73</v>
      </c>
      <c r="M187" s="58" t="s">
        <v>73</v>
      </c>
      <c r="N187" s="58" t="s">
        <v>73</v>
      </c>
      <c r="O187" s="59">
        <f>($C187/$D187)*VLOOKUP($E187,'AWS Platforms Ratios'!$A$2:$O$25,7,FALSE)</f>
        <v>46.45144695</v>
      </c>
      <c r="P187" s="59">
        <f>($C187/$D187)*VLOOKUP($E187,'AWS Platforms Ratios'!$A$2:$O$25,8,FALSE)</f>
        <v>127.3041801</v>
      </c>
      <c r="Q187" s="59">
        <f>($C187/$D187)*VLOOKUP($E187,'AWS Platforms Ratios'!$A$2:$O$25,9,FALSE)</f>
        <v>300.9054662</v>
      </c>
      <c r="R187" s="59">
        <f>($C187/$D187)*VLOOKUP($E187,'AWS Platforms Ratios'!$A$2:$O$25,10,FALSE)</f>
        <v>407.4180064</v>
      </c>
      <c r="S187" s="59">
        <f>$F187*VLOOKUP($E187,'AWS Platforms Ratios'!$A$2:$O$25,11,FALSE)</f>
        <v>76.8</v>
      </c>
      <c r="T187" s="59">
        <f>$F187*VLOOKUP($E187,'AWS Platforms Ratios'!$A$2:$O$25,12,FALSE)</f>
        <v>115.2</v>
      </c>
      <c r="U187" s="59">
        <f>$F187*VLOOKUP($E187,'AWS Platforms Ratios'!$A$2:$O$25,13,FALSE)</f>
        <v>153.6</v>
      </c>
      <c r="V187" s="59">
        <f>$F187*VLOOKUP($E187,'AWS Platforms Ratios'!$A$2:$O$25,14,FALSE)</f>
        <v>230.4</v>
      </c>
      <c r="W187" s="60">
        <f>IF($K187&lt;&gt;"N/A",$M187*(VLOOKUP($L187,'GPU Specs &amp; Ratios'!$B$2:$I$8,5,FALSE)),0)</f>
        <v>0</v>
      </c>
      <c r="X187" s="60">
        <f>IF($K187&lt;&gt;"N/A",$M187*(VLOOKUP($L187,'GPU Specs &amp; Ratios'!$B$2:$I$8,6,FALSE)),0)</f>
        <v>0</v>
      </c>
      <c r="Y187" s="60">
        <f>IF($K187&lt;&gt;"N/A",$M187*(VLOOKUP($L187,'GPU Specs &amp; Ratios'!$B$2:$I$8,7,FALSE)),0)</f>
        <v>0</v>
      </c>
      <c r="Z187" s="60">
        <f>IF($K187&lt;&gt;"N/A",$M187*(VLOOKUP($L187,'GPU Specs &amp; Ratios'!$B$2:$I$8,8,FALSE)),0)</f>
        <v>0</v>
      </c>
      <c r="AA187" s="60">
        <f>(C187/D187)*VLOOKUP($E187,'AWS Platforms Ratios'!$A$2:$O$25,15,FALSE)</f>
        <v>80</v>
      </c>
      <c r="AB187" s="60">
        <f t="shared" ref="AB187:AE187" si="186">O187+S187+W187+$AA187</f>
        <v>203.2514469</v>
      </c>
      <c r="AC187" s="60">
        <f t="shared" si="186"/>
        <v>322.5041801</v>
      </c>
      <c r="AD187" s="60">
        <f t="shared" si="186"/>
        <v>534.5054662</v>
      </c>
      <c r="AE187" s="60">
        <f t="shared" si="186"/>
        <v>717.8180064</v>
      </c>
      <c r="AF187" s="60">
        <f>IF(G187&gt;'Scope 3 Ratios'!$B$5,(G187-'Scope 3 Ratios'!$B$5)*('Scope 3 Ratios'!$B$6/'Scope 3 Ratios'!$B$5),0)</f>
        <v>510.3792</v>
      </c>
      <c r="AG187" s="60">
        <f>J187*IF(I187="SSD",'Scope 3 Ratios'!$B$9,'Scope 3 Ratios'!$B$8)</f>
        <v>0</v>
      </c>
      <c r="AH187" s="60">
        <f>IF(K187&lt;&gt;"N/A",K187*'Scope 3 Ratios'!$B$10,0)</f>
        <v>0</v>
      </c>
      <c r="AI187" s="60">
        <f>(VLOOKUP($E187,'AWS Platforms Ratios'!$A$2:$O$25,3,FALSE)-1)*'Scope 3 Ratios'!$B$7</f>
        <v>100</v>
      </c>
      <c r="AJ187" s="60">
        <f>'Scope 3 Ratios'!$B$2+AF187+AG187+AH187+AI187</f>
        <v>1610.3792</v>
      </c>
      <c r="AK187" s="60">
        <f>AJ187*'Scope 3 Ratios'!$B$4*(C187/D187)</f>
        <v>46.59662037</v>
      </c>
      <c r="AL187" s="61" t="s">
        <v>424</v>
      </c>
    </row>
    <row r="188" ht="15.0" customHeight="1">
      <c r="A188" s="56" t="s">
        <v>432</v>
      </c>
      <c r="B188" s="56" t="s">
        <v>296</v>
      </c>
      <c r="C188" s="56">
        <v>2.0</v>
      </c>
      <c r="D188" s="56">
        <f>VLOOKUP(E188,'AWS Platforms Ratios'!$A$2:$B$25,2,FALSE)</f>
        <v>96</v>
      </c>
      <c r="E188" s="57" t="s">
        <v>423</v>
      </c>
      <c r="F188" s="56">
        <v>8.0</v>
      </c>
      <c r="G188" s="56">
        <v>384.0</v>
      </c>
      <c r="H188" s="57" t="s">
        <v>146</v>
      </c>
      <c r="I188" s="56" t="s">
        <v>85</v>
      </c>
      <c r="J188" s="56">
        <v>4.0</v>
      </c>
      <c r="K188" s="58" t="s">
        <v>73</v>
      </c>
      <c r="L188" s="58" t="s">
        <v>73</v>
      </c>
      <c r="M188" s="58" t="s">
        <v>73</v>
      </c>
      <c r="N188" s="58" t="s">
        <v>73</v>
      </c>
      <c r="O188" s="59">
        <f>($C188/$D188)*VLOOKUP($E188,'AWS Platforms Ratios'!$A$2:$O$25,7,FALSE)</f>
        <v>0.967738478</v>
      </c>
      <c r="P188" s="59">
        <f>($C188/$D188)*VLOOKUP($E188,'AWS Platforms Ratios'!$A$2:$O$25,8,FALSE)</f>
        <v>2.652170418</v>
      </c>
      <c r="Q188" s="59">
        <f>($C188/$D188)*VLOOKUP($E188,'AWS Platforms Ratios'!$A$2:$O$25,9,FALSE)</f>
        <v>6.26886388</v>
      </c>
      <c r="R188" s="59">
        <f>($C188/$D188)*VLOOKUP($E188,'AWS Platforms Ratios'!$A$2:$O$25,10,FALSE)</f>
        <v>8.487875134</v>
      </c>
      <c r="S188" s="59">
        <f>$F188*VLOOKUP($E188,'AWS Platforms Ratios'!$A$2:$O$25,11,FALSE)</f>
        <v>1.6</v>
      </c>
      <c r="T188" s="59">
        <f>$F188*VLOOKUP($E188,'AWS Platforms Ratios'!$A$2:$O$25,12,FALSE)</f>
        <v>2.4</v>
      </c>
      <c r="U188" s="59">
        <f>$F188*VLOOKUP($E188,'AWS Platforms Ratios'!$A$2:$O$25,13,FALSE)</f>
        <v>3.2</v>
      </c>
      <c r="V188" s="59">
        <f>$F188*VLOOKUP($E188,'AWS Platforms Ratios'!$A$2:$O$25,14,FALSE)</f>
        <v>4.8</v>
      </c>
      <c r="W188" s="60">
        <f>IF($K188&lt;&gt;"N/A",$M188*(VLOOKUP($L188,'GPU Specs &amp; Ratios'!$B$2:$I$8,5,FALSE)),0)</f>
        <v>0</v>
      </c>
      <c r="X188" s="60">
        <f>IF($K188&lt;&gt;"N/A",$M188*(VLOOKUP($L188,'GPU Specs &amp; Ratios'!$B$2:$I$8,6,FALSE)),0)</f>
        <v>0</v>
      </c>
      <c r="Y188" s="60">
        <f>IF($K188&lt;&gt;"N/A",$M188*(VLOOKUP($L188,'GPU Specs &amp; Ratios'!$B$2:$I$8,7,FALSE)),0)</f>
        <v>0</v>
      </c>
      <c r="Z188" s="60">
        <f>IF($K188&lt;&gt;"N/A",$M188*(VLOOKUP($L188,'GPU Specs &amp; Ratios'!$B$2:$I$8,8,FALSE)),0)</f>
        <v>0</v>
      </c>
      <c r="AA188" s="60">
        <f>(C188/D188)*VLOOKUP($E188,'AWS Platforms Ratios'!$A$2:$O$25,15,FALSE)</f>
        <v>1.666666667</v>
      </c>
      <c r="AB188" s="60">
        <f t="shared" ref="AB188:AE188" si="187">O188+S188+W188+$AA188</f>
        <v>4.234405145</v>
      </c>
      <c r="AC188" s="60">
        <f t="shared" si="187"/>
        <v>6.718837085</v>
      </c>
      <c r="AD188" s="60">
        <f t="shared" si="187"/>
        <v>11.13553055</v>
      </c>
      <c r="AE188" s="60">
        <f t="shared" si="187"/>
        <v>14.9545418</v>
      </c>
      <c r="AF188" s="60">
        <f>IF(G188&gt;'Scope 3 Ratios'!$B$5,(G188-'Scope 3 Ratios'!$B$5)*('Scope 3 Ratios'!$B$6/'Scope 3 Ratios'!$B$5),0)</f>
        <v>510.3792</v>
      </c>
      <c r="AG188" s="60">
        <f>J188*IF(I188="SSD",'Scope 3 Ratios'!$B$9,'Scope 3 Ratios'!$B$8)</f>
        <v>400</v>
      </c>
      <c r="AH188" s="60">
        <f>IF(K188&lt;&gt;"N/A",K188*'Scope 3 Ratios'!$B$10,0)</f>
        <v>0</v>
      </c>
      <c r="AI188" s="60">
        <f>(VLOOKUP($E188,'AWS Platforms Ratios'!$A$2:$O$25,3,FALSE)-1)*'Scope 3 Ratios'!$B$7</f>
        <v>100</v>
      </c>
      <c r="AJ188" s="60">
        <f>'Scope 3 Ratios'!$B$2+AF188+AG188+AH188+AI188</f>
        <v>2010.3792</v>
      </c>
      <c r="AK188" s="60">
        <f>AJ188*'Scope 3 Ratios'!$B$4*(C188/D188)</f>
        <v>1.211889468</v>
      </c>
      <c r="AL188" s="61" t="s">
        <v>424</v>
      </c>
    </row>
    <row r="189" ht="15.0" customHeight="1">
      <c r="A189" s="56" t="s">
        <v>433</v>
      </c>
      <c r="B189" s="56" t="s">
        <v>296</v>
      </c>
      <c r="C189" s="56">
        <v>4.0</v>
      </c>
      <c r="D189" s="56">
        <f>VLOOKUP(E189,'AWS Platforms Ratios'!$A$2:$B$25,2,FALSE)</f>
        <v>96</v>
      </c>
      <c r="E189" s="57" t="s">
        <v>423</v>
      </c>
      <c r="F189" s="56">
        <v>16.0</v>
      </c>
      <c r="G189" s="56">
        <v>384.0</v>
      </c>
      <c r="H189" s="57" t="s">
        <v>148</v>
      </c>
      <c r="I189" s="56" t="s">
        <v>85</v>
      </c>
      <c r="J189" s="56">
        <v>4.0</v>
      </c>
      <c r="K189" s="58" t="s">
        <v>73</v>
      </c>
      <c r="L189" s="58" t="s">
        <v>73</v>
      </c>
      <c r="M189" s="58" t="s">
        <v>73</v>
      </c>
      <c r="N189" s="58" t="s">
        <v>73</v>
      </c>
      <c r="O189" s="59">
        <f>($C189/$D189)*VLOOKUP($E189,'AWS Platforms Ratios'!$A$2:$O$25,7,FALSE)</f>
        <v>1.935476956</v>
      </c>
      <c r="P189" s="59">
        <f>($C189/$D189)*VLOOKUP($E189,'AWS Platforms Ratios'!$A$2:$O$25,8,FALSE)</f>
        <v>5.304340836</v>
      </c>
      <c r="Q189" s="59">
        <f>($C189/$D189)*VLOOKUP($E189,'AWS Platforms Ratios'!$A$2:$O$25,9,FALSE)</f>
        <v>12.53772776</v>
      </c>
      <c r="R189" s="59">
        <f>($C189/$D189)*VLOOKUP($E189,'AWS Platforms Ratios'!$A$2:$O$25,10,FALSE)</f>
        <v>16.97575027</v>
      </c>
      <c r="S189" s="59">
        <f>$F189*VLOOKUP($E189,'AWS Platforms Ratios'!$A$2:$O$25,11,FALSE)</f>
        <v>3.2</v>
      </c>
      <c r="T189" s="59">
        <f>$F189*VLOOKUP($E189,'AWS Platforms Ratios'!$A$2:$O$25,12,FALSE)</f>
        <v>4.8</v>
      </c>
      <c r="U189" s="59">
        <f>$F189*VLOOKUP($E189,'AWS Platforms Ratios'!$A$2:$O$25,13,FALSE)</f>
        <v>6.4</v>
      </c>
      <c r="V189" s="59">
        <f>$F189*VLOOKUP($E189,'AWS Platforms Ratios'!$A$2:$O$25,14,FALSE)</f>
        <v>9.6</v>
      </c>
      <c r="W189" s="60">
        <f>IF($K189&lt;&gt;"N/A",$M189*(VLOOKUP($L189,'GPU Specs &amp; Ratios'!$B$2:$I$8,5,FALSE)),0)</f>
        <v>0</v>
      </c>
      <c r="X189" s="60">
        <f>IF($K189&lt;&gt;"N/A",$M189*(VLOOKUP($L189,'GPU Specs &amp; Ratios'!$B$2:$I$8,6,FALSE)),0)</f>
        <v>0</v>
      </c>
      <c r="Y189" s="60">
        <f>IF($K189&lt;&gt;"N/A",$M189*(VLOOKUP($L189,'GPU Specs &amp; Ratios'!$B$2:$I$8,7,FALSE)),0)</f>
        <v>0</v>
      </c>
      <c r="Z189" s="60">
        <f>IF($K189&lt;&gt;"N/A",$M189*(VLOOKUP($L189,'GPU Specs &amp; Ratios'!$B$2:$I$8,8,FALSE)),0)</f>
        <v>0</v>
      </c>
      <c r="AA189" s="60">
        <f>(C189/D189)*VLOOKUP($E189,'AWS Platforms Ratios'!$A$2:$O$25,15,FALSE)</f>
        <v>3.333333333</v>
      </c>
      <c r="AB189" s="60">
        <f t="shared" ref="AB189:AE189" si="188">O189+S189+W189+$AA189</f>
        <v>8.468810289</v>
      </c>
      <c r="AC189" s="60">
        <f t="shared" si="188"/>
        <v>13.43767417</v>
      </c>
      <c r="AD189" s="60">
        <f t="shared" si="188"/>
        <v>22.27106109</v>
      </c>
      <c r="AE189" s="60">
        <f t="shared" si="188"/>
        <v>29.9090836</v>
      </c>
      <c r="AF189" s="60">
        <f>IF(G189&gt;'Scope 3 Ratios'!$B$5,(G189-'Scope 3 Ratios'!$B$5)*('Scope 3 Ratios'!$B$6/'Scope 3 Ratios'!$B$5),0)</f>
        <v>510.3792</v>
      </c>
      <c r="AG189" s="60">
        <f>J189*IF(I189="SSD",'Scope 3 Ratios'!$B$9,'Scope 3 Ratios'!$B$8)</f>
        <v>400</v>
      </c>
      <c r="AH189" s="60">
        <f>IF(K189&lt;&gt;"N/A",K189*'Scope 3 Ratios'!$B$10,0)</f>
        <v>0</v>
      </c>
      <c r="AI189" s="60">
        <f>(VLOOKUP($E189,'AWS Platforms Ratios'!$A$2:$O$25,3,FALSE)-1)*'Scope 3 Ratios'!$B$7</f>
        <v>100</v>
      </c>
      <c r="AJ189" s="60">
        <f>'Scope 3 Ratios'!$B$2+AF189+AG189+AH189+AI189</f>
        <v>2010.3792</v>
      </c>
      <c r="AK189" s="60">
        <f>AJ189*'Scope 3 Ratios'!$B$4*(C189/D189)</f>
        <v>2.423778935</v>
      </c>
      <c r="AL189" s="61" t="s">
        <v>424</v>
      </c>
    </row>
    <row r="190" ht="15.0" customHeight="1">
      <c r="A190" s="56" t="s">
        <v>434</v>
      </c>
      <c r="B190" s="56" t="s">
        <v>296</v>
      </c>
      <c r="C190" s="56">
        <v>8.0</v>
      </c>
      <c r="D190" s="56">
        <f>VLOOKUP(E190,'AWS Platforms Ratios'!$A$2:$B$25,2,FALSE)</f>
        <v>96</v>
      </c>
      <c r="E190" s="57" t="s">
        <v>423</v>
      </c>
      <c r="F190" s="56">
        <v>32.0</v>
      </c>
      <c r="G190" s="56">
        <v>384.0</v>
      </c>
      <c r="H190" s="57" t="s">
        <v>150</v>
      </c>
      <c r="I190" s="56" t="s">
        <v>85</v>
      </c>
      <c r="J190" s="56">
        <v>4.0</v>
      </c>
      <c r="K190" s="58" t="s">
        <v>73</v>
      </c>
      <c r="L190" s="58" t="s">
        <v>73</v>
      </c>
      <c r="M190" s="58" t="s">
        <v>73</v>
      </c>
      <c r="N190" s="58" t="s">
        <v>73</v>
      </c>
      <c r="O190" s="59">
        <f>($C190/$D190)*VLOOKUP($E190,'AWS Platforms Ratios'!$A$2:$O$25,7,FALSE)</f>
        <v>3.870953912</v>
      </c>
      <c r="P190" s="59">
        <f>($C190/$D190)*VLOOKUP($E190,'AWS Platforms Ratios'!$A$2:$O$25,8,FALSE)</f>
        <v>10.60868167</v>
      </c>
      <c r="Q190" s="59">
        <f>($C190/$D190)*VLOOKUP($E190,'AWS Platforms Ratios'!$A$2:$O$25,9,FALSE)</f>
        <v>25.07545552</v>
      </c>
      <c r="R190" s="59">
        <f>($C190/$D190)*VLOOKUP($E190,'AWS Platforms Ratios'!$A$2:$O$25,10,FALSE)</f>
        <v>33.95150054</v>
      </c>
      <c r="S190" s="59">
        <f>$F190*VLOOKUP($E190,'AWS Platforms Ratios'!$A$2:$O$25,11,FALSE)</f>
        <v>6.4</v>
      </c>
      <c r="T190" s="59">
        <f>$F190*VLOOKUP($E190,'AWS Platforms Ratios'!$A$2:$O$25,12,FALSE)</f>
        <v>9.6</v>
      </c>
      <c r="U190" s="59">
        <f>$F190*VLOOKUP($E190,'AWS Platforms Ratios'!$A$2:$O$25,13,FALSE)</f>
        <v>12.8</v>
      </c>
      <c r="V190" s="59">
        <f>$F190*VLOOKUP($E190,'AWS Platforms Ratios'!$A$2:$O$25,14,FALSE)</f>
        <v>19.2</v>
      </c>
      <c r="W190" s="60">
        <f>IF($K190&lt;&gt;"N/A",$M190*(VLOOKUP($L190,'GPU Specs &amp; Ratios'!$B$2:$I$8,5,FALSE)),0)</f>
        <v>0</v>
      </c>
      <c r="X190" s="60">
        <f>IF($K190&lt;&gt;"N/A",$M190*(VLOOKUP($L190,'GPU Specs &amp; Ratios'!$B$2:$I$8,6,FALSE)),0)</f>
        <v>0</v>
      </c>
      <c r="Y190" s="60">
        <f>IF($K190&lt;&gt;"N/A",$M190*(VLOOKUP($L190,'GPU Specs &amp; Ratios'!$B$2:$I$8,7,FALSE)),0)</f>
        <v>0</v>
      </c>
      <c r="Z190" s="60">
        <f>IF($K190&lt;&gt;"N/A",$M190*(VLOOKUP($L190,'GPU Specs &amp; Ratios'!$B$2:$I$8,8,FALSE)),0)</f>
        <v>0</v>
      </c>
      <c r="AA190" s="60">
        <f>(C190/D190)*VLOOKUP($E190,'AWS Platforms Ratios'!$A$2:$O$25,15,FALSE)</f>
        <v>6.666666667</v>
      </c>
      <c r="AB190" s="60">
        <f t="shared" ref="AB190:AE190" si="189">O190+S190+W190+$AA190</f>
        <v>16.93762058</v>
      </c>
      <c r="AC190" s="60">
        <f t="shared" si="189"/>
        <v>26.87534834</v>
      </c>
      <c r="AD190" s="60">
        <f t="shared" si="189"/>
        <v>44.54212219</v>
      </c>
      <c r="AE190" s="60">
        <f t="shared" si="189"/>
        <v>59.8181672</v>
      </c>
      <c r="AF190" s="60">
        <f>IF(G190&gt;'Scope 3 Ratios'!$B$5,(G190-'Scope 3 Ratios'!$B$5)*('Scope 3 Ratios'!$B$6/'Scope 3 Ratios'!$B$5),0)</f>
        <v>510.3792</v>
      </c>
      <c r="AG190" s="60">
        <f>J190*IF(I190="SSD",'Scope 3 Ratios'!$B$9,'Scope 3 Ratios'!$B$8)</f>
        <v>400</v>
      </c>
      <c r="AH190" s="60">
        <f>IF(K190&lt;&gt;"N/A",K190*'Scope 3 Ratios'!$B$10,0)</f>
        <v>0</v>
      </c>
      <c r="AI190" s="60">
        <f>(VLOOKUP($E190,'AWS Platforms Ratios'!$A$2:$O$25,3,FALSE)-1)*'Scope 3 Ratios'!$B$7</f>
        <v>100</v>
      </c>
      <c r="AJ190" s="60">
        <f>'Scope 3 Ratios'!$B$2+AF190+AG190+AH190+AI190</f>
        <v>2010.3792</v>
      </c>
      <c r="AK190" s="60">
        <f>AJ190*'Scope 3 Ratios'!$B$4*(C190/D190)</f>
        <v>4.84755787</v>
      </c>
      <c r="AL190" s="61" t="s">
        <v>424</v>
      </c>
    </row>
    <row r="191" ht="15.0" customHeight="1">
      <c r="A191" s="56" t="s">
        <v>435</v>
      </c>
      <c r="B191" s="56" t="s">
        <v>296</v>
      </c>
      <c r="C191" s="56">
        <v>16.0</v>
      </c>
      <c r="D191" s="56">
        <f>VLOOKUP(E191,'AWS Platforms Ratios'!$A$2:$B$25,2,FALSE)</f>
        <v>96</v>
      </c>
      <c r="E191" s="57" t="s">
        <v>423</v>
      </c>
      <c r="F191" s="56">
        <v>64.0</v>
      </c>
      <c r="G191" s="56">
        <v>384.0</v>
      </c>
      <c r="H191" s="57" t="s">
        <v>152</v>
      </c>
      <c r="I191" s="56" t="s">
        <v>85</v>
      </c>
      <c r="J191" s="56">
        <v>4.0</v>
      </c>
      <c r="K191" s="58" t="s">
        <v>73</v>
      </c>
      <c r="L191" s="58" t="s">
        <v>73</v>
      </c>
      <c r="M191" s="58" t="s">
        <v>73</v>
      </c>
      <c r="N191" s="58" t="s">
        <v>73</v>
      </c>
      <c r="O191" s="59">
        <f>($C191/$D191)*VLOOKUP($E191,'AWS Platforms Ratios'!$A$2:$O$25,7,FALSE)</f>
        <v>7.741907824</v>
      </c>
      <c r="P191" s="59">
        <f>($C191/$D191)*VLOOKUP($E191,'AWS Platforms Ratios'!$A$2:$O$25,8,FALSE)</f>
        <v>21.21736334</v>
      </c>
      <c r="Q191" s="59">
        <f>($C191/$D191)*VLOOKUP($E191,'AWS Platforms Ratios'!$A$2:$O$25,9,FALSE)</f>
        <v>50.15091104</v>
      </c>
      <c r="R191" s="59">
        <f>($C191/$D191)*VLOOKUP($E191,'AWS Platforms Ratios'!$A$2:$O$25,10,FALSE)</f>
        <v>67.90300107</v>
      </c>
      <c r="S191" s="59">
        <f>$F191*VLOOKUP($E191,'AWS Platforms Ratios'!$A$2:$O$25,11,FALSE)</f>
        <v>12.8</v>
      </c>
      <c r="T191" s="59">
        <f>$F191*VLOOKUP($E191,'AWS Platforms Ratios'!$A$2:$O$25,12,FALSE)</f>
        <v>19.2</v>
      </c>
      <c r="U191" s="59">
        <f>$F191*VLOOKUP($E191,'AWS Platforms Ratios'!$A$2:$O$25,13,FALSE)</f>
        <v>25.6</v>
      </c>
      <c r="V191" s="59">
        <f>$F191*VLOOKUP($E191,'AWS Platforms Ratios'!$A$2:$O$25,14,FALSE)</f>
        <v>38.4</v>
      </c>
      <c r="W191" s="60">
        <f>IF($K191&lt;&gt;"N/A",$M191*(VLOOKUP($L191,'GPU Specs &amp; Ratios'!$B$2:$I$8,5,FALSE)),0)</f>
        <v>0</v>
      </c>
      <c r="X191" s="60">
        <f>IF($K191&lt;&gt;"N/A",$M191*(VLOOKUP($L191,'GPU Specs &amp; Ratios'!$B$2:$I$8,6,FALSE)),0)</f>
        <v>0</v>
      </c>
      <c r="Y191" s="60">
        <f>IF($K191&lt;&gt;"N/A",$M191*(VLOOKUP($L191,'GPU Specs &amp; Ratios'!$B$2:$I$8,7,FALSE)),0)</f>
        <v>0</v>
      </c>
      <c r="Z191" s="60">
        <f>IF($K191&lt;&gt;"N/A",$M191*(VLOOKUP($L191,'GPU Specs &amp; Ratios'!$B$2:$I$8,8,FALSE)),0)</f>
        <v>0</v>
      </c>
      <c r="AA191" s="60">
        <f>(C191/D191)*VLOOKUP($E191,'AWS Platforms Ratios'!$A$2:$O$25,15,FALSE)</f>
        <v>13.33333333</v>
      </c>
      <c r="AB191" s="60">
        <f t="shared" ref="AB191:AE191" si="190">O191+S191+W191+$AA191</f>
        <v>33.87524116</v>
      </c>
      <c r="AC191" s="60">
        <f t="shared" si="190"/>
        <v>53.75069668</v>
      </c>
      <c r="AD191" s="60">
        <f t="shared" si="190"/>
        <v>89.08424437</v>
      </c>
      <c r="AE191" s="60">
        <f t="shared" si="190"/>
        <v>119.6363344</v>
      </c>
      <c r="AF191" s="60">
        <f>IF(G191&gt;'Scope 3 Ratios'!$B$5,(G191-'Scope 3 Ratios'!$B$5)*('Scope 3 Ratios'!$B$6/'Scope 3 Ratios'!$B$5),0)</f>
        <v>510.3792</v>
      </c>
      <c r="AG191" s="60">
        <f>J191*IF(I191="SSD",'Scope 3 Ratios'!$B$9,'Scope 3 Ratios'!$B$8)</f>
        <v>400</v>
      </c>
      <c r="AH191" s="60">
        <f>IF(K191&lt;&gt;"N/A",K191*'Scope 3 Ratios'!$B$10,0)</f>
        <v>0</v>
      </c>
      <c r="AI191" s="60">
        <f>(VLOOKUP($E191,'AWS Platforms Ratios'!$A$2:$O$25,3,FALSE)-1)*'Scope 3 Ratios'!$B$7</f>
        <v>100</v>
      </c>
      <c r="AJ191" s="60">
        <f>'Scope 3 Ratios'!$B$2+AF191+AG191+AH191+AI191</f>
        <v>2010.3792</v>
      </c>
      <c r="AK191" s="60">
        <f>AJ191*'Scope 3 Ratios'!$B$4*(C191/D191)</f>
        <v>9.695115741</v>
      </c>
      <c r="AL191" s="61" t="s">
        <v>424</v>
      </c>
    </row>
    <row r="192" ht="15.0" customHeight="1">
      <c r="A192" s="56" t="s">
        <v>436</v>
      </c>
      <c r="B192" s="56" t="s">
        <v>296</v>
      </c>
      <c r="C192" s="56">
        <v>32.0</v>
      </c>
      <c r="D192" s="56">
        <f>VLOOKUP(E192,'AWS Platforms Ratios'!$A$2:$B$25,2,FALSE)</f>
        <v>96</v>
      </c>
      <c r="E192" s="57" t="s">
        <v>423</v>
      </c>
      <c r="F192" s="56">
        <v>128.0</v>
      </c>
      <c r="G192" s="56">
        <v>384.0</v>
      </c>
      <c r="H192" s="57" t="s">
        <v>154</v>
      </c>
      <c r="I192" s="56" t="s">
        <v>85</v>
      </c>
      <c r="J192" s="56">
        <v>4.0</v>
      </c>
      <c r="K192" s="58" t="s">
        <v>73</v>
      </c>
      <c r="L192" s="58" t="s">
        <v>73</v>
      </c>
      <c r="M192" s="58" t="s">
        <v>73</v>
      </c>
      <c r="N192" s="58" t="s">
        <v>73</v>
      </c>
      <c r="O192" s="59">
        <f>($C192/$D192)*VLOOKUP($E192,'AWS Platforms Ratios'!$A$2:$O$25,7,FALSE)</f>
        <v>15.48381565</v>
      </c>
      <c r="P192" s="59">
        <f>($C192/$D192)*VLOOKUP($E192,'AWS Platforms Ratios'!$A$2:$O$25,8,FALSE)</f>
        <v>42.43472669</v>
      </c>
      <c r="Q192" s="59">
        <f>($C192/$D192)*VLOOKUP($E192,'AWS Platforms Ratios'!$A$2:$O$25,9,FALSE)</f>
        <v>100.3018221</v>
      </c>
      <c r="R192" s="59">
        <f>($C192/$D192)*VLOOKUP($E192,'AWS Platforms Ratios'!$A$2:$O$25,10,FALSE)</f>
        <v>135.8060021</v>
      </c>
      <c r="S192" s="59">
        <f>$F192*VLOOKUP($E192,'AWS Platforms Ratios'!$A$2:$O$25,11,FALSE)</f>
        <v>25.6</v>
      </c>
      <c r="T192" s="59">
        <f>$F192*VLOOKUP($E192,'AWS Platforms Ratios'!$A$2:$O$25,12,FALSE)</f>
        <v>38.4</v>
      </c>
      <c r="U192" s="59">
        <f>$F192*VLOOKUP($E192,'AWS Platforms Ratios'!$A$2:$O$25,13,FALSE)</f>
        <v>51.2</v>
      </c>
      <c r="V192" s="59">
        <f>$F192*VLOOKUP($E192,'AWS Platforms Ratios'!$A$2:$O$25,14,FALSE)</f>
        <v>76.8</v>
      </c>
      <c r="W192" s="60">
        <f>IF($K192&lt;&gt;"N/A",$M192*(VLOOKUP($L192,'GPU Specs &amp; Ratios'!$B$2:$I$8,5,FALSE)),0)</f>
        <v>0</v>
      </c>
      <c r="X192" s="60">
        <f>IF($K192&lt;&gt;"N/A",$M192*(VLOOKUP($L192,'GPU Specs &amp; Ratios'!$B$2:$I$8,6,FALSE)),0)</f>
        <v>0</v>
      </c>
      <c r="Y192" s="60">
        <f>IF($K192&lt;&gt;"N/A",$M192*(VLOOKUP($L192,'GPU Specs &amp; Ratios'!$B$2:$I$8,7,FALSE)),0)</f>
        <v>0</v>
      </c>
      <c r="Z192" s="60">
        <f>IF($K192&lt;&gt;"N/A",$M192*(VLOOKUP($L192,'GPU Specs &amp; Ratios'!$B$2:$I$8,8,FALSE)),0)</f>
        <v>0</v>
      </c>
      <c r="AA192" s="60">
        <f>(C192/D192)*VLOOKUP($E192,'AWS Platforms Ratios'!$A$2:$O$25,15,FALSE)</f>
        <v>26.66666667</v>
      </c>
      <c r="AB192" s="60">
        <f t="shared" ref="AB192:AE192" si="191">O192+S192+W192+$AA192</f>
        <v>67.75048232</v>
      </c>
      <c r="AC192" s="60">
        <f t="shared" si="191"/>
        <v>107.5013934</v>
      </c>
      <c r="AD192" s="60">
        <f t="shared" si="191"/>
        <v>178.1684887</v>
      </c>
      <c r="AE192" s="60">
        <f t="shared" si="191"/>
        <v>239.2726688</v>
      </c>
      <c r="AF192" s="60">
        <f>IF(G192&gt;'Scope 3 Ratios'!$B$5,(G192-'Scope 3 Ratios'!$B$5)*('Scope 3 Ratios'!$B$6/'Scope 3 Ratios'!$B$5),0)</f>
        <v>510.3792</v>
      </c>
      <c r="AG192" s="60">
        <f>J192*IF(I192="SSD",'Scope 3 Ratios'!$B$9,'Scope 3 Ratios'!$B$8)</f>
        <v>400</v>
      </c>
      <c r="AH192" s="60">
        <f>IF(K192&lt;&gt;"N/A",K192*'Scope 3 Ratios'!$B$10,0)</f>
        <v>0</v>
      </c>
      <c r="AI192" s="60">
        <f>(VLOOKUP($E192,'AWS Platforms Ratios'!$A$2:$O$25,3,FALSE)-1)*'Scope 3 Ratios'!$B$7</f>
        <v>100</v>
      </c>
      <c r="AJ192" s="60">
        <f>'Scope 3 Ratios'!$B$2+AF192+AG192+AH192+AI192</f>
        <v>2010.3792</v>
      </c>
      <c r="AK192" s="60">
        <f>AJ192*'Scope 3 Ratios'!$B$4*(C192/D192)</f>
        <v>19.39023148</v>
      </c>
      <c r="AL192" s="61" t="s">
        <v>424</v>
      </c>
    </row>
    <row r="193" ht="15.0" customHeight="1">
      <c r="A193" s="56" t="s">
        <v>437</v>
      </c>
      <c r="B193" s="56" t="s">
        <v>296</v>
      </c>
      <c r="C193" s="56">
        <v>48.0</v>
      </c>
      <c r="D193" s="56">
        <f>VLOOKUP(E193,'AWS Platforms Ratios'!$A$2:$B$25,2,FALSE)</f>
        <v>96</v>
      </c>
      <c r="E193" s="57" t="s">
        <v>423</v>
      </c>
      <c r="F193" s="56">
        <v>192.0</v>
      </c>
      <c r="G193" s="56">
        <v>384.0</v>
      </c>
      <c r="H193" s="57" t="s">
        <v>156</v>
      </c>
      <c r="I193" s="56" t="s">
        <v>85</v>
      </c>
      <c r="J193" s="56">
        <v>4.0</v>
      </c>
      <c r="K193" s="58" t="s">
        <v>73</v>
      </c>
      <c r="L193" s="58" t="s">
        <v>73</v>
      </c>
      <c r="M193" s="58" t="s">
        <v>73</v>
      </c>
      <c r="N193" s="58" t="s">
        <v>73</v>
      </c>
      <c r="O193" s="59">
        <f>($C193/$D193)*VLOOKUP($E193,'AWS Platforms Ratios'!$A$2:$O$25,7,FALSE)</f>
        <v>23.22572347</v>
      </c>
      <c r="P193" s="59">
        <f>($C193/$D193)*VLOOKUP($E193,'AWS Platforms Ratios'!$A$2:$O$25,8,FALSE)</f>
        <v>63.65209003</v>
      </c>
      <c r="Q193" s="59">
        <f>($C193/$D193)*VLOOKUP($E193,'AWS Platforms Ratios'!$A$2:$O$25,9,FALSE)</f>
        <v>150.4527331</v>
      </c>
      <c r="R193" s="59">
        <f>($C193/$D193)*VLOOKUP($E193,'AWS Platforms Ratios'!$A$2:$O$25,10,FALSE)</f>
        <v>203.7090032</v>
      </c>
      <c r="S193" s="59">
        <f>$F193*VLOOKUP($E193,'AWS Platforms Ratios'!$A$2:$O$25,11,FALSE)</f>
        <v>38.4</v>
      </c>
      <c r="T193" s="59">
        <f>$F193*VLOOKUP($E193,'AWS Platforms Ratios'!$A$2:$O$25,12,FALSE)</f>
        <v>57.6</v>
      </c>
      <c r="U193" s="59">
        <f>$F193*VLOOKUP($E193,'AWS Platforms Ratios'!$A$2:$O$25,13,FALSE)</f>
        <v>76.8</v>
      </c>
      <c r="V193" s="59">
        <f>$F193*VLOOKUP($E193,'AWS Platforms Ratios'!$A$2:$O$25,14,FALSE)</f>
        <v>115.2</v>
      </c>
      <c r="W193" s="60">
        <f>IF($K193&lt;&gt;"N/A",$M193*(VLOOKUP($L193,'GPU Specs &amp; Ratios'!$B$2:$I$8,5,FALSE)),0)</f>
        <v>0</v>
      </c>
      <c r="X193" s="60">
        <f>IF($K193&lt;&gt;"N/A",$M193*(VLOOKUP($L193,'GPU Specs &amp; Ratios'!$B$2:$I$8,6,FALSE)),0)</f>
        <v>0</v>
      </c>
      <c r="Y193" s="60">
        <f>IF($K193&lt;&gt;"N/A",$M193*(VLOOKUP($L193,'GPU Specs &amp; Ratios'!$B$2:$I$8,7,FALSE)),0)</f>
        <v>0</v>
      </c>
      <c r="Z193" s="60">
        <f>IF($K193&lt;&gt;"N/A",$M193*(VLOOKUP($L193,'GPU Specs &amp; Ratios'!$B$2:$I$8,8,FALSE)),0)</f>
        <v>0</v>
      </c>
      <c r="AA193" s="60">
        <f>(C193/D193)*VLOOKUP($E193,'AWS Platforms Ratios'!$A$2:$O$25,15,FALSE)</f>
        <v>40</v>
      </c>
      <c r="AB193" s="60">
        <f t="shared" ref="AB193:AE193" si="192">O193+S193+W193+$AA193</f>
        <v>101.6257235</v>
      </c>
      <c r="AC193" s="60">
        <f t="shared" si="192"/>
        <v>161.25209</v>
      </c>
      <c r="AD193" s="60">
        <f t="shared" si="192"/>
        <v>267.2527331</v>
      </c>
      <c r="AE193" s="60">
        <f t="shared" si="192"/>
        <v>358.9090032</v>
      </c>
      <c r="AF193" s="60">
        <f>IF(G193&gt;'Scope 3 Ratios'!$B$5,(G193-'Scope 3 Ratios'!$B$5)*('Scope 3 Ratios'!$B$6/'Scope 3 Ratios'!$B$5),0)</f>
        <v>510.3792</v>
      </c>
      <c r="AG193" s="60">
        <f>J193*IF(I193="SSD",'Scope 3 Ratios'!$B$9,'Scope 3 Ratios'!$B$8)</f>
        <v>400</v>
      </c>
      <c r="AH193" s="60">
        <f>IF(K193&lt;&gt;"N/A",K193*'Scope 3 Ratios'!$B$10,0)</f>
        <v>0</v>
      </c>
      <c r="AI193" s="60">
        <f>(VLOOKUP($E193,'AWS Platforms Ratios'!$A$2:$O$25,3,FALSE)-1)*'Scope 3 Ratios'!$B$7</f>
        <v>100</v>
      </c>
      <c r="AJ193" s="60">
        <f>'Scope 3 Ratios'!$B$2+AF193+AG193+AH193+AI193</f>
        <v>2010.3792</v>
      </c>
      <c r="AK193" s="60">
        <f>AJ193*'Scope 3 Ratios'!$B$4*(C193/D193)</f>
        <v>29.08534722</v>
      </c>
      <c r="AL193" s="61" t="s">
        <v>424</v>
      </c>
    </row>
    <row r="194" ht="15.0" customHeight="1">
      <c r="A194" s="56" t="s">
        <v>438</v>
      </c>
      <c r="B194" s="56" t="s">
        <v>296</v>
      </c>
      <c r="C194" s="56">
        <v>64.0</v>
      </c>
      <c r="D194" s="56">
        <f>VLOOKUP(E194,'AWS Platforms Ratios'!$A$2:$B$25,2,FALSE)</f>
        <v>96</v>
      </c>
      <c r="E194" s="57" t="s">
        <v>423</v>
      </c>
      <c r="F194" s="56">
        <v>256.0</v>
      </c>
      <c r="G194" s="56">
        <v>384.0</v>
      </c>
      <c r="H194" s="57" t="s">
        <v>439</v>
      </c>
      <c r="I194" s="56" t="s">
        <v>85</v>
      </c>
      <c r="J194" s="56">
        <v>4.0</v>
      </c>
      <c r="K194" s="58" t="s">
        <v>73</v>
      </c>
      <c r="L194" s="58" t="s">
        <v>73</v>
      </c>
      <c r="M194" s="58" t="s">
        <v>73</v>
      </c>
      <c r="N194" s="58" t="s">
        <v>73</v>
      </c>
      <c r="O194" s="59">
        <f>($C194/$D194)*VLOOKUP($E194,'AWS Platforms Ratios'!$A$2:$O$25,7,FALSE)</f>
        <v>30.9676313</v>
      </c>
      <c r="P194" s="59">
        <f>($C194/$D194)*VLOOKUP($E194,'AWS Platforms Ratios'!$A$2:$O$25,8,FALSE)</f>
        <v>84.86945338</v>
      </c>
      <c r="Q194" s="59">
        <f>($C194/$D194)*VLOOKUP($E194,'AWS Platforms Ratios'!$A$2:$O$25,9,FALSE)</f>
        <v>200.6036442</v>
      </c>
      <c r="R194" s="59">
        <f>($C194/$D194)*VLOOKUP($E194,'AWS Platforms Ratios'!$A$2:$O$25,10,FALSE)</f>
        <v>271.6120043</v>
      </c>
      <c r="S194" s="59">
        <f>$F194*VLOOKUP($E194,'AWS Platforms Ratios'!$A$2:$O$25,11,FALSE)</f>
        <v>51.2</v>
      </c>
      <c r="T194" s="59">
        <f>$F194*VLOOKUP($E194,'AWS Platforms Ratios'!$A$2:$O$25,12,FALSE)</f>
        <v>76.8</v>
      </c>
      <c r="U194" s="59">
        <f>$F194*VLOOKUP($E194,'AWS Platforms Ratios'!$A$2:$O$25,13,FALSE)</f>
        <v>102.4</v>
      </c>
      <c r="V194" s="59">
        <f>$F194*VLOOKUP($E194,'AWS Platforms Ratios'!$A$2:$O$25,14,FALSE)</f>
        <v>153.6</v>
      </c>
      <c r="W194" s="60">
        <f>IF($K194&lt;&gt;"N/A",$M194*(VLOOKUP($L194,'GPU Specs &amp; Ratios'!$B$2:$I$8,5,FALSE)),0)</f>
        <v>0</v>
      </c>
      <c r="X194" s="60">
        <f>IF($K194&lt;&gt;"N/A",$M194*(VLOOKUP($L194,'GPU Specs &amp; Ratios'!$B$2:$I$8,6,FALSE)),0)</f>
        <v>0</v>
      </c>
      <c r="Y194" s="60">
        <f>IF($K194&lt;&gt;"N/A",$M194*(VLOOKUP($L194,'GPU Specs &amp; Ratios'!$B$2:$I$8,7,FALSE)),0)</f>
        <v>0</v>
      </c>
      <c r="Z194" s="60">
        <f>IF($K194&lt;&gt;"N/A",$M194*(VLOOKUP($L194,'GPU Specs &amp; Ratios'!$B$2:$I$8,8,FALSE)),0)</f>
        <v>0</v>
      </c>
      <c r="AA194" s="60">
        <f>(C194/D194)*VLOOKUP($E194,'AWS Platforms Ratios'!$A$2:$O$25,15,FALSE)</f>
        <v>53.33333333</v>
      </c>
      <c r="AB194" s="60">
        <f t="shared" ref="AB194:AE194" si="193">O194+S194+W194+$AA194</f>
        <v>135.5009646</v>
      </c>
      <c r="AC194" s="60">
        <f t="shared" si="193"/>
        <v>215.0027867</v>
      </c>
      <c r="AD194" s="60">
        <f t="shared" si="193"/>
        <v>356.3369775</v>
      </c>
      <c r="AE194" s="60">
        <f t="shared" si="193"/>
        <v>478.5453376</v>
      </c>
      <c r="AF194" s="60">
        <f>IF(G194&gt;'Scope 3 Ratios'!$B$5,(G194-'Scope 3 Ratios'!$B$5)*('Scope 3 Ratios'!$B$6/'Scope 3 Ratios'!$B$5),0)</f>
        <v>510.3792</v>
      </c>
      <c r="AG194" s="60">
        <f>J194*IF(I194="SSD",'Scope 3 Ratios'!$B$9,'Scope 3 Ratios'!$B$8)</f>
        <v>400</v>
      </c>
      <c r="AH194" s="60">
        <f>IF(K194&lt;&gt;"N/A",K194*'Scope 3 Ratios'!$B$10,0)</f>
        <v>0</v>
      </c>
      <c r="AI194" s="60">
        <f>(VLOOKUP($E194,'AWS Platforms Ratios'!$A$2:$O$25,3,FALSE)-1)*'Scope 3 Ratios'!$B$7</f>
        <v>100</v>
      </c>
      <c r="AJ194" s="60">
        <f>'Scope 3 Ratios'!$B$2+AF194+AG194+AH194+AI194</f>
        <v>2010.3792</v>
      </c>
      <c r="AK194" s="60">
        <f>AJ194*'Scope 3 Ratios'!$B$4*(C194/D194)</f>
        <v>38.78046296</v>
      </c>
      <c r="AL194" s="61" t="s">
        <v>424</v>
      </c>
    </row>
    <row r="195" ht="15.0" customHeight="1">
      <c r="A195" s="56" t="s">
        <v>440</v>
      </c>
      <c r="B195" s="56" t="s">
        <v>296</v>
      </c>
      <c r="C195" s="56">
        <v>96.0</v>
      </c>
      <c r="D195" s="56">
        <f>VLOOKUP(E195,'AWS Platforms Ratios'!$A$2:$B$25,2,FALSE)</f>
        <v>96</v>
      </c>
      <c r="E195" s="57" t="s">
        <v>423</v>
      </c>
      <c r="F195" s="56">
        <v>384.0</v>
      </c>
      <c r="G195" s="56">
        <v>384.0</v>
      </c>
      <c r="H195" s="57" t="s">
        <v>176</v>
      </c>
      <c r="I195" s="56" t="s">
        <v>85</v>
      </c>
      <c r="J195" s="56">
        <v>4.0</v>
      </c>
      <c r="K195" s="58" t="s">
        <v>73</v>
      </c>
      <c r="L195" s="58" t="s">
        <v>73</v>
      </c>
      <c r="M195" s="58" t="s">
        <v>73</v>
      </c>
      <c r="N195" s="58" t="s">
        <v>73</v>
      </c>
      <c r="O195" s="59">
        <f>($C195/$D195)*VLOOKUP($E195,'AWS Platforms Ratios'!$A$2:$O$25,7,FALSE)</f>
        <v>46.45144695</v>
      </c>
      <c r="P195" s="59">
        <f>($C195/$D195)*VLOOKUP($E195,'AWS Platforms Ratios'!$A$2:$O$25,8,FALSE)</f>
        <v>127.3041801</v>
      </c>
      <c r="Q195" s="59">
        <f>($C195/$D195)*VLOOKUP($E195,'AWS Platforms Ratios'!$A$2:$O$25,9,FALSE)</f>
        <v>300.9054662</v>
      </c>
      <c r="R195" s="59">
        <f>($C195/$D195)*VLOOKUP($E195,'AWS Platforms Ratios'!$A$2:$O$25,10,FALSE)</f>
        <v>407.4180064</v>
      </c>
      <c r="S195" s="59">
        <f>$F195*VLOOKUP($E195,'AWS Platforms Ratios'!$A$2:$O$25,11,FALSE)</f>
        <v>76.8</v>
      </c>
      <c r="T195" s="59">
        <f>$F195*VLOOKUP($E195,'AWS Platforms Ratios'!$A$2:$O$25,12,FALSE)</f>
        <v>115.2</v>
      </c>
      <c r="U195" s="59">
        <f>$F195*VLOOKUP($E195,'AWS Platforms Ratios'!$A$2:$O$25,13,FALSE)</f>
        <v>153.6</v>
      </c>
      <c r="V195" s="59">
        <f>$F195*VLOOKUP($E195,'AWS Platforms Ratios'!$A$2:$O$25,14,FALSE)</f>
        <v>230.4</v>
      </c>
      <c r="W195" s="60">
        <f>IF($K195&lt;&gt;"N/A",$M195*(VLOOKUP($L195,'GPU Specs &amp; Ratios'!$B$2:$I$8,5,FALSE)),0)</f>
        <v>0</v>
      </c>
      <c r="X195" s="60">
        <f>IF($K195&lt;&gt;"N/A",$M195*(VLOOKUP($L195,'GPU Specs &amp; Ratios'!$B$2:$I$8,6,FALSE)),0)</f>
        <v>0</v>
      </c>
      <c r="Y195" s="60">
        <f>IF($K195&lt;&gt;"N/A",$M195*(VLOOKUP($L195,'GPU Specs &amp; Ratios'!$B$2:$I$8,7,FALSE)),0)</f>
        <v>0</v>
      </c>
      <c r="Z195" s="60">
        <f>IF($K195&lt;&gt;"N/A",$M195*(VLOOKUP($L195,'GPU Specs &amp; Ratios'!$B$2:$I$8,8,FALSE)),0)</f>
        <v>0</v>
      </c>
      <c r="AA195" s="60">
        <f>(C195/D195)*VLOOKUP($E195,'AWS Platforms Ratios'!$A$2:$O$25,15,FALSE)</f>
        <v>80</v>
      </c>
      <c r="AB195" s="60">
        <f t="shared" ref="AB195:AE195" si="194">O195+S195+W195+$AA195</f>
        <v>203.2514469</v>
      </c>
      <c r="AC195" s="60">
        <f t="shared" si="194"/>
        <v>322.5041801</v>
      </c>
      <c r="AD195" s="60">
        <f t="shared" si="194"/>
        <v>534.5054662</v>
      </c>
      <c r="AE195" s="60">
        <f t="shared" si="194"/>
        <v>717.8180064</v>
      </c>
      <c r="AF195" s="60">
        <f>IF(G195&gt;'Scope 3 Ratios'!$B$5,(G195-'Scope 3 Ratios'!$B$5)*('Scope 3 Ratios'!$B$6/'Scope 3 Ratios'!$B$5),0)</f>
        <v>510.3792</v>
      </c>
      <c r="AG195" s="60">
        <f>J195*IF(I195="SSD",'Scope 3 Ratios'!$B$9,'Scope 3 Ratios'!$B$8)</f>
        <v>400</v>
      </c>
      <c r="AH195" s="60">
        <f>IF(K195&lt;&gt;"N/A",K195*'Scope 3 Ratios'!$B$10,0)</f>
        <v>0</v>
      </c>
      <c r="AI195" s="60">
        <f>(VLOOKUP($E195,'AWS Platforms Ratios'!$A$2:$O$25,3,FALSE)-1)*'Scope 3 Ratios'!$B$7</f>
        <v>100</v>
      </c>
      <c r="AJ195" s="60">
        <f>'Scope 3 Ratios'!$B$2+AF195+AG195+AH195+AI195</f>
        <v>2010.3792</v>
      </c>
      <c r="AK195" s="60">
        <f>AJ195*'Scope 3 Ratios'!$B$4*(C195/D195)</f>
        <v>58.17069444</v>
      </c>
      <c r="AL195" s="61" t="s">
        <v>424</v>
      </c>
    </row>
    <row r="196" ht="15.0" customHeight="1">
      <c r="A196" s="56" t="s">
        <v>441</v>
      </c>
      <c r="B196" s="56" t="s">
        <v>442</v>
      </c>
      <c r="C196" s="56">
        <v>2.0</v>
      </c>
      <c r="D196" s="56">
        <f>VLOOKUP(E196,'AWS Platforms Ratios'!$A$2:$B$25,2,FALSE)</f>
        <v>96</v>
      </c>
      <c r="E196" s="57" t="s">
        <v>350</v>
      </c>
      <c r="F196" s="56">
        <v>8.0</v>
      </c>
      <c r="G196" s="56">
        <v>384.0</v>
      </c>
      <c r="H196" s="57" t="s">
        <v>146</v>
      </c>
      <c r="I196" s="56" t="s">
        <v>85</v>
      </c>
      <c r="J196" s="56">
        <v>4.0</v>
      </c>
      <c r="K196" s="58" t="s">
        <v>73</v>
      </c>
      <c r="L196" s="58" t="s">
        <v>73</v>
      </c>
      <c r="M196" s="58" t="s">
        <v>73</v>
      </c>
      <c r="N196" s="58" t="s">
        <v>73</v>
      </c>
      <c r="O196" s="59">
        <f>($C196/$D196)*VLOOKUP($E196,'AWS Platforms Ratios'!$A$2:$O$25,7,FALSE)</f>
        <v>1.205833333</v>
      </c>
      <c r="P196" s="59">
        <f>($C196/$D196)*VLOOKUP($E196,'AWS Platforms Ratios'!$A$2:$O$25,8,FALSE)</f>
        <v>3.054791667</v>
      </c>
      <c r="Q196" s="59">
        <f>($C196/$D196)*VLOOKUP($E196,'AWS Platforms Ratios'!$A$2:$O$25,9,FALSE)</f>
        <v>7.160416667</v>
      </c>
      <c r="R196" s="59">
        <f>($C196/$D196)*VLOOKUP($E196,'AWS Platforms Ratios'!$A$2:$O$25,10,FALSE)</f>
        <v>9.9578125</v>
      </c>
      <c r="S196" s="59">
        <f>$F196*VLOOKUP($E196,'AWS Platforms Ratios'!$A$2:$O$25,11,FALSE)</f>
        <v>1.204375</v>
      </c>
      <c r="T196" s="59">
        <f>$F196*VLOOKUP($E196,'AWS Platforms Ratios'!$A$2:$O$25,12,FALSE)</f>
        <v>1.924791667</v>
      </c>
      <c r="U196" s="59">
        <f>$F196*VLOOKUP($E196,'AWS Platforms Ratios'!$A$2:$O$25,13,FALSE)</f>
        <v>4.960416667</v>
      </c>
      <c r="V196" s="59">
        <f>$F196*VLOOKUP($E196,'AWS Platforms Ratios'!$A$2:$O$25,14,FALSE)</f>
        <v>7.996041667</v>
      </c>
      <c r="W196" s="60">
        <f>IF($K196&lt;&gt;"N/A",$M196*(VLOOKUP($L196,'GPU Specs &amp; Ratios'!$B$2:$I$8,5,FALSE)),0)</f>
        <v>0</v>
      </c>
      <c r="X196" s="60">
        <f>IF($K196&lt;&gt;"N/A",$M196*(VLOOKUP($L196,'GPU Specs &amp; Ratios'!$B$2:$I$8,6,FALSE)),0)</f>
        <v>0</v>
      </c>
      <c r="Y196" s="60">
        <f>IF($K196&lt;&gt;"N/A",$M196*(VLOOKUP($L196,'GPU Specs &amp; Ratios'!$B$2:$I$8,7,FALSE)),0)</f>
        <v>0</v>
      </c>
      <c r="Z196" s="60">
        <f>IF($K196&lt;&gt;"N/A",$M196*(VLOOKUP($L196,'GPU Specs &amp; Ratios'!$B$2:$I$8,8,FALSE)),0)</f>
        <v>0</v>
      </c>
      <c r="AA196" s="60">
        <f>(C196/D196)*VLOOKUP($E196,'AWS Platforms Ratios'!$A$2:$O$25,15,FALSE)</f>
        <v>2</v>
      </c>
      <c r="AB196" s="60">
        <f t="shared" ref="AB196:AE196" si="195">O196+S196+W196+$AA196</f>
        <v>4.410208333</v>
      </c>
      <c r="AC196" s="60">
        <f t="shared" si="195"/>
        <v>6.979583333</v>
      </c>
      <c r="AD196" s="60">
        <f t="shared" si="195"/>
        <v>14.12083333</v>
      </c>
      <c r="AE196" s="60">
        <f t="shared" si="195"/>
        <v>19.95385417</v>
      </c>
      <c r="AF196" s="60">
        <f>IF(G196&gt;'Scope 3 Ratios'!$B$5,(G196-'Scope 3 Ratios'!$B$5)*('Scope 3 Ratios'!$B$6/'Scope 3 Ratios'!$B$5),0)</f>
        <v>510.3792</v>
      </c>
      <c r="AG196" s="60">
        <f>J196*IF(I196="SSD",'Scope 3 Ratios'!$B$9,'Scope 3 Ratios'!$B$8)</f>
        <v>400</v>
      </c>
      <c r="AH196" s="60">
        <f>IF(K196&lt;&gt;"N/A",K196*'Scope 3 Ratios'!$B$10,0)</f>
        <v>0</v>
      </c>
      <c r="AI196" s="60">
        <f>(VLOOKUP($E196,'AWS Platforms Ratios'!$A$2:$O$25,3,FALSE)-1)*'Scope 3 Ratios'!$B$7</f>
        <v>100</v>
      </c>
      <c r="AJ196" s="60">
        <f>'Scope 3 Ratios'!$B$2+AF196+AG196+AH196+AI196</f>
        <v>2010.3792</v>
      </c>
      <c r="AK196" s="60">
        <f>AJ196*'Scope 3 Ratios'!$B$4*(C196/D196)</f>
        <v>1.211889468</v>
      </c>
      <c r="AL196" s="61" t="s">
        <v>412</v>
      </c>
    </row>
    <row r="197" ht="15.0" customHeight="1">
      <c r="A197" s="56" t="s">
        <v>443</v>
      </c>
      <c r="B197" s="56" t="s">
        <v>442</v>
      </c>
      <c r="C197" s="56">
        <v>4.0</v>
      </c>
      <c r="D197" s="56">
        <f>VLOOKUP(E197,'AWS Platforms Ratios'!$A$2:$B$25,2,FALSE)</f>
        <v>96</v>
      </c>
      <c r="E197" s="57" t="s">
        <v>350</v>
      </c>
      <c r="F197" s="56">
        <v>16.0</v>
      </c>
      <c r="G197" s="56">
        <v>384.0</v>
      </c>
      <c r="H197" s="57" t="s">
        <v>148</v>
      </c>
      <c r="I197" s="56" t="s">
        <v>85</v>
      </c>
      <c r="J197" s="56">
        <v>4.0</v>
      </c>
      <c r="K197" s="58" t="s">
        <v>73</v>
      </c>
      <c r="L197" s="58" t="s">
        <v>73</v>
      </c>
      <c r="M197" s="58" t="s">
        <v>73</v>
      </c>
      <c r="N197" s="58" t="s">
        <v>73</v>
      </c>
      <c r="O197" s="59">
        <f>($C197/$D197)*VLOOKUP($E197,'AWS Platforms Ratios'!$A$2:$O$25,7,FALSE)</f>
        <v>2.411666667</v>
      </c>
      <c r="P197" s="59">
        <f>($C197/$D197)*VLOOKUP($E197,'AWS Platforms Ratios'!$A$2:$O$25,8,FALSE)</f>
        <v>6.109583333</v>
      </c>
      <c r="Q197" s="59">
        <f>($C197/$D197)*VLOOKUP($E197,'AWS Platforms Ratios'!$A$2:$O$25,9,FALSE)</f>
        <v>14.32083333</v>
      </c>
      <c r="R197" s="59">
        <f>($C197/$D197)*VLOOKUP($E197,'AWS Platforms Ratios'!$A$2:$O$25,10,FALSE)</f>
        <v>19.915625</v>
      </c>
      <c r="S197" s="59">
        <f>$F197*VLOOKUP($E197,'AWS Platforms Ratios'!$A$2:$O$25,11,FALSE)</f>
        <v>2.40875</v>
      </c>
      <c r="T197" s="59">
        <f>$F197*VLOOKUP($E197,'AWS Platforms Ratios'!$A$2:$O$25,12,FALSE)</f>
        <v>3.849583333</v>
      </c>
      <c r="U197" s="59">
        <f>$F197*VLOOKUP($E197,'AWS Platforms Ratios'!$A$2:$O$25,13,FALSE)</f>
        <v>9.920833333</v>
      </c>
      <c r="V197" s="59">
        <f>$F197*VLOOKUP($E197,'AWS Platforms Ratios'!$A$2:$O$25,14,FALSE)</f>
        <v>15.99208333</v>
      </c>
      <c r="W197" s="60">
        <f>IF($K197&lt;&gt;"N/A",$M197*(VLOOKUP($L197,'GPU Specs &amp; Ratios'!$B$2:$I$8,5,FALSE)),0)</f>
        <v>0</v>
      </c>
      <c r="X197" s="60">
        <f>IF($K197&lt;&gt;"N/A",$M197*(VLOOKUP($L197,'GPU Specs &amp; Ratios'!$B$2:$I$8,6,FALSE)),0)</f>
        <v>0</v>
      </c>
      <c r="Y197" s="60">
        <f>IF($K197&lt;&gt;"N/A",$M197*(VLOOKUP($L197,'GPU Specs &amp; Ratios'!$B$2:$I$8,7,FALSE)),0)</f>
        <v>0</v>
      </c>
      <c r="Z197" s="60">
        <f>IF($K197&lt;&gt;"N/A",$M197*(VLOOKUP($L197,'GPU Specs &amp; Ratios'!$B$2:$I$8,8,FALSE)),0)</f>
        <v>0</v>
      </c>
      <c r="AA197" s="60">
        <f>(C197/D197)*VLOOKUP($E197,'AWS Platforms Ratios'!$A$2:$O$25,15,FALSE)</f>
        <v>4</v>
      </c>
      <c r="AB197" s="60">
        <f t="shared" ref="AB197:AE197" si="196">O197+S197+W197+$AA197</f>
        <v>8.820416667</v>
      </c>
      <c r="AC197" s="60">
        <f t="shared" si="196"/>
        <v>13.95916667</v>
      </c>
      <c r="AD197" s="60">
        <f t="shared" si="196"/>
        <v>28.24166667</v>
      </c>
      <c r="AE197" s="60">
        <f t="shared" si="196"/>
        <v>39.90770833</v>
      </c>
      <c r="AF197" s="60">
        <f>IF(G197&gt;'Scope 3 Ratios'!$B$5,(G197-'Scope 3 Ratios'!$B$5)*('Scope 3 Ratios'!$B$6/'Scope 3 Ratios'!$B$5),0)</f>
        <v>510.3792</v>
      </c>
      <c r="AG197" s="60">
        <f>J197*IF(I197="SSD",'Scope 3 Ratios'!$B$9,'Scope 3 Ratios'!$B$8)</f>
        <v>400</v>
      </c>
      <c r="AH197" s="60">
        <f>IF(K197&lt;&gt;"N/A",K197*'Scope 3 Ratios'!$B$10,0)</f>
        <v>0</v>
      </c>
      <c r="AI197" s="60">
        <f>(VLOOKUP($E197,'AWS Platforms Ratios'!$A$2:$O$25,3,FALSE)-1)*'Scope 3 Ratios'!$B$7</f>
        <v>100</v>
      </c>
      <c r="AJ197" s="60">
        <f>'Scope 3 Ratios'!$B$2+AF197+AG197+AH197+AI197</f>
        <v>2010.3792</v>
      </c>
      <c r="AK197" s="60">
        <f>AJ197*'Scope 3 Ratios'!$B$4*(C197/D197)</f>
        <v>2.423778935</v>
      </c>
      <c r="AL197" s="61" t="s">
        <v>412</v>
      </c>
    </row>
    <row r="198" ht="15.0" customHeight="1">
      <c r="A198" s="56" t="s">
        <v>444</v>
      </c>
      <c r="B198" s="56" t="s">
        <v>442</v>
      </c>
      <c r="C198" s="56">
        <v>8.0</v>
      </c>
      <c r="D198" s="56">
        <f>VLOOKUP(E198,'AWS Platforms Ratios'!$A$2:$B$25,2,FALSE)</f>
        <v>96</v>
      </c>
      <c r="E198" s="57" t="s">
        <v>350</v>
      </c>
      <c r="F198" s="56">
        <v>32.0</v>
      </c>
      <c r="G198" s="56">
        <v>384.0</v>
      </c>
      <c r="H198" s="57" t="s">
        <v>150</v>
      </c>
      <c r="I198" s="56" t="s">
        <v>85</v>
      </c>
      <c r="J198" s="56">
        <v>4.0</v>
      </c>
      <c r="K198" s="58" t="s">
        <v>73</v>
      </c>
      <c r="L198" s="58" t="s">
        <v>73</v>
      </c>
      <c r="M198" s="58" t="s">
        <v>73</v>
      </c>
      <c r="N198" s="58" t="s">
        <v>73</v>
      </c>
      <c r="O198" s="59">
        <f>($C198/$D198)*VLOOKUP($E198,'AWS Platforms Ratios'!$A$2:$O$25,7,FALSE)</f>
        <v>4.823333333</v>
      </c>
      <c r="P198" s="59">
        <f>($C198/$D198)*VLOOKUP($E198,'AWS Platforms Ratios'!$A$2:$O$25,8,FALSE)</f>
        <v>12.21916667</v>
      </c>
      <c r="Q198" s="59">
        <f>($C198/$D198)*VLOOKUP($E198,'AWS Platforms Ratios'!$A$2:$O$25,9,FALSE)</f>
        <v>28.64166667</v>
      </c>
      <c r="R198" s="59">
        <f>($C198/$D198)*VLOOKUP($E198,'AWS Platforms Ratios'!$A$2:$O$25,10,FALSE)</f>
        <v>39.83125</v>
      </c>
      <c r="S198" s="59">
        <f>$F198*VLOOKUP($E198,'AWS Platforms Ratios'!$A$2:$O$25,11,FALSE)</f>
        <v>4.8175</v>
      </c>
      <c r="T198" s="59">
        <f>$F198*VLOOKUP($E198,'AWS Platforms Ratios'!$A$2:$O$25,12,FALSE)</f>
        <v>7.699166667</v>
      </c>
      <c r="U198" s="59">
        <f>$F198*VLOOKUP($E198,'AWS Platforms Ratios'!$A$2:$O$25,13,FALSE)</f>
        <v>19.84166667</v>
      </c>
      <c r="V198" s="59">
        <f>$F198*VLOOKUP($E198,'AWS Platforms Ratios'!$A$2:$O$25,14,FALSE)</f>
        <v>31.98416667</v>
      </c>
      <c r="W198" s="60">
        <f>IF($K198&lt;&gt;"N/A",$M198*(VLOOKUP($L198,'GPU Specs &amp; Ratios'!$B$2:$I$8,5,FALSE)),0)</f>
        <v>0</v>
      </c>
      <c r="X198" s="60">
        <f>IF($K198&lt;&gt;"N/A",$M198*(VLOOKUP($L198,'GPU Specs &amp; Ratios'!$B$2:$I$8,6,FALSE)),0)</f>
        <v>0</v>
      </c>
      <c r="Y198" s="60">
        <f>IF($K198&lt;&gt;"N/A",$M198*(VLOOKUP($L198,'GPU Specs &amp; Ratios'!$B$2:$I$8,7,FALSE)),0)</f>
        <v>0</v>
      </c>
      <c r="Z198" s="60">
        <f>IF($K198&lt;&gt;"N/A",$M198*(VLOOKUP($L198,'GPU Specs &amp; Ratios'!$B$2:$I$8,8,FALSE)),0)</f>
        <v>0</v>
      </c>
      <c r="AA198" s="60">
        <f>(C198/D198)*VLOOKUP($E198,'AWS Platforms Ratios'!$A$2:$O$25,15,FALSE)</f>
        <v>8</v>
      </c>
      <c r="AB198" s="60">
        <f t="shared" ref="AB198:AE198" si="197">O198+S198+W198+$AA198</f>
        <v>17.64083333</v>
      </c>
      <c r="AC198" s="60">
        <f t="shared" si="197"/>
        <v>27.91833333</v>
      </c>
      <c r="AD198" s="60">
        <f t="shared" si="197"/>
        <v>56.48333333</v>
      </c>
      <c r="AE198" s="60">
        <f t="shared" si="197"/>
        <v>79.81541667</v>
      </c>
      <c r="AF198" s="60">
        <f>IF(G198&gt;'Scope 3 Ratios'!$B$5,(G198-'Scope 3 Ratios'!$B$5)*('Scope 3 Ratios'!$B$6/'Scope 3 Ratios'!$B$5),0)</f>
        <v>510.3792</v>
      </c>
      <c r="AG198" s="60">
        <f>J198*IF(I198="SSD",'Scope 3 Ratios'!$B$9,'Scope 3 Ratios'!$B$8)</f>
        <v>400</v>
      </c>
      <c r="AH198" s="60">
        <f>IF(K198&lt;&gt;"N/A",K198*'Scope 3 Ratios'!$B$10,0)</f>
        <v>0</v>
      </c>
      <c r="AI198" s="60">
        <f>(VLOOKUP($E198,'AWS Platforms Ratios'!$A$2:$O$25,3,FALSE)-1)*'Scope 3 Ratios'!$B$7</f>
        <v>100</v>
      </c>
      <c r="AJ198" s="60">
        <f>'Scope 3 Ratios'!$B$2+AF198+AG198+AH198+AI198</f>
        <v>2010.3792</v>
      </c>
      <c r="AK198" s="60">
        <f>AJ198*'Scope 3 Ratios'!$B$4*(C198/D198)</f>
        <v>4.84755787</v>
      </c>
      <c r="AL198" s="61" t="s">
        <v>412</v>
      </c>
    </row>
    <row r="199" ht="15.0" customHeight="1">
      <c r="A199" s="56" t="s">
        <v>445</v>
      </c>
      <c r="B199" s="56" t="s">
        <v>442</v>
      </c>
      <c r="C199" s="56">
        <v>16.0</v>
      </c>
      <c r="D199" s="56">
        <f>VLOOKUP(E199,'AWS Platforms Ratios'!$A$2:$B$25,2,FALSE)</f>
        <v>96</v>
      </c>
      <c r="E199" s="57" t="s">
        <v>350</v>
      </c>
      <c r="F199" s="56">
        <v>64.0</v>
      </c>
      <c r="G199" s="56">
        <v>384.0</v>
      </c>
      <c r="H199" s="57" t="s">
        <v>152</v>
      </c>
      <c r="I199" s="56" t="s">
        <v>85</v>
      </c>
      <c r="J199" s="56">
        <v>4.0</v>
      </c>
      <c r="K199" s="58" t="s">
        <v>73</v>
      </c>
      <c r="L199" s="58" t="s">
        <v>73</v>
      </c>
      <c r="M199" s="58" t="s">
        <v>73</v>
      </c>
      <c r="N199" s="58" t="s">
        <v>73</v>
      </c>
      <c r="O199" s="59">
        <f>($C199/$D199)*VLOOKUP($E199,'AWS Platforms Ratios'!$A$2:$O$25,7,FALSE)</f>
        <v>9.646666667</v>
      </c>
      <c r="P199" s="59">
        <f>($C199/$D199)*VLOOKUP($E199,'AWS Platforms Ratios'!$A$2:$O$25,8,FALSE)</f>
        <v>24.43833333</v>
      </c>
      <c r="Q199" s="59">
        <f>($C199/$D199)*VLOOKUP($E199,'AWS Platforms Ratios'!$A$2:$O$25,9,FALSE)</f>
        <v>57.28333333</v>
      </c>
      <c r="R199" s="59">
        <f>($C199/$D199)*VLOOKUP($E199,'AWS Platforms Ratios'!$A$2:$O$25,10,FALSE)</f>
        <v>79.6625</v>
      </c>
      <c r="S199" s="59">
        <f>$F199*VLOOKUP($E199,'AWS Platforms Ratios'!$A$2:$O$25,11,FALSE)</f>
        <v>9.635</v>
      </c>
      <c r="T199" s="59">
        <f>$F199*VLOOKUP($E199,'AWS Platforms Ratios'!$A$2:$O$25,12,FALSE)</f>
        <v>15.39833333</v>
      </c>
      <c r="U199" s="59">
        <f>$F199*VLOOKUP($E199,'AWS Platforms Ratios'!$A$2:$O$25,13,FALSE)</f>
        <v>39.68333333</v>
      </c>
      <c r="V199" s="59">
        <f>$F199*VLOOKUP($E199,'AWS Platforms Ratios'!$A$2:$O$25,14,FALSE)</f>
        <v>63.96833333</v>
      </c>
      <c r="W199" s="60">
        <f>IF($K199&lt;&gt;"N/A",$M199*(VLOOKUP($L199,'GPU Specs &amp; Ratios'!$B$2:$I$8,5,FALSE)),0)</f>
        <v>0</v>
      </c>
      <c r="X199" s="60">
        <f>IF($K199&lt;&gt;"N/A",$M199*(VLOOKUP($L199,'GPU Specs &amp; Ratios'!$B$2:$I$8,6,FALSE)),0)</f>
        <v>0</v>
      </c>
      <c r="Y199" s="60">
        <f>IF($K199&lt;&gt;"N/A",$M199*(VLOOKUP($L199,'GPU Specs &amp; Ratios'!$B$2:$I$8,7,FALSE)),0)</f>
        <v>0</v>
      </c>
      <c r="Z199" s="60">
        <f>IF($K199&lt;&gt;"N/A",$M199*(VLOOKUP($L199,'GPU Specs &amp; Ratios'!$B$2:$I$8,8,FALSE)),0)</f>
        <v>0</v>
      </c>
      <c r="AA199" s="60">
        <f>(C199/D199)*VLOOKUP($E199,'AWS Platforms Ratios'!$A$2:$O$25,15,FALSE)</f>
        <v>16</v>
      </c>
      <c r="AB199" s="60">
        <f t="shared" ref="AB199:AE199" si="198">O199+S199+W199+$AA199</f>
        <v>35.28166667</v>
      </c>
      <c r="AC199" s="60">
        <f t="shared" si="198"/>
        <v>55.83666667</v>
      </c>
      <c r="AD199" s="60">
        <f t="shared" si="198"/>
        <v>112.9666667</v>
      </c>
      <c r="AE199" s="60">
        <f t="shared" si="198"/>
        <v>159.6308333</v>
      </c>
      <c r="AF199" s="60">
        <f>IF(G199&gt;'Scope 3 Ratios'!$B$5,(G199-'Scope 3 Ratios'!$B$5)*('Scope 3 Ratios'!$B$6/'Scope 3 Ratios'!$B$5),0)</f>
        <v>510.3792</v>
      </c>
      <c r="AG199" s="60">
        <f>J199*IF(I199="SSD",'Scope 3 Ratios'!$B$9,'Scope 3 Ratios'!$B$8)</f>
        <v>400</v>
      </c>
      <c r="AH199" s="60">
        <f>IF(K199&lt;&gt;"N/A",K199*'Scope 3 Ratios'!$B$10,0)</f>
        <v>0</v>
      </c>
      <c r="AI199" s="60">
        <f>(VLOOKUP($E199,'AWS Platforms Ratios'!$A$2:$O$25,3,FALSE)-1)*'Scope 3 Ratios'!$B$7</f>
        <v>100</v>
      </c>
      <c r="AJ199" s="60">
        <f>'Scope 3 Ratios'!$B$2+AF199+AG199+AH199+AI199</f>
        <v>2010.3792</v>
      </c>
      <c r="AK199" s="60">
        <f>AJ199*'Scope 3 Ratios'!$B$4*(C199/D199)</f>
        <v>9.695115741</v>
      </c>
      <c r="AL199" s="61" t="s">
        <v>412</v>
      </c>
    </row>
    <row r="200" ht="15.0" customHeight="1">
      <c r="A200" s="56" t="s">
        <v>446</v>
      </c>
      <c r="B200" s="56" t="s">
        <v>128</v>
      </c>
      <c r="C200" s="56">
        <v>32.0</v>
      </c>
      <c r="D200" s="56">
        <f>VLOOKUP(E200,'AWS Platforms Ratios'!$A$2:$B$25,2,FALSE)</f>
        <v>96</v>
      </c>
      <c r="E200" s="57" t="s">
        <v>350</v>
      </c>
      <c r="F200" s="56">
        <v>128.0</v>
      </c>
      <c r="G200" s="56">
        <v>384.0</v>
      </c>
      <c r="H200" s="57" t="s">
        <v>154</v>
      </c>
      <c r="I200" s="56" t="s">
        <v>85</v>
      </c>
      <c r="J200" s="56">
        <v>4.0</v>
      </c>
      <c r="K200" s="58" t="s">
        <v>73</v>
      </c>
      <c r="L200" s="58" t="s">
        <v>73</v>
      </c>
      <c r="M200" s="58" t="s">
        <v>73</v>
      </c>
      <c r="N200" s="58" t="s">
        <v>73</v>
      </c>
      <c r="O200" s="59">
        <f>($C200/$D200)*VLOOKUP($E200,'AWS Platforms Ratios'!$A$2:$O$25,7,FALSE)</f>
        <v>19.29333333</v>
      </c>
      <c r="P200" s="59">
        <f>($C200/$D200)*VLOOKUP($E200,'AWS Platforms Ratios'!$A$2:$O$25,8,FALSE)</f>
        <v>48.87666667</v>
      </c>
      <c r="Q200" s="59">
        <f>($C200/$D200)*VLOOKUP($E200,'AWS Platforms Ratios'!$A$2:$O$25,9,FALSE)</f>
        <v>114.5666667</v>
      </c>
      <c r="R200" s="59">
        <f>($C200/$D200)*VLOOKUP($E200,'AWS Platforms Ratios'!$A$2:$O$25,10,FALSE)</f>
        <v>159.325</v>
      </c>
      <c r="S200" s="59">
        <f>$F200*VLOOKUP($E200,'AWS Platforms Ratios'!$A$2:$O$25,11,FALSE)</f>
        <v>19.27</v>
      </c>
      <c r="T200" s="59">
        <f>$F200*VLOOKUP($E200,'AWS Platforms Ratios'!$A$2:$O$25,12,FALSE)</f>
        <v>30.79666667</v>
      </c>
      <c r="U200" s="59">
        <f>$F200*VLOOKUP($E200,'AWS Platforms Ratios'!$A$2:$O$25,13,FALSE)</f>
        <v>79.36666667</v>
      </c>
      <c r="V200" s="59">
        <f>$F200*VLOOKUP($E200,'AWS Platforms Ratios'!$A$2:$O$25,14,FALSE)</f>
        <v>127.9366667</v>
      </c>
      <c r="W200" s="60">
        <f>IF($K200&lt;&gt;"N/A",$M200*(VLOOKUP($L200,'GPU Specs &amp; Ratios'!$B$2:$I$8,5,FALSE)),0)</f>
        <v>0</v>
      </c>
      <c r="X200" s="60">
        <f>IF($K200&lt;&gt;"N/A",$M200*(VLOOKUP($L200,'GPU Specs &amp; Ratios'!$B$2:$I$8,6,FALSE)),0)</f>
        <v>0</v>
      </c>
      <c r="Y200" s="60">
        <f>IF($K200&lt;&gt;"N/A",$M200*(VLOOKUP($L200,'GPU Specs &amp; Ratios'!$B$2:$I$8,7,FALSE)),0)</f>
        <v>0</v>
      </c>
      <c r="Z200" s="60">
        <f>IF($K200&lt;&gt;"N/A",$M200*(VLOOKUP($L200,'GPU Specs &amp; Ratios'!$B$2:$I$8,8,FALSE)),0)</f>
        <v>0</v>
      </c>
      <c r="AA200" s="60">
        <f>(C200/D200)*VLOOKUP($E200,'AWS Platforms Ratios'!$A$2:$O$25,15,FALSE)</f>
        <v>32</v>
      </c>
      <c r="AB200" s="60">
        <f t="shared" ref="AB200:AE200" si="199">O200+S200+W200+$AA200</f>
        <v>70.56333333</v>
      </c>
      <c r="AC200" s="60">
        <f t="shared" si="199"/>
        <v>111.6733333</v>
      </c>
      <c r="AD200" s="60">
        <f t="shared" si="199"/>
        <v>225.9333333</v>
      </c>
      <c r="AE200" s="60">
        <f t="shared" si="199"/>
        <v>319.2616667</v>
      </c>
      <c r="AF200" s="60">
        <f>IF(G200&gt;'Scope 3 Ratios'!$B$5,(G200-'Scope 3 Ratios'!$B$5)*('Scope 3 Ratios'!$B$6/'Scope 3 Ratios'!$B$5),0)</f>
        <v>510.3792</v>
      </c>
      <c r="AG200" s="60">
        <f>J200*IF(I200="SSD",'Scope 3 Ratios'!$B$9,'Scope 3 Ratios'!$B$8)</f>
        <v>400</v>
      </c>
      <c r="AH200" s="60">
        <f>IF(K200&lt;&gt;"N/A",K200*'Scope 3 Ratios'!$B$10,0)</f>
        <v>0</v>
      </c>
      <c r="AI200" s="60">
        <f>(VLOOKUP($E200,'AWS Platforms Ratios'!$A$2:$O$25,3,FALSE)-1)*'Scope 3 Ratios'!$B$7</f>
        <v>100</v>
      </c>
      <c r="AJ200" s="60">
        <f>'Scope 3 Ratios'!$B$2+AF200+AG200+AH200+AI200</f>
        <v>2010.3792</v>
      </c>
      <c r="AK200" s="60">
        <f>AJ200*'Scope 3 Ratios'!$B$4*(C200/D200)</f>
        <v>19.39023148</v>
      </c>
      <c r="AL200" s="61" t="s">
        <v>412</v>
      </c>
    </row>
    <row r="201" ht="15.0" customHeight="1">
      <c r="A201" s="56" t="s">
        <v>447</v>
      </c>
      <c r="B201" s="56" t="s">
        <v>442</v>
      </c>
      <c r="C201" s="56">
        <v>48.0</v>
      </c>
      <c r="D201" s="56">
        <f>VLOOKUP(E201,'AWS Platforms Ratios'!$A$2:$B$25,2,FALSE)</f>
        <v>96</v>
      </c>
      <c r="E201" s="57" t="s">
        <v>350</v>
      </c>
      <c r="F201" s="56">
        <v>192.0</v>
      </c>
      <c r="G201" s="56">
        <v>384.0</v>
      </c>
      <c r="H201" s="57" t="s">
        <v>156</v>
      </c>
      <c r="I201" s="56" t="s">
        <v>85</v>
      </c>
      <c r="J201" s="56">
        <v>4.0</v>
      </c>
      <c r="K201" s="58" t="s">
        <v>73</v>
      </c>
      <c r="L201" s="58" t="s">
        <v>73</v>
      </c>
      <c r="M201" s="58" t="s">
        <v>73</v>
      </c>
      <c r="N201" s="58" t="s">
        <v>73</v>
      </c>
      <c r="O201" s="59">
        <f>($C201/$D201)*VLOOKUP($E201,'AWS Platforms Ratios'!$A$2:$O$25,7,FALSE)</f>
        <v>28.94</v>
      </c>
      <c r="P201" s="59">
        <f>($C201/$D201)*VLOOKUP($E201,'AWS Platforms Ratios'!$A$2:$O$25,8,FALSE)</f>
        <v>73.315</v>
      </c>
      <c r="Q201" s="59">
        <f>($C201/$D201)*VLOOKUP($E201,'AWS Platforms Ratios'!$A$2:$O$25,9,FALSE)</f>
        <v>171.85</v>
      </c>
      <c r="R201" s="59">
        <f>($C201/$D201)*VLOOKUP($E201,'AWS Platforms Ratios'!$A$2:$O$25,10,FALSE)</f>
        <v>238.9875</v>
      </c>
      <c r="S201" s="59">
        <f>$F201*VLOOKUP($E201,'AWS Platforms Ratios'!$A$2:$O$25,11,FALSE)</f>
        <v>28.905</v>
      </c>
      <c r="T201" s="59">
        <f>$F201*VLOOKUP($E201,'AWS Platforms Ratios'!$A$2:$O$25,12,FALSE)</f>
        <v>46.195</v>
      </c>
      <c r="U201" s="59">
        <f>$F201*VLOOKUP($E201,'AWS Platforms Ratios'!$A$2:$O$25,13,FALSE)</f>
        <v>119.05</v>
      </c>
      <c r="V201" s="59">
        <f>$F201*VLOOKUP($E201,'AWS Platforms Ratios'!$A$2:$O$25,14,FALSE)</f>
        <v>191.905</v>
      </c>
      <c r="W201" s="60">
        <f>IF($K201&lt;&gt;"N/A",$M201*(VLOOKUP($L201,'GPU Specs &amp; Ratios'!$B$2:$I$8,5,FALSE)),0)</f>
        <v>0</v>
      </c>
      <c r="X201" s="60">
        <f>IF($K201&lt;&gt;"N/A",$M201*(VLOOKUP($L201,'GPU Specs &amp; Ratios'!$B$2:$I$8,6,FALSE)),0)</f>
        <v>0</v>
      </c>
      <c r="Y201" s="60">
        <f>IF($K201&lt;&gt;"N/A",$M201*(VLOOKUP($L201,'GPU Specs &amp; Ratios'!$B$2:$I$8,7,FALSE)),0)</f>
        <v>0</v>
      </c>
      <c r="Z201" s="60">
        <f>IF($K201&lt;&gt;"N/A",$M201*(VLOOKUP($L201,'GPU Specs &amp; Ratios'!$B$2:$I$8,8,FALSE)),0)</f>
        <v>0</v>
      </c>
      <c r="AA201" s="60">
        <f>(C201/D201)*VLOOKUP($E201,'AWS Platforms Ratios'!$A$2:$O$25,15,FALSE)</f>
        <v>48</v>
      </c>
      <c r="AB201" s="60">
        <f t="shared" ref="AB201:AE201" si="200">O201+S201+W201+$AA201</f>
        <v>105.845</v>
      </c>
      <c r="AC201" s="60">
        <f t="shared" si="200"/>
        <v>167.51</v>
      </c>
      <c r="AD201" s="60">
        <f t="shared" si="200"/>
        <v>338.9</v>
      </c>
      <c r="AE201" s="60">
        <f t="shared" si="200"/>
        <v>478.8925</v>
      </c>
      <c r="AF201" s="60">
        <f>IF(G201&gt;'Scope 3 Ratios'!$B$5,(G201-'Scope 3 Ratios'!$B$5)*('Scope 3 Ratios'!$B$6/'Scope 3 Ratios'!$B$5),0)</f>
        <v>510.3792</v>
      </c>
      <c r="AG201" s="60">
        <f>J201*IF(I201="SSD",'Scope 3 Ratios'!$B$9,'Scope 3 Ratios'!$B$8)</f>
        <v>400</v>
      </c>
      <c r="AH201" s="60">
        <f>IF(K201&lt;&gt;"N/A",K201*'Scope 3 Ratios'!$B$10,0)</f>
        <v>0</v>
      </c>
      <c r="AI201" s="60">
        <f>(VLOOKUP($E201,'AWS Platforms Ratios'!$A$2:$O$25,3,FALSE)-1)*'Scope 3 Ratios'!$B$7</f>
        <v>100</v>
      </c>
      <c r="AJ201" s="60">
        <f>'Scope 3 Ratios'!$B$2+AF201+AG201+AH201+AI201</f>
        <v>2010.3792</v>
      </c>
      <c r="AK201" s="60">
        <f>AJ201*'Scope 3 Ratios'!$B$4*(C201/D201)</f>
        <v>29.08534722</v>
      </c>
      <c r="AL201" s="61" t="s">
        <v>412</v>
      </c>
    </row>
    <row r="202" ht="15.0" customHeight="1">
      <c r="A202" s="56" t="s">
        <v>448</v>
      </c>
      <c r="B202" s="56" t="s">
        <v>128</v>
      </c>
      <c r="C202" s="56">
        <v>64.0</v>
      </c>
      <c r="D202" s="56">
        <f>VLOOKUP(E202,'AWS Platforms Ratios'!$A$2:$B$25,2,FALSE)</f>
        <v>96</v>
      </c>
      <c r="E202" s="57" t="s">
        <v>350</v>
      </c>
      <c r="F202" s="56">
        <v>256.0</v>
      </c>
      <c r="G202" s="56">
        <v>384.0</v>
      </c>
      <c r="H202" s="57" t="s">
        <v>439</v>
      </c>
      <c r="I202" s="56" t="s">
        <v>85</v>
      </c>
      <c r="J202" s="56">
        <v>4.0</v>
      </c>
      <c r="K202" s="58" t="s">
        <v>73</v>
      </c>
      <c r="L202" s="58" t="s">
        <v>73</v>
      </c>
      <c r="M202" s="58" t="s">
        <v>73</v>
      </c>
      <c r="N202" s="58" t="s">
        <v>73</v>
      </c>
      <c r="O202" s="59">
        <f>($C202/$D202)*VLOOKUP($E202,'AWS Platforms Ratios'!$A$2:$O$25,7,FALSE)</f>
        <v>38.58666667</v>
      </c>
      <c r="P202" s="59">
        <f>($C202/$D202)*VLOOKUP($E202,'AWS Platforms Ratios'!$A$2:$O$25,8,FALSE)</f>
        <v>97.75333333</v>
      </c>
      <c r="Q202" s="59">
        <f>($C202/$D202)*VLOOKUP($E202,'AWS Platforms Ratios'!$A$2:$O$25,9,FALSE)</f>
        <v>229.1333333</v>
      </c>
      <c r="R202" s="59">
        <f>($C202/$D202)*VLOOKUP($E202,'AWS Platforms Ratios'!$A$2:$O$25,10,FALSE)</f>
        <v>318.65</v>
      </c>
      <c r="S202" s="59">
        <f>$F202*VLOOKUP($E202,'AWS Platforms Ratios'!$A$2:$O$25,11,FALSE)</f>
        <v>38.54</v>
      </c>
      <c r="T202" s="59">
        <f>$F202*VLOOKUP($E202,'AWS Platforms Ratios'!$A$2:$O$25,12,FALSE)</f>
        <v>61.59333333</v>
      </c>
      <c r="U202" s="59">
        <f>$F202*VLOOKUP($E202,'AWS Platforms Ratios'!$A$2:$O$25,13,FALSE)</f>
        <v>158.7333333</v>
      </c>
      <c r="V202" s="59">
        <f>$F202*VLOOKUP($E202,'AWS Platforms Ratios'!$A$2:$O$25,14,FALSE)</f>
        <v>255.8733333</v>
      </c>
      <c r="W202" s="60">
        <f>IF($K202&lt;&gt;"N/A",$M202*(VLOOKUP($L202,'GPU Specs &amp; Ratios'!$B$2:$I$8,5,FALSE)),0)</f>
        <v>0</v>
      </c>
      <c r="X202" s="60">
        <f>IF($K202&lt;&gt;"N/A",$M202*(VLOOKUP($L202,'GPU Specs &amp; Ratios'!$B$2:$I$8,6,FALSE)),0)</f>
        <v>0</v>
      </c>
      <c r="Y202" s="60">
        <f>IF($K202&lt;&gt;"N/A",$M202*(VLOOKUP($L202,'GPU Specs &amp; Ratios'!$B$2:$I$8,7,FALSE)),0)</f>
        <v>0</v>
      </c>
      <c r="Z202" s="60">
        <f>IF($K202&lt;&gt;"N/A",$M202*(VLOOKUP($L202,'GPU Specs &amp; Ratios'!$B$2:$I$8,8,FALSE)),0)</f>
        <v>0</v>
      </c>
      <c r="AA202" s="60">
        <f>(C202/D202)*VLOOKUP($E202,'AWS Platforms Ratios'!$A$2:$O$25,15,FALSE)</f>
        <v>64</v>
      </c>
      <c r="AB202" s="60">
        <f t="shared" ref="AB202:AE202" si="201">O202+S202+W202+$AA202</f>
        <v>141.1266667</v>
      </c>
      <c r="AC202" s="60">
        <f t="shared" si="201"/>
        <v>223.3466667</v>
      </c>
      <c r="AD202" s="60">
        <f t="shared" si="201"/>
        <v>451.8666667</v>
      </c>
      <c r="AE202" s="60">
        <f t="shared" si="201"/>
        <v>638.5233333</v>
      </c>
      <c r="AF202" s="60">
        <f>IF(G202&gt;'Scope 3 Ratios'!$B$5,(G202-'Scope 3 Ratios'!$B$5)*('Scope 3 Ratios'!$B$6/'Scope 3 Ratios'!$B$5),0)</f>
        <v>510.3792</v>
      </c>
      <c r="AG202" s="60">
        <f>J202*IF(I202="SSD",'Scope 3 Ratios'!$B$9,'Scope 3 Ratios'!$B$8)</f>
        <v>400</v>
      </c>
      <c r="AH202" s="60">
        <f>IF(K202&lt;&gt;"N/A",K202*'Scope 3 Ratios'!$B$10,0)</f>
        <v>0</v>
      </c>
      <c r="AI202" s="60">
        <f>(VLOOKUP($E202,'AWS Platforms Ratios'!$A$2:$O$25,3,FALSE)-1)*'Scope 3 Ratios'!$B$7</f>
        <v>100</v>
      </c>
      <c r="AJ202" s="60">
        <f>'Scope 3 Ratios'!$B$2+AF202+AG202+AH202+AI202</f>
        <v>2010.3792</v>
      </c>
      <c r="AK202" s="60">
        <f>AJ202*'Scope 3 Ratios'!$B$4*(C202/D202)</f>
        <v>38.78046296</v>
      </c>
      <c r="AL202" s="61" t="s">
        <v>412</v>
      </c>
    </row>
    <row r="203" ht="15.0" customHeight="1">
      <c r="A203" s="56" t="s">
        <v>449</v>
      </c>
      <c r="B203" s="56" t="s">
        <v>442</v>
      </c>
      <c r="C203" s="56">
        <v>96.0</v>
      </c>
      <c r="D203" s="56">
        <f>VLOOKUP(E203,'AWS Platforms Ratios'!$A$2:$B$25,2,FALSE)</f>
        <v>96</v>
      </c>
      <c r="E203" s="57" t="s">
        <v>350</v>
      </c>
      <c r="F203" s="56">
        <v>384.0</v>
      </c>
      <c r="G203" s="56">
        <v>384.0</v>
      </c>
      <c r="H203" s="57" t="s">
        <v>176</v>
      </c>
      <c r="I203" s="56" t="s">
        <v>85</v>
      </c>
      <c r="J203" s="56">
        <v>4.0</v>
      </c>
      <c r="K203" s="58" t="s">
        <v>73</v>
      </c>
      <c r="L203" s="58" t="s">
        <v>73</v>
      </c>
      <c r="M203" s="58" t="s">
        <v>73</v>
      </c>
      <c r="N203" s="58" t="s">
        <v>73</v>
      </c>
      <c r="O203" s="59">
        <f>($C203/$D203)*VLOOKUP($E203,'AWS Platforms Ratios'!$A$2:$O$25,7,FALSE)</f>
        <v>57.88</v>
      </c>
      <c r="P203" s="59">
        <f>($C203/$D203)*VLOOKUP($E203,'AWS Platforms Ratios'!$A$2:$O$25,8,FALSE)</f>
        <v>146.63</v>
      </c>
      <c r="Q203" s="59">
        <f>($C203/$D203)*VLOOKUP($E203,'AWS Platforms Ratios'!$A$2:$O$25,9,FALSE)</f>
        <v>343.7</v>
      </c>
      <c r="R203" s="59">
        <f>($C203/$D203)*VLOOKUP($E203,'AWS Platforms Ratios'!$A$2:$O$25,10,FALSE)</f>
        <v>477.975</v>
      </c>
      <c r="S203" s="59">
        <f>$F203*VLOOKUP($E203,'AWS Platforms Ratios'!$A$2:$O$25,11,FALSE)</f>
        <v>57.81</v>
      </c>
      <c r="T203" s="59">
        <f>$F203*VLOOKUP($E203,'AWS Platforms Ratios'!$A$2:$O$25,12,FALSE)</f>
        <v>92.39</v>
      </c>
      <c r="U203" s="59">
        <f>$F203*VLOOKUP($E203,'AWS Platforms Ratios'!$A$2:$O$25,13,FALSE)</f>
        <v>238.1</v>
      </c>
      <c r="V203" s="59">
        <f>$F203*VLOOKUP($E203,'AWS Platforms Ratios'!$A$2:$O$25,14,FALSE)</f>
        <v>383.81</v>
      </c>
      <c r="W203" s="60">
        <f>IF($K203&lt;&gt;"N/A",$M203*(VLOOKUP($L203,'GPU Specs &amp; Ratios'!$B$2:$I$8,5,FALSE)),0)</f>
        <v>0</v>
      </c>
      <c r="X203" s="60">
        <f>IF($K203&lt;&gt;"N/A",$M203*(VLOOKUP($L203,'GPU Specs &amp; Ratios'!$B$2:$I$8,6,FALSE)),0)</f>
        <v>0</v>
      </c>
      <c r="Y203" s="60">
        <f>IF($K203&lt;&gt;"N/A",$M203*(VLOOKUP($L203,'GPU Specs &amp; Ratios'!$B$2:$I$8,7,FALSE)),0)</f>
        <v>0</v>
      </c>
      <c r="Z203" s="60">
        <f>IF($K203&lt;&gt;"N/A",$M203*(VLOOKUP($L203,'GPU Specs &amp; Ratios'!$B$2:$I$8,8,FALSE)),0)</f>
        <v>0</v>
      </c>
      <c r="AA203" s="60">
        <f>(C203/D203)*VLOOKUP($E203,'AWS Platforms Ratios'!$A$2:$O$25,15,FALSE)</f>
        <v>96</v>
      </c>
      <c r="AB203" s="60">
        <f t="shared" ref="AB203:AE203" si="202">O203+S203+W203+$AA203</f>
        <v>211.69</v>
      </c>
      <c r="AC203" s="60">
        <f t="shared" si="202"/>
        <v>335.02</v>
      </c>
      <c r="AD203" s="60">
        <f t="shared" si="202"/>
        <v>677.8</v>
      </c>
      <c r="AE203" s="60">
        <f t="shared" si="202"/>
        <v>957.785</v>
      </c>
      <c r="AF203" s="60">
        <f>IF(G203&gt;'Scope 3 Ratios'!$B$5,(G203-'Scope 3 Ratios'!$B$5)*('Scope 3 Ratios'!$B$6/'Scope 3 Ratios'!$B$5),0)</f>
        <v>510.3792</v>
      </c>
      <c r="AG203" s="60">
        <f>J203*IF(I203="SSD",'Scope 3 Ratios'!$B$9,'Scope 3 Ratios'!$B$8)</f>
        <v>400</v>
      </c>
      <c r="AH203" s="60">
        <f>IF(K203&lt;&gt;"N/A",K203*'Scope 3 Ratios'!$B$10,0)</f>
        <v>0</v>
      </c>
      <c r="AI203" s="60">
        <f>(VLOOKUP($E203,'AWS Platforms Ratios'!$A$2:$O$25,3,FALSE)-1)*'Scope 3 Ratios'!$B$7</f>
        <v>100</v>
      </c>
      <c r="AJ203" s="60">
        <f>'Scope 3 Ratios'!$B$2+AF203+AG203+AH203+AI203</f>
        <v>2010.3792</v>
      </c>
      <c r="AK203" s="60">
        <f>AJ203*'Scope 3 Ratios'!$B$4*(C203/D203)</f>
        <v>58.17069444</v>
      </c>
      <c r="AL203" s="61" t="s">
        <v>412</v>
      </c>
    </row>
    <row r="204" ht="15.0" customHeight="1">
      <c r="A204" s="56" t="s">
        <v>450</v>
      </c>
      <c r="B204" s="56" t="s">
        <v>421</v>
      </c>
      <c r="C204" s="56">
        <v>96.0</v>
      </c>
      <c r="D204" s="56">
        <f>VLOOKUP(E204,'AWS Platforms Ratios'!$A$2:$B$25,2,FALSE)</f>
        <v>96</v>
      </c>
      <c r="E204" s="57" t="s">
        <v>350</v>
      </c>
      <c r="F204" s="56">
        <v>384.0</v>
      </c>
      <c r="G204" s="56">
        <v>384.0</v>
      </c>
      <c r="H204" s="57" t="s">
        <v>176</v>
      </c>
      <c r="I204" s="56" t="s">
        <v>85</v>
      </c>
      <c r="J204" s="56">
        <v>4.0</v>
      </c>
      <c r="K204" s="58" t="s">
        <v>73</v>
      </c>
      <c r="L204" s="58" t="s">
        <v>73</v>
      </c>
      <c r="M204" s="58" t="s">
        <v>73</v>
      </c>
      <c r="N204" s="58" t="s">
        <v>73</v>
      </c>
      <c r="O204" s="59">
        <f>($C204/$D204)*VLOOKUP($E204,'AWS Platforms Ratios'!$A$2:$O$25,7,FALSE)</f>
        <v>57.88</v>
      </c>
      <c r="P204" s="59">
        <f>($C204/$D204)*VLOOKUP($E204,'AWS Platforms Ratios'!$A$2:$O$25,8,FALSE)</f>
        <v>146.63</v>
      </c>
      <c r="Q204" s="59">
        <f>($C204/$D204)*VLOOKUP($E204,'AWS Platforms Ratios'!$A$2:$O$25,9,FALSE)</f>
        <v>343.7</v>
      </c>
      <c r="R204" s="59">
        <f>($C204/$D204)*VLOOKUP($E204,'AWS Platforms Ratios'!$A$2:$O$25,10,FALSE)</f>
        <v>477.975</v>
      </c>
      <c r="S204" s="59">
        <f>$F204*VLOOKUP($E204,'AWS Platforms Ratios'!$A$2:$O$25,11,FALSE)</f>
        <v>57.81</v>
      </c>
      <c r="T204" s="59">
        <f>$F204*VLOOKUP($E204,'AWS Platforms Ratios'!$A$2:$O$25,12,FALSE)</f>
        <v>92.39</v>
      </c>
      <c r="U204" s="59">
        <f>$F204*VLOOKUP($E204,'AWS Platforms Ratios'!$A$2:$O$25,13,FALSE)</f>
        <v>238.1</v>
      </c>
      <c r="V204" s="59">
        <f>$F204*VLOOKUP($E204,'AWS Platforms Ratios'!$A$2:$O$25,14,FALSE)</f>
        <v>383.81</v>
      </c>
      <c r="W204" s="60">
        <f>IF($K204&lt;&gt;"N/A",$M204*(VLOOKUP($L204,'GPU Specs &amp; Ratios'!$B$2:$I$8,5,FALSE)),0)</f>
        <v>0</v>
      </c>
      <c r="X204" s="60">
        <f>IF($K204&lt;&gt;"N/A",$M204*(VLOOKUP($L204,'GPU Specs &amp; Ratios'!$B$2:$I$8,6,FALSE)),0)</f>
        <v>0</v>
      </c>
      <c r="Y204" s="60">
        <f>IF($K204&lt;&gt;"N/A",$M204*(VLOOKUP($L204,'GPU Specs &amp; Ratios'!$B$2:$I$8,7,FALSE)),0)</f>
        <v>0</v>
      </c>
      <c r="Z204" s="60">
        <f>IF($K204&lt;&gt;"N/A",$M204*(VLOOKUP($L204,'GPU Specs &amp; Ratios'!$B$2:$I$8,8,FALSE)),0)</f>
        <v>0</v>
      </c>
      <c r="AA204" s="60">
        <f>(C204/D204)*VLOOKUP($E204,'AWS Platforms Ratios'!$A$2:$O$25,15,FALSE)</f>
        <v>96</v>
      </c>
      <c r="AB204" s="60">
        <f t="shared" ref="AB204:AE204" si="203">O204+S204+W204+$AA204</f>
        <v>211.69</v>
      </c>
      <c r="AC204" s="60">
        <f t="shared" si="203"/>
        <v>335.02</v>
      </c>
      <c r="AD204" s="60">
        <f t="shared" si="203"/>
        <v>677.8</v>
      </c>
      <c r="AE204" s="60">
        <f t="shared" si="203"/>
        <v>957.785</v>
      </c>
      <c r="AF204" s="60">
        <f>IF(G204&gt;'Scope 3 Ratios'!$B$5,(G204-'Scope 3 Ratios'!$B$5)*('Scope 3 Ratios'!$B$6/'Scope 3 Ratios'!$B$5),0)</f>
        <v>510.3792</v>
      </c>
      <c r="AG204" s="60">
        <f>J204*IF(I204="SSD",'Scope 3 Ratios'!$B$9,'Scope 3 Ratios'!$B$8)</f>
        <v>400</v>
      </c>
      <c r="AH204" s="60">
        <f>IF(K204&lt;&gt;"N/A",K204*'Scope 3 Ratios'!$B$10,0)</f>
        <v>0</v>
      </c>
      <c r="AI204" s="60">
        <f>(VLOOKUP($E204,'AWS Platforms Ratios'!$A$2:$O$25,3,FALSE)-1)*'Scope 3 Ratios'!$B$7</f>
        <v>100</v>
      </c>
      <c r="AJ204" s="60">
        <f>'Scope 3 Ratios'!$B$2+AF204+AG204+AH204+AI204</f>
        <v>2010.3792</v>
      </c>
      <c r="AK204" s="60">
        <f>AJ204*'Scope 3 Ratios'!$B$4*(C204/D204)</f>
        <v>58.17069444</v>
      </c>
      <c r="AL204" s="61" t="s">
        <v>412</v>
      </c>
    </row>
    <row r="205" ht="15.0" customHeight="1">
      <c r="A205" s="56" t="s">
        <v>451</v>
      </c>
      <c r="B205" s="56" t="s">
        <v>80</v>
      </c>
      <c r="C205" s="56">
        <v>2.0</v>
      </c>
      <c r="D205" s="56">
        <f>VLOOKUP(E205,'AWS Platforms Ratios'!$A$2:$B$25,2,FALSE)</f>
        <v>96</v>
      </c>
      <c r="E205" s="57" t="s">
        <v>237</v>
      </c>
      <c r="F205" s="56">
        <v>8.0</v>
      </c>
      <c r="G205" s="56">
        <v>384.0</v>
      </c>
      <c r="H205" s="57" t="s">
        <v>146</v>
      </c>
      <c r="I205" s="56" t="s">
        <v>85</v>
      </c>
      <c r="J205" s="56">
        <v>4.0</v>
      </c>
      <c r="K205" s="58" t="s">
        <v>73</v>
      </c>
      <c r="L205" s="58" t="s">
        <v>73</v>
      </c>
      <c r="M205" s="58" t="s">
        <v>73</v>
      </c>
      <c r="N205" s="58" t="s">
        <v>73</v>
      </c>
      <c r="O205" s="59">
        <f>($C205/$D205)*VLOOKUP($E205,'AWS Platforms Ratios'!$A$2:$O$25,7,FALSE)</f>
        <v>1.139791667</v>
      </c>
      <c r="P205" s="59">
        <f>($C205/$D205)*VLOOKUP($E205,'AWS Platforms Ratios'!$A$2:$O$25,8,FALSE)</f>
        <v>2.873333333</v>
      </c>
      <c r="Q205" s="59">
        <f>($C205/$D205)*VLOOKUP($E205,'AWS Platforms Ratios'!$A$2:$O$25,9,FALSE)</f>
        <v>6.394375</v>
      </c>
      <c r="R205" s="59">
        <f>($C205/$D205)*VLOOKUP($E205,'AWS Platforms Ratios'!$A$2:$O$25,10,FALSE)</f>
        <v>9.278802083</v>
      </c>
      <c r="S205" s="59">
        <f>$F205*VLOOKUP($E205,'AWS Platforms Ratios'!$A$2:$O$25,11,FALSE)</f>
        <v>1.2440625</v>
      </c>
      <c r="T205" s="59">
        <f>$F205*VLOOKUP($E205,'AWS Platforms Ratios'!$A$2:$O$25,12,FALSE)</f>
        <v>2.058958333</v>
      </c>
      <c r="U205" s="59">
        <f>$F205*VLOOKUP($E205,'AWS Platforms Ratios'!$A$2:$O$25,13,FALSE)</f>
        <v>3.685208333</v>
      </c>
      <c r="V205" s="59">
        <f>$F205*VLOOKUP($E205,'AWS Platforms Ratios'!$A$2:$O$25,14,FALSE)</f>
        <v>5.311458333</v>
      </c>
      <c r="W205" s="60">
        <f>IF($K205&lt;&gt;"N/A",$M205*(VLOOKUP($L205,'GPU Specs &amp; Ratios'!$B$2:$I$8,5,FALSE)),0)</f>
        <v>0</v>
      </c>
      <c r="X205" s="60">
        <f>IF($K205&lt;&gt;"N/A",$M205*(VLOOKUP($L205,'GPU Specs &amp; Ratios'!$B$2:$I$8,6,FALSE)),0)</f>
        <v>0</v>
      </c>
      <c r="Y205" s="60">
        <f>IF($K205&lt;&gt;"N/A",$M205*(VLOOKUP($L205,'GPU Specs &amp; Ratios'!$B$2:$I$8,7,FALSE)),0)</f>
        <v>0</v>
      </c>
      <c r="Z205" s="60">
        <f>IF($K205&lt;&gt;"N/A",$M205*(VLOOKUP($L205,'GPU Specs &amp; Ratios'!$B$2:$I$8,8,FALSE)),0)</f>
        <v>0</v>
      </c>
      <c r="AA205" s="60">
        <f>(C205/D205)*VLOOKUP($E205,'AWS Platforms Ratios'!$A$2:$O$25,15,FALSE)</f>
        <v>1.75</v>
      </c>
      <c r="AB205" s="60">
        <f t="shared" ref="AB205:AE205" si="204">O205+S205+W205+$AA205</f>
        <v>4.133854167</v>
      </c>
      <c r="AC205" s="60">
        <f t="shared" si="204"/>
        <v>6.682291667</v>
      </c>
      <c r="AD205" s="60">
        <f t="shared" si="204"/>
        <v>11.82958333</v>
      </c>
      <c r="AE205" s="60">
        <f t="shared" si="204"/>
        <v>16.34026042</v>
      </c>
      <c r="AF205" s="60">
        <f>IF(G205&gt;'Scope 3 Ratios'!$B$5,(G205-'Scope 3 Ratios'!$B$5)*('Scope 3 Ratios'!$B$6/'Scope 3 Ratios'!$B$5),0)</f>
        <v>510.3792</v>
      </c>
      <c r="AG205" s="60">
        <f>J205*IF(I205="SSD",'Scope 3 Ratios'!$B$9,'Scope 3 Ratios'!$B$8)</f>
        <v>400</v>
      </c>
      <c r="AH205" s="60">
        <f>IF(K205&lt;&gt;"N/A",K205*'Scope 3 Ratios'!$B$10,0)</f>
        <v>0</v>
      </c>
      <c r="AI205" s="60">
        <f>(VLOOKUP($E205,'AWS Platforms Ratios'!$A$2:$O$25,3,FALSE)-1)*'Scope 3 Ratios'!$B$7</f>
        <v>100</v>
      </c>
      <c r="AJ205" s="60">
        <f>'Scope 3 Ratios'!$B$2+AF205+AG205+AH205+AI205</f>
        <v>2010.3792</v>
      </c>
      <c r="AK205" s="60">
        <f>AJ205*'Scope 3 Ratios'!$B$4*(C205/D205)</f>
        <v>1.211889468</v>
      </c>
      <c r="AL205" s="61" t="s">
        <v>452</v>
      </c>
    </row>
    <row r="206" ht="15.0" customHeight="1">
      <c r="A206" s="56" t="s">
        <v>453</v>
      </c>
      <c r="B206" s="56" t="s">
        <v>80</v>
      </c>
      <c r="C206" s="56">
        <v>4.0</v>
      </c>
      <c r="D206" s="56">
        <f>VLOOKUP(E206,'AWS Platforms Ratios'!$A$2:$B$25,2,FALSE)</f>
        <v>96</v>
      </c>
      <c r="E206" s="57" t="s">
        <v>237</v>
      </c>
      <c r="F206" s="56">
        <v>16.0</v>
      </c>
      <c r="G206" s="56">
        <v>384.0</v>
      </c>
      <c r="H206" s="57" t="s">
        <v>148</v>
      </c>
      <c r="I206" s="56" t="s">
        <v>85</v>
      </c>
      <c r="J206" s="56">
        <v>4.0</v>
      </c>
      <c r="K206" s="58" t="s">
        <v>73</v>
      </c>
      <c r="L206" s="58" t="s">
        <v>73</v>
      </c>
      <c r="M206" s="58" t="s">
        <v>73</v>
      </c>
      <c r="N206" s="58" t="s">
        <v>73</v>
      </c>
      <c r="O206" s="59">
        <f>($C206/$D206)*VLOOKUP($E206,'AWS Platforms Ratios'!$A$2:$O$25,7,FALSE)</f>
        <v>2.279583333</v>
      </c>
      <c r="P206" s="59">
        <f>($C206/$D206)*VLOOKUP($E206,'AWS Platforms Ratios'!$A$2:$O$25,8,FALSE)</f>
        <v>5.746666667</v>
      </c>
      <c r="Q206" s="59">
        <f>($C206/$D206)*VLOOKUP($E206,'AWS Platforms Ratios'!$A$2:$O$25,9,FALSE)</f>
        <v>12.78875</v>
      </c>
      <c r="R206" s="59">
        <f>($C206/$D206)*VLOOKUP($E206,'AWS Platforms Ratios'!$A$2:$O$25,10,FALSE)</f>
        <v>18.55760417</v>
      </c>
      <c r="S206" s="59">
        <f>$F206*VLOOKUP($E206,'AWS Platforms Ratios'!$A$2:$O$25,11,FALSE)</f>
        <v>2.488125</v>
      </c>
      <c r="T206" s="59">
        <f>$F206*VLOOKUP($E206,'AWS Platforms Ratios'!$A$2:$O$25,12,FALSE)</f>
        <v>4.117916667</v>
      </c>
      <c r="U206" s="59">
        <f>$F206*VLOOKUP($E206,'AWS Platforms Ratios'!$A$2:$O$25,13,FALSE)</f>
        <v>7.370416667</v>
      </c>
      <c r="V206" s="59">
        <f>$F206*VLOOKUP($E206,'AWS Platforms Ratios'!$A$2:$O$25,14,FALSE)</f>
        <v>10.62291667</v>
      </c>
      <c r="W206" s="60">
        <f>IF($K206&lt;&gt;"N/A",$M206*(VLOOKUP($L206,'GPU Specs &amp; Ratios'!$B$2:$I$8,5,FALSE)),0)</f>
        <v>0</v>
      </c>
      <c r="X206" s="60">
        <f>IF($K206&lt;&gt;"N/A",$M206*(VLOOKUP($L206,'GPU Specs &amp; Ratios'!$B$2:$I$8,6,FALSE)),0)</f>
        <v>0</v>
      </c>
      <c r="Y206" s="60">
        <f>IF($K206&lt;&gt;"N/A",$M206*(VLOOKUP($L206,'GPU Specs &amp; Ratios'!$B$2:$I$8,7,FALSE)),0)</f>
        <v>0</v>
      </c>
      <c r="Z206" s="60">
        <f>IF($K206&lt;&gt;"N/A",$M206*(VLOOKUP($L206,'GPU Specs &amp; Ratios'!$B$2:$I$8,8,FALSE)),0)</f>
        <v>0</v>
      </c>
      <c r="AA206" s="60">
        <f>(C206/D206)*VLOOKUP($E206,'AWS Platforms Ratios'!$A$2:$O$25,15,FALSE)</f>
        <v>3.5</v>
      </c>
      <c r="AB206" s="60">
        <f t="shared" ref="AB206:AE206" si="205">O206+S206+W206+$AA206</f>
        <v>8.267708333</v>
      </c>
      <c r="AC206" s="60">
        <f t="shared" si="205"/>
        <v>13.36458333</v>
      </c>
      <c r="AD206" s="60">
        <f t="shared" si="205"/>
        <v>23.65916667</v>
      </c>
      <c r="AE206" s="60">
        <f t="shared" si="205"/>
        <v>32.68052083</v>
      </c>
      <c r="AF206" s="60">
        <f>IF(G206&gt;'Scope 3 Ratios'!$B$5,(G206-'Scope 3 Ratios'!$B$5)*('Scope 3 Ratios'!$B$6/'Scope 3 Ratios'!$B$5),0)</f>
        <v>510.3792</v>
      </c>
      <c r="AG206" s="60">
        <f>J206*IF(I206="SSD",'Scope 3 Ratios'!$B$9,'Scope 3 Ratios'!$B$8)</f>
        <v>400</v>
      </c>
      <c r="AH206" s="60">
        <f>IF(K206&lt;&gt;"N/A",K206*'Scope 3 Ratios'!$B$10,0)</f>
        <v>0</v>
      </c>
      <c r="AI206" s="60">
        <f>(VLOOKUP($E206,'AWS Platforms Ratios'!$A$2:$O$25,3,FALSE)-1)*'Scope 3 Ratios'!$B$7</f>
        <v>100</v>
      </c>
      <c r="AJ206" s="60">
        <f>'Scope 3 Ratios'!$B$2+AF206+AG206+AH206+AI206</f>
        <v>2010.3792</v>
      </c>
      <c r="AK206" s="60">
        <f>AJ206*'Scope 3 Ratios'!$B$4*(C206/D206)</f>
        <v>2.423778935</v>
      </c>
      <c r="AL206" s="61" t="s">
        <v>452</v>
      </c>
    </row>
    <row r="207" ht="15.0" customHeight="1">
      <c r="A207" s="56" t="s">
        <v>454</v>
      </c>
      <c r="B207" s="56" t="s">
        <v>80</v>
      </c>
      <c r="C207" s="56">
        <v>8.0</v>
      </c>
      <c r="D207" s="56">
        <f>VLOOKUP(E207,'AWS Platforms Ratios'!$A$2:$B$25,2,FALSE)</f>
        <v>96</v>
      </c>
      <c r="E207" s="57" t="s">
        <v>237</v>
      </c>
      <c r="F207" s="56">
        <v>32.0</v>
      </c>
      <c r="G207" s="56">
        <v>384.0</v>
      </c>
      <c r="H207" s="57" t="s">
        <v>150</v>
      </c>
      <c r="I207" s="56" t="s">
        <v>85</v>
      </c>
      <c r="J207" s="56">
        <v>4.0</v>
      </c>
      <c r="K207" s="58" t="s">
        <v>73</v>
      </c>
      <c r="L207" s="58" t="s">
        <v>73</v>
      </c>
      <c r="M207" s="58" t="s">
        <v>73</v>
      </c>
      <c r="N207" s="58" t="s">
        <v>73</v>
      </c>
      <c r="O207" s="59">
        <f>($C207/$D207)*VLOOKUP($E207,'AWS Platforms Ratios'!$A$2:$O$25,7,FALSE)</f>
        <v>4.559166667</v>
      </c>
      <c r="P207" s="59">
        <f>($C207/$D207)*VLOOKUP($E207,'AWS Platforms Ratios'!$A$2:$O$25,8,FALSE)</f>
        <v>11.49333333</v>
      </c>
      <c r="Q207" s="59">
        <f>($C207/$D207)*VLOOKUP($E207,'AWS Platforms Ratios'!$A$2:$O$25,9,FALSE)</f>
        <v>25.5775</v>
      </c>
      <c r="R207" s="59">
        <f>($C207/$D207)*VLOOKUP($E207,'AWS Platforms Ratios'!$A$2:$O$25,10,FALSE)</f>
        <v>37.11520833</v>
      </c>
      <c r="S207" s="59">
        <f>$F207*VLOOKUP($E207,'AWS Platforms Ratios'!$A$2:$O$25,11,FALSE)</f>
        <v>4.97625</v>
      </c>
      <c r="T207" s="59">
        <f>$F207*VLOOKUP($E207,'AWS Platforms Ratios'!$A$2:$O$25,12,FALSE)</f>
        <v>8.235833333</v>
      </c>
      <c r="U207" s="59">
        <f>$F207*VLOOKUP($E207,'AWS Platforms Ratios'!$A$2:$O$25,13,FALSE)</f>
        <v>14.74083333</v>
      </c>
      <c r="V207" s="59">
        <f>$F207*VLOOKUP($E207,'AWS Platforms Ratios'!$A$2:$O$25,14,FALSE)</f>
        <v>21.24583333</v>
      </c>
      <c r="W207" s="60">
        <f>IF($K207&lt;&gt;"N/A",$M207*(VLOOKUP($L207,'GPU Specs &amp; Ratios'!$B$2:$I$8,5,FALSE)),0)</f>
        <v>0</v>
      </c>
      <c r="X207" s="60">
        <f>IF($K207&lt;&gt;"N/A",$M207*(VLOOKUP($L207,'GPU Specs &amp; Ratios'!$B$2:$I$8,6,FALSE)),0)</f>
        <v>0</v>
      </c>
      <c r="Y207" s="60">
        <f>IF($K207&lt;&gt;"N/A",$M207*(VLOOKUP($L207,'GPU Specs &amp; Ratios'!$B$2:$I$8,7,FALSE)),0)</f>
        <v>0</v>
      </c>
      <c r="Z207" s="60">
        <f>IF($K207&lt;&gt;"N/A",$M207*(VLOOKUP($L207,'GPU Specs &amp; Ratios'!$B$2:$I$8,8,FALSE)),0)</f>
        <v>0</v>
      </c>
      <c r="AA207" s="60">
        <f>(C207/D207)*VLOOKUP($E207,'AWS Platforms Ratios'!$A$2:$O$25,15,FALSE)</f>
        <v>7</v>
      </c>
      <c r="AB207" s="60">
        <f t="shared" ref="AB207:AE207" si="206">O207+S207+W207+$AA207</f>
        <v>16.53541667</v>
      </c>
      <c r="AC207" s="60">
        <f t="shared" si="206"/>
        <v>26.72916667</v>
      </c>
      <c r="AD207" s="60">
        <f t="shared" si="206"/>
        <v>47.31833333</v>
      </c>
      <c r="AE207" s="60">
        <f t="shared" si="206"/>
        <v>65.36104167</v>
      </c>
      <c r="AF207" s="60">
        <f>IF(G207&gt;'Scope 3 Ratios'!$B$5,(G207-'Scope 3 Ratios'!$B$5)*('Scope 3 Ratios'!$B$6/'Scope 3 Ratios'!$B$5),0)</f>
        <v>510.3792</v>
      </c>
      <c r="AG207" s="60">
        <f>J207*IF(I207="SSD",'Scope 3 Ratios'!$B$9,'Scope 3 Ratios'!$B$8)</f>
        <v>400</v>
      </c>
      <c r="AH207" s="60">
        <f>IF(K207&lt;&gt;"N/A",K207*'Scope 3 Ratios'!$B$10,0)</f>
        <v>0</v>
      </c>
      <c r="AI207" s="60">
        <f>(VLOOKUP($E207,'AWS Platforms Ratios'!$A$2:$O$25,3,FALSE)-1)*'Scope 3 Ratios'!$B$7</f>
        <v>100</v>
      </c>
      <c r="AJ207" s="60">
        <f>'Scope 3 Ratios'!$B$2+AF207+AG207+AH207+AI207</f>
        <v>2010.3792</v>
      </c>
      <c r="AK207" s="60">
        <f>AJ207*'Scope 3 Ratios'!$B$4*(C207/D207)</f>
        <v>4.84755787</v>
      </c>
      <c r="AL207" s="61" t="s">
        <v>452</v>
      </c>
    </row>
    <row r="208" ht="15.0" customHeight="1">
      <c r="A208" s="56" t="s">
        <v>455</v>
      </c>
      <c r="B208" s="56" t="s">
        <v>80</v>
      </c>
      <c r="C208" s="56">
        <v>16.0</v>
      </c>
      <c r="D208" s="56">
        <f>VLOOKUP(E208,'AWS Platforms Ratios'!$A$2:$B$25,2,FALSE)</f>
        <v>96</v>
      </c>
      <c r="E208" s="57" t="s">
        <v>237</v>
      </c>
      <c r="F208" s="56">
        <v>64.0</v>
      </c>
      <c r="G208" s="56">
        <v>384.0</v>
      </c>
      <c r="H208" s="57" t="s">
        <v>152</v>
      </c>
      <c r="I208" s="56" t="s">
        <v>85</v>
      </c>
      <c r="J208" s="56">
        <v>4.0</v>
      </c>
      <c r="K208" s="58" t="s">
        <v>73</v>
      </c>
      <c r="L208" s="58" t="s">
        <v>73</v>
      </c>
      <c r="M208" s="58" t="s">
        <v>73</v>
      </c>
      <c r="N208" s="58" t="s">
        <v>73</v>
      </c>
      <c r="O208" s="59">
        <f>($C208/$D208)*VLOOKUP($E208,'AWS Platforms Ratios'!$A$2:$O$25,7,FALSE)</f>
        <v>9.118333333</v>
      </c>
      <c r="P208" s="59">
        <f>($C208/$D208)*VLOOKUP($E208,'AWS Platforms Ratios'!$A$2:$O$25,8,FALSE)</f>
        <v>22.98666667</v>
      </c>
      <c r="Q208" s="59">
        <f>($C208/$D208)*VLOOKUP($E208,'AWS Platforms Ratios'!$A$2:$O$25,9,FALSE)</f>
        <v>51.155</v>
      </c>
      <c r="R208" s="59">
        <f>($C208/$D208)*VLOOKUP($E208,'AWS Platforms Ratios'!$A$2:$O$25,10,FALSE)</f>
        <v>74.23041667</v>
      </c>
      <c r="S208" s="59">
        <f>$F208*VLOOKUP($E208,'AWS Platforms Ratios'!$A$2:$O$25,11,FALSE)</f>
        <v>9.9525</v>
      </c>
      <c r="T208" s="59">
        <f>$F208*VLOOKUP($E208,'AWS Platforms Ratios'!$A$2:$O$25,12,FALSE)</f>
        <v>16.47166667</v>
      </c>
      <c r="U208" s="59">
        <f>$F208*VLOOKUP($E208,'AWS Platforms Ratios'!$A$2:$O$25,13,FALSE)</f>
        <v>29.48166667</v>
      </c>
      <c r="V208" s="59">
        <f>$F208*VLOOKUP($E208,'AWS Platforms Ratios'!$A$2:$O$25,14,FALSE)</f>
        <v>42.49166667</v>
      </c>
      <c r="W208" s="60">
        <f>IF($K208&lt;&gt;"N/A",$M208*(VLOOKUP($L208,'GPU Specs &amp; Ratios'!$B$2:$I$8,5,FALSE)),0)</f>
        <v>0</v>
      </c>
      <c r="X208" s="60">
        <f>IF($K208&lt;&gt;"N/A",$M208*(VLOOKUP($L208,'GPU Specs &amp; Ratios'!$B$2:$I$8,6,FALSE)),0)</f>
        <v>0</v>
      </c>
      <c r="Y208" s="60">
        <f>IF($K208&lt;&gt;"N/A",$M208*(VLOOKUP($L208,'GPU Specs &amp; Ratios'!$B$2:$I$8,7,FALSE)),0)</f>
        <v>0</v>
      </c>
      <c r="Z208" s="60">
        <f>IF($K208&lt;&gt;"N/A",$M208*(VLOOKUP($L208,'GPU Specs &amp; Ratios'!$B$2:$I$8,8,FALSE)),0)</f>
        <v>0</v>
      </c>
      <c r="AA208" s="60">
        <f>(C208/D208)*VLOOKUP($E208,'AWS Platforms Ratios'!$A$2:$O$25,15,FALSE)</f>
        <v>14</v>
      </c>
      <c r="AB208" s="60">
        <f t="shared" ref="AB208:AE208" si="207">O208+S208+W208+$AA208</f>
        <v>33.07083333</v>
      </c>
      <c r="AC208" s="60">
        <f t="shared" si="207"/>
        <v>53.45833333</v>
      </c>
      <c r="AD208" s="60">
        <f t="shared" si="207"/>
        <v>94.63666667</v>
      </c>
      <c r="AE208" s="60">
        <f t="shared" si="207"/>
        <v>130.7220833</v>
      </c>
      <c r="AF208" s="60">
        <f>IF(G208&gt;'Scope 3 Ratios'!$B$5,(G208-'Scope 3 Ratios'!$B$5)*('Scope 3 Ratios'!$B$6/'Scope 3 Ratios'!$B$5),0)</f>
        <v>510.3792</v>
      </c>
      <c r="AG208" s="60">
        <f>J208*IF(I208="SSD",'Scope 3 Ratios'!$B$9,'Scope 3 Ratios'!$B$8)</f>
        <v>400</v>
      </c>
      <c r="AH208" s="60">
        <f>IF(K208&lt;&gt;"N/A",K208*'Scope 3 Ratios'!$B$10,0)</f>
        <v>0</v>
      </c>
      <c r="AI208" s="60">
        <f>(VLOOKUP($E208,'AWS Platforms Ratios'!$A$2:$O$25,3,FALSE)-1)*'Scope 3 Ratios'!$B$7</f>
        <v>100</v>
      </c>
      <c r="AJ208" s="60">
        <f>'Scope 3 Ratios'!$B$2+AF208+AG208+AH208+AI208</f>
        <v>2010.3792</v>
      </c>
      <c r="AK208" s="60">
        <f>AJ208*'Scope 3 Ratios'!$B$4*(C208/D208)</f>
        <v>9.695115741</v>
      </c>
      <c r="AL208" s="61" t="s">
        <v>452</v>
      </c>
    </row>
    <row r="209" ht="15.0" customHeight="1">
      <c r="A209" s="56" t="s">
        <v>456</v>
      </c>
      <c r="B209" s="56" t="s">
        <v>80</v>
      </c>
      <c r="C209" s="56">
        <v>32.0</v>
      </c>
      <c r="D209" s="56">
        <f>VLOOKUP(E209,'AWS Platforms Ratios'!$A$2:$B$25,2,FALSE)</f>
        <v>96</v>
      </c>
      <c r="E209" s="57" t="s">
        <v>237</v>
      </c>
      <c r="F209" s="56">
        <v>128.0</v>
      </c>
      <c r="G209" s="56">
        <v>384.0</v>
      </c>
      <c r="H209" s="57" t="s">
        <v>154</v>
      </c>
      <c r="I209" s="56" t="s">
        <v>85</v>
      </c>
      <c r="J209" s="56">
        <v>4.0</v>
      </c>
      <c r="K209" s="58" t="s">
        <v>73</v>
      </c>
      <c r="L209" s="58" t="s">
        <v>73</v>
      </c>
      <c r="M209" s="58" t="s">
        <v>73</v>
      </c>
      <c r="N209" s="58" t="s">
        <v>73</v>
      </c>
      <c r="O209" s="59">
        <f>($C209/$D209)*VLOOKUP($E209,'AWS Platforms Ratios'!$A$2:$O$25,7,FALSE)</f>
        <v>18.23666667</v>
      </c>
      <c r="P209" s="59">
        <f>($C209/$D209)*VLOOKUP($E209,'AWS Platforms Ratios'!$A$2:$O$25,8,FALSE)</f>
        <v>45.97333333</v>
      </c>
      <c r="Q209" s="59">
        <f>($C209/$D209)*VLOOKUP($E209,'AWS Platforms Ratios'!$A$2:$O$25,9,FALSE)</f>
        <v>102.31</v>
      </c>
      <c r="R209" s="59">
        <f>($C209/$D209)*VLOOKUP($E209,'AWS Platforms Ratios'!$A$2:$O$25,10,FALSE)</f>
        <v>148.4608333</v>
      </c>
      <c r="S209" s="59">
        <f>$F209*VLOOKUP($E209,'AWS Platforms Ratios'!$A$2:$O$25,11,FALSE)</f>
        <v>19.905</v>
      </c>
      <c r="T209" s="59">
        <f>$F209*VLOOKUP($E209,'AWS Platforms Ratios'!$A$2:$O$25,12,FALSE)</f>
        <v>32.94333333</v>
      </c>
      <c r="U209" s="59">
        <f>$F209*VLOOKUP($E209,'AWS Platforms Ratios'!$A$2:$O$25,13,FALSE)</f>
        <v>58.96333333</v>
      </c>
      <c r="V209" s="59">
        <f>$F209*VLOOKUP($E209,'AWS Platforms Ratios'!$A$2:$O$25,14,FALSE)</f>
        <v>84.98333333</v>
      </c>
      <c r="W209" s="60">
        <f>IF($K209&lt;&gt;"N/A",$M209*(VLOOKUP($L209,'GPU Specs &amp; Ratios'!$B$2:$I$8,5,FALSE)),0)</f>
        <v>0</v>
      </c>
      <c r="X209" s="60">
        <f>IF($K209&lt;&gt;"N/A",$M209*(VLOOKUP($L209,'GPU Specs &amp; Ratios'!$B$2:$I$8,6,FALSE)),0)</f>
        <v>0</v>
      </c>
      <c r="Y209" s="60">
        <f>IF($K209&lt;&gt;"N/A",$M209*(VLOOKUP($L209,'GPU Specs &amp; Ratios'!$B$2:$I$8,7,FALSE)),0)</f>
        <v>0</v>
      </c>
      <c r="Z209" s="60">
        <f>IF($K209&lt;&gt;"N/A",$M209*(VLOOKUP($L209,'GPU Specs &amp; Ratios'!$B$2:$I$8,8,FALSE)),0)</f>
        <v>0</v>
      </c>
      <c r="AA209" s="60">
        <f>(C209/D209)*VLOOKUP($E209,'AWS Platforms Ratios'!$A$2:$O$25,15,FALSE)</f>
        <v>28</v>
      </c>
      <c r="AB209" s="60">
        <f t="shared" ref="AB209:AE209" si="208">O209+S209+W209+$AA209</f>
        <v>66.14166667</v>
      </c>
      <c r="AC209" s="60">
        <f t="shared" si="208"/>
        <v>106.9166667</v>
      </c>
      <c r="AD209" s="60">
        <f t="shared" si="208"/>
        <v>189.2733333</v>
      </c>
      <c r="AE209" s="60">
        <f t="shared" si="208"/>
        <v>261.4441667</v>
      </c>
      <c r="AF209" s="60">
        <f>IF(G209&gt;'Scope 3 Ratios'!$B$5,(G209-'Scope 3 Ratios'!$B$5)*('Scope 3 Ratios'!$B$6/'Scope 3 Ratios'!$B$5),0)</f>
        <v>510.3792</v>
      </c>
      <c r="AG209" s="60">
        <f>J209*IF(I209="SSD",'Scope 3 Ratios'!$B$9,'Scope 3 Ratios'!$B$8)</f>
        <v>400</v>
      </c>
      <c r="AH209" s="60">
        <f>IF(K209&lt;&gt;"N/A",K209*'Scope 3 Ratios'!$B$10,0)</f>
        <v>0</v>
      </c>
      <c r="AI209" s="60">
        <f>(VLOOKUP($E209,'AWS Platforms Ratios'!$A$2:$O$25,3,FALSE)-1)*'Scope 3 Ratios'!$B$7</f>
        <v>100</v>
      </c>
      <c r="AJ209" s="60">
        <f>'Scope 3 Ratios'!$B$2+AF209+AG209+AH209+AI209</f>
        <v>2010.3792</v>
      </c>
      <c r="AK209" s="60">
        <f>AJ209*'Scope 3 Ratios'!$B$4*(C209/D209)</f>
        <v>19.39023148</v>
      </c>
      <c r="AL209" s="61" t="s">
        <v>452</v>
      </c>
    </row>
    <row r="210" ht="15.0" customHeight="1">
      <c r="A210" s="56" t="s">
        <v>457</v>
      </c>
      <c r="B210" s="56" t="s">
        <v>80</v>
      </c>
      <c r="C210" s="56">
        <v>48.0</v>
      </c>
      <c r="D210" s="56">
        <f>VLOOKUP(E210,'AWS Platforms Ratios'!$A$2:$B$25,2,FALSE)</f>
        <v>96</v>
      </c>
      <c r="E210" s="57" t="s">
        <v>237</v>
      </c>
      <c r="F210" s="56">
        <v>192.0</v>
      </c>
      <c r="G210" s="56">
        <v>384.0</v>
      </c>
      <c r="H210" s="57" t="s">
        <v>156</v>
      </c>
      <c r="I210" s="56" t="s">
        <v>85</v>
      </c>
      <c r="J210" s="56">
        <v>4.0</v>
      </c>
      <c r="K210" s="58" t="s">
        <v>73</v>
      </c>
      <c r="L210" s="58" t="s">
        <v>73</v>
      </c>
      <c r="M210" s="58" t="s">
        <v>73</v>
      </c>
      <c r="N210" s="58" t="s">
        <v>73</v>
      </c>
      <c r="O210" s="59">
        <f>($C210/$D210)*VLOOKUP($E210,'AWS Platforms Ratios'!$A$2:$O$25,7,FALSE)</f>
        <v>27.355</v>
      </c>
      <c r="P210" s="59">
        <f>($C210/$D210)*VLOOKUP($E210,'AWS Platforms Ratios'!$A$2:$O$25,8,FALSE)</f>
        <v>68.96</v>
      </c>
      <c r="Q210" s="59">
        <f>($C210/$D210)*VLOOKUP($E210,'AWS Platforms Ratios'!$A$2:$O$25,9,FALSE)</f>
        <v>153.465</v>
      </c>
      <c r="R210" s="59">
        <f>($C210/$D210)*VLOOKUP($E210,'AWS Platforms Ratios'!$A$2:$O$25,10,FALSE)</f>
        <v>222.69125</v>
      </c>
      <c r="S210" s="59">
        <f>$F210*VLOOKUP($E210,'AWS Platforms Ratios'!$A$2:$O$25,11,FALSE)</f>
        <v>29.8575</v>
      </c>
      <c r="T210" s="59">
        <f>$F210*VLOOKUP($E210,'AWS Platforms Ratios'!$A$2:$O$25,12,FALSE)</f>
        <v>49.415</v>
      </c>
      <c r="U210" s="59">
        <f>$F210*VLOOKUP($E210,'AWS Platforms Ratios'!$A$2:$O$25,13,FALSE)</f>
        <v>88.445</v>
      </c>
      <c r="V210" s="59">
        <f>$F210*VLOOKUP($E210,'AWS Platforms Ratios'!$A$2:$O$25,14,FALSE)</f>
        <v>127.475</v>
      </c>
      <c r="W210" s="60">
        <f>IF($K210&lt;&gt;"N/A",$M210*(VLOOKUP($L210,'GPU Specs &amp; Ratios'!$B$2:$I$8,5,FALSE)),0)</f>
        <v>0</v>
      </c>
      <c r="X210" s="60">
        <f>IF($K210&lt;&gt;"N/A",$M210*(VLOOKUP($L210,'GPU Specs &amp; Ratios'!$B$2:$I$8,6,FALSE)),0)</f>
        <v>0</v>
      </c>
      <c r="Y210" s="60">
        <f>IF($K210&lt;&gt;"N/A",$M210*(VLOOKUP($L210,'GPU Specs &amp; Ratios'!$B$2:$I$8,7,FALSE)),0)</f>
        <v>0</v>
      </c>
      <c r="Z210" s="60">
        <f>IF($K210&lt;&gt;"N/A",$M210*(VLOOKUP($L210,'GPU Specs &amp; Ratios'!$B$2:$I$8,8,FALSE)),0)</f>
        <v>0</v>
      </c>
      <c r="AA210" s="60">
        <f>(C210/D210)*VLOOKUP($E210,'AWS Platforms Ratios'!$A$2:$O$25,15,FALSE)</f>
        <v>42</v>
      </c>
      <c r="AB210" s="60">
        <f t="shared" ref="AB210:AE210" si="209">O210+S210+W210+$AA210</f>
        <v>99.2125</v>
      </c>
      <c r="AC210" s="60">
        <f t="shared" si="209"/>
        <v>160.375</v>
      </c>
      <c r="AD210" s="60">
        <f t="shared" si="209"/>
        <v>283.91</v>
      </c>
      <c r="AE210" s="60">
        <f t="shared" si="209"/>
        <v>392.16625</v>
      </c>
      <c r="AF210" s="60">
        <f>IF(G210&gt;'Scope 3 Ratios'!$B$5,(G210-'Scope 3 Ratios'!$B$5)*('Scope 3 Ratios'!$B$6/'Scope 3 Ratios'!$B$5),0)</f>
        <v>510.3792</v>
      </c>
      <c r="AG210" s="60">
        <f>J210*IF(I210="SSD",'Scope 3 Ratios'!$B$9,'Scope 3 Ratios'!$B$8)</f>
        <v>400</v>
      </c>
      <c r="AH210" s="60">
        <f>IF(K210&lt;&gt;"N/A",K210*'Scope 3 Ratios'!$B$10,0)</f>
        <v>0</v>
      </c>
      <c r="AI210" s="60">
        <f>(VLOOKUP($E210,'AWS Platforms Ratios'!$A$2:$O$25,3,FALSE)-1)*'Scope 3 Ratios'!$B$7</f>
        <v>100</v>
      </c>
      <c r="AJ210" s="60">
        <f>'Scope 3 Ratios'!$B$2+AF210+AG210+AH210+AI210</f>
        <v>2010.3792</v>
      </c>
      <c r="AK210" s="60">
        <f>AJ210*'Scope 3 Ratios'!$B$4*(C210/D210)</f>
        <v>29.08534722</v>
      </c>
      <c r="AL210" s="61" t="s">
        <v>452</v>
      </c>
    </row>
    <row r="211" ht="15.0" customHeight="1">
      <c r="A211" s="56" t="s">
        <v>458</v>
      </c>
      <c r="B211" s="56" t="s">
        <v>80</v>
      </c>
      <c r="C211" s="56">
        <v>64.0</v>
      </c>
      <c r="D211" s="56">
        <f>VLOOKUP(E211,'AWS Platforms Ratios'!$A$2:$B$25,2,FALSE)</f>
        <v>96</v>
      </c>
      <c r="E211" s="57" t="s">
        <v>237</v>
      </c>
      <c r="F211" s="56">
        <v>256.0</v>
      </c>
      <c r="G211" s="56">
        <v>384.0</v>
      </c>
      <c r="H211" s="57" t="s">
        <v>439</v>
      </c>
      <c r="I211" s="56" t="s">
        <v>85</v>
      </c>
      <c r="J211" s="56">
        <v>4.0</v>
      </c>
      <c r="K211" s="58" t="s">
        <v>73</v>
      </c>
      <c r="L211" s="58" t="s">
        <v>73</v>
      </c>
      <c r="M211" s="58" t="s">
        <v>73</v>
      </c>
      <c r="N211" s="58" t="s">
        <v>73</v>
      </c>
      <c r="O211" s="59">
        <f>($C211/$D211)*VLOOKUP($E211,'AWS Platforms Ratios'!$A$2:$O$25,7,FALSE)</f>
        <v>36.47333333</v>
      </c>
      <c r="P211" s="59">
        <f>($C211/$D211)*VLOOKUP($E211,'AWS Platforms Ratios'!$A$2:$O$25,8,FALSE)</f>
        <v>91.94666667</v>
      </c>
      <c r="Q211" s="59">
        <f>($C211/$D211)*VLOOKUP($E211,'AWS Platforms Ratios'!$A$2:$O$25,9,FALSE)</f>
        <v>204.62</v>
      </c>
      <c r="R211" s="59">
        <f>($C211/$D211)*VLOOKUP($E211,'AWS Platforms Ratios'!$A$2:$O$25,10,FALSE)</f>
        <v>296.9216667</v>
      </c>
      <c r="S211" s="59">
        <f>$F211*VLOOKUP($E211,'AWS Platforms Ratios'!$A$2:$O$25,11,FALSE)</f>
        <v>39.81</v>
      </c>
      <c r="T211" s="59">
        <f>$F211*VLOOKUP($E211,'AWS Platforms Ratios'!$A$2:$O$25,12,FALSE)</f>
        <v>65.88666667</v>
      </c>
      <c r="U211" s="59">
        <f>$F211*VLOOKUP($E211,'AWS Platforms Ratios'!$A$2:$O$25,13,FALSE)</f>
        <v>117.9266667</v>
      </c>
      <c r="V211" s="59">
        <f>$F211*VLOOKUP($E211,'AWS Platforms Ratios'!$A$2:$O$25,14,FALSE)</f>
        <v>169.9666667</v>
      </c>
      <c r="W211" s="60">
        <f>IF($K211&lt;&gt;"N/A",$M211*(VLOOKUP($L211,'GPU Specs &amp; Ratios'!$B$2:$I$8,5,FALSE)),0)</f>
        <v>0</v>
      </c>
      <c r="X211" s="60">
        <f>IF($K211&lt;&gt;"N/A",$M211*(VLOOKUP($L211,'GPU Specs &amp; Ratios'!$B$2:$I$8,6,FALSE)),0)</f>
        <v>0</v>
      </c>
      <c r="Y211" s="60">
        <f>IF($K211&lt;&gt;"N/A",$M211*(VLOOKUP($L211,'GPU Specs &amp; Ratios'!$B$2:$I$8,7,FALSE)),0)</f>
        <v>0</v>
      </c>
      <c r="Z211" s="60">
        <f>IF($K211&lt;&gt;"N/A",$M211*(VLOOKUP($L211,'GPU Specs &amp; Ratios'!$B$2:$I$8,8,FALSE)),0)</f>
        <v>0</v>
      </c>
      <c r="AA211" s="60">
        <f>(C211/D211)*VLOOKUP($E211,'AWS Platforms Ratios'!$A$2:$O$25,15,FALSE)</f>
        <v>56</v>
      </c>
      <c r="AB211" s="60">
        <f t="shared" ref="AB211:AE211" si="210">O211+S211+W211+$AA211</f>
        <v>132.2833333</v>
      </c>
      <c r="AC211" s="60">
        <f t="shared" si="210"/>
        <v>213.8333333</v>
      </c>
      <c r="AD211" s="60">
        <f t="shared" si="210"/>
        <v>378.5466667</v>
      </c>
      <c r="AE211" s="60">
        <f t="shared" si="210"/>
        <v>522.8883333</v>
      </c>
      <c r="AF211" s="60">
        <f>IF(G211&gt;'Scope 3 Ratios'!$B$5,(G211-'Scope 3 Ratios'!$B$5)*('Scope 3 Ratios'!$B$6/'Scope 3 Ratios'!$B$5),0)</f>
        <v>510.3792</v>
      </c>
      <c r="AG211" s="60">
        <f>J211*IF(I211="SSD",'Scope 3 Ratios'!$B$9,'Scope 3 Ratios'!$B$8)</f>
        <v>400</v>
      </c>
      <c r="AH211" s="60">
        <f>IF(K211&lt;&gt;"N/A",K211*'Scope 3 Ratios'!$B$10,0)</f>
        <v>0</v>
      </c>
      <c r="AI211" s="60">
        <f>(VLOOKUP($E211,'AWS Platforms Ratios'!$A$2:$O$25,3,FALSE)-1)*'Scope 3 Ratios'!$B$7</f>
        <v>100</v>
      </c>
      <c r="AJ211" s="60">
        <f>'Scope 3 Ratios'!$B$2+AF211+AG211+AH211+AI211</f>
        <v>2010.3792</v>
      </c>
      <c r="AK211" s="60">
        <f>AJ211*'Scope 3 Ratios'!$B$4*(C211/D211)</f>
        <v>38.78046296</v>
      </c>
      <c r="AL211" s="61" t="s">
        <v>452</v>
      </c>
    </row>
    <row r="212" ht="15.0" customHeight="1">
      <c r="A212" s="56" t="s">
        <v>459</v>
      </c>
      <c r="B212" s="56" t="s">
        <v>80</v>
      </c>
      <c r="C212" s="56">
        <v>96.0</v>
      </c>
      <c r="D212" s="56">
        <f>VLOOKUP(E212,'AWS Platforms Ratios'!$A$2:$B$25,2,FALSE)</f>
        <v>96</v>
      </c>
      <c r="E212" s="57" t="s">
        <v>237</v>
      </c>
      <c r="F212" s="56">
        <v>384.0</v>
      </c>
      <c r="G212" s="56">
        <v>384.0</v>
      </c>
      <c r="H212" s="57" t="s">
        <v>176</v>
      </c>
      <c r="I212" s="56" t="s">
        <v>85</v>
      </c>
      <c r="J212" s="56">
        <v>4.0</v>
      </c>
      <c r="K212" s="58" t="s">
        <v>73</v>
      </c>
      <c r="L212" s="58" t="s">
        <v>73</v>
      </c>
      <c r="M212" s="58" t="s">
        <v>73</v>
      </c>
      <c r="N212" s="58" t="s">
        <v>73</v>
      </c>
      <c r="O212" s="59">
        <f>($C212/$D212)*VLOOKUP($E212,'AWS Platforms Ratios'!$A$2:$O$25,7,FALSE)</f>
        <v>54.71</v>
      </c>
      <c r="P212" s="59">
        <f>($C212/$D212)*VLOOKUP($E212,'AWS Platforms Ratios'!$A$2:$O$25,8,FALSE)</f>
        <v>137.92</v>
      </c>
      <c r="Q212" s="59">
        <f>($C212/$D212)*VLOOKUP($E212,'AWS Platforms Ratios'!$A$2:$O$25,9,FALSE)</f>
        <v>306.93</v>
      </c>
      <c r="R212" s="59">
        <f>($C212/$D212)*VLOOKUP($E212,'AWS Platforms Ratios'!$A$2:$O$25,10,FALSE)</f>
        <v>445.3825</v>
      </c>
      <c r="S212" s="59">
        <f>$F212*VLOOKUP($E212,'AWS Platforms Ratios'!$A$2:$O$25,11,FALSE)</f>
        <v>59.715</v>
      </c>
      <c r="T212" s="59">
        <f>$F212*VLOOKUP($E212,'AWS Platforms Ratios'!$A$2:$O$25,12,FALSE)</f>
        <v>98.83</v>
      </c>
      <c r="U212" s="59">
        <f>$F212*VLOOKUP($E212,'AWS Platforms Ratios'!$A$2:$O$25,13,FALSE)</f>
        <v>176.89</v>
      </c>
      <c r="V212" s="59">
        <f>$F212*VLOOKUP($E212,'AWS Platforms Ratios'!$A$2:$O$25,14,FALSE)</f>
        <v>254.95</v>
      </c>
      <c r="W212" s="60">
        <f>IF($K212&lt;&gt;"N/A",$M212*(VLOOKUP($L212,'GPU Specs &amp; Ratios'!$B$2:$I$8,5,FALSE)),0)</f>
        <v>0</v>
      </c>
      <c r="X212" s="60">
        <f>IF($K212&lt;&gt;"N/A",$M212*(VLOOKUP($L212,'GPU Specs &amp; Ratios'!$B$2:$I$8,6,FALSE)),0)</f>
        <v>0</v>
      </c>
      <c r="Y212" s="60">
        <f>IF($K212&lt;&gt;"N/A",$M212*(VLOOKUP($L212,'GPU Specs &amp; Ratios'!$B$2:$I$8,7,FALSE)),0)</f>
        <v>0</v>
      </c>
      <c r="Z212" s="60">
        <f>IF($K212&lt;&gt;"N/A",$M212*(VLOOKUP($L212,'GPU Specs &amp; Ratios'!$B$2:$I$8,8,FALSE)),0)</f>
        <v>0</v>
      </c>
      <c r="AA212" s="60">
        <f>(C212/D212)*VLOOKUP($E212,'AWS Platforms Ratios'!$A$2:$O$25,15,FALSE)</f>
        <v>84</v>
      </c>
      <c r="AB212" s="60">
        <f t="shared" ref="AB212:AE212" si="211">O212+S212+W212+$AA212</f>
        <v>198.425</v>
      </c>
      <c r="AC212" s="60">
        <f t="shared" si="211"/>
        <v>320.75</v>
      </c>
      <c r="AD212" s="60">
        <f t="shared" si="211"/>
        <v>567.82</v>
      </c>
      <c r="AE212" s="60">
        <f t="shared" si="211"/>
        <v>784.3325</v>
      </c>
      <c r="AF212" s="60">
        <f>IF(G212&gt;'Scope 3 Ratios'!$B$5,(G212-'Scope 3 Ratios'!$B$5)*('Scope 3 Ratios'!$B$6/'Scope 3 Ratios'!$B$5),0)</f>
        <v>510.3792</v>
      </c>
      <c r="AG212" s="60">
        <f>J212*IF(I212="SSD",'Scope 3 Ratios'!$B$9,'Scope 3 Ratios'!$B$8)</f>
        <v>400</v>
      </c>
      <c r="AH212" s="60">
        <f>IF(K212&lt;&gt;"N/A",K212*'Scope 3 Ratios'!$B$10,0)</f>
        <v>0</v>
      </c>
      <c r="AI212" s="60">
        <f>(VLOOKUP($E212,'AWS Platforms Ratios'!$A$2:$O$25,3,FALSE)-1)*'Scope 3 Ratios'!$B$7</f>
        <v>100</v>
      </c>
      <c r="AJ212" s="60">
        <f>'Scope 3 Ratios'!$B$2+AF212+AG212+AH212+AI212</f>
        <v>2010.3792</v>
      </c>
      <c r="AK212" s="60">
        <f>AJ212*'Scope 3 Ratios'!$B$4*(C212/D212)</f>
        <v>58.17069444</v>
      </c>
      <c r="AL212" s="61" t="s">
        <v>452</v>
      </c>
    </row>
    <row r="213" ht="15.0" customHeight="1">
      <c r="A213" s="56" t="s">
        <v>460</v>
      </c>
      <c r="B213" s="56" t="s">
        <v>461</v>
      </c>
      <c r="C213" s="56">
        <v>96.0</v>
      </c>
      <c r="D213" s="56">
        <f>VLOOKUP(E213,'AWS Platforms Ratios'!$A$2:$B$25,2,FALSE)</f>
        <v>96</v>
      </c>
      <c r="E213" s="57" t="s">
        <v>237</v>
      </c>
      <c r="F213" s="56">
        <v>384.0</v>
      </c>
      <c r="G213" s="56">
        <v>384.0</v>
      </c>
      <c r="H213" s="57" t="s">
        <v>176</v>
      </c>
      <c r="I213" s="56" t="s">
        <v>85</v>
      </c>
      <c r="J213" s="56">
        <v>4.0</v>
      </c>
      <c r="K213" s="58" t="s">
        <v>73</v>
      </c>
      <c r="L213" s="58" t="s">
        <v>73</v>
      </c>
      <c r="M213" s="58" t="s">
        <v>73</v>
      </c>
      <c r="N213" s="58" t="s">
        <v>73</v>
      </c>
      <c r="O213" s="59">
        <f>($C213/$D213)*VLOOKUP($E213,'AWS Platforms Ratios'!$A$2:$O$25,7,FALSE)</f>
        <v>54.71</v>
      </c>
      <c r="P213" s="59">
        <f>($C213/$D213)*VLOOKUP($E213,'AWS Platforms Ratios'!$A$2:$O$25,8,FALSE)</f>
        <v>137.92</v>
      </c>
      <c r="Q213" s="59">
        <f>($C213/$D213)*VLOOKUP($E213,'AWS Platforms Ratios'!$A$2:$O$25,9,FALSE)</f>
        <v>306.93</v>
      </c>
      <c r="R213" s="59">
        <f>($C213/$D213)*VLOOKUP($E213,'AWS Platforms Ratios'!$A$2:$O$25,10,FALSE)</f>
        <v>445.3825</v>
      </c>
      <c r="S213" s="59">
        <f>$F213*VLOOKUP($E213,'AWS Platforms Ratios'!$A$2:$O$25,11,FALSE)</f>
        <v>59.715</v>
      </c>
      <c r="T213" s="59">
        <f>$F213*VLOOKUP($E213,'AWS Platforms Ratios'!$A$2:$O$25,12,FALSE)</f>
        <v>98.83</v>
      </c>
      <c r="U213" s="59">
        <f>$F213*VLOOKUP($E213,'AWS Platforms Ratios'!$A$2:$O$25,13,FALSE)</f>
        <v>176.89</v>
      </c>
      <c r="V213" s="59">
        <f>$F213*VLOOKUP($E213,'AWS Platforms Ratios'!$A$2:$O$25,14,FALSE)</f>
        <v>254.95</v>
      </c>
      <c r="W213" s="60">
        <f>IF($K213&lt;&gt;"N/A",$M213*(VLOOKUP($L213,'GPU Specs &amp; Ratios'!$B$2:$I$8,5,FALSE)),0)</f>
        <v>0</v>
      </c>
      <c r="X213" s="60">
        <f>IF($K213&lt;&gt;"N/A",$M213*(VLOOKUP($L213,'GPU Specs &amp; Ratios'!$B$2:$I$8,6,FALSE)),0)</f>
        <v>0</v>
      </c>
      <c r="Y213" s="60">
        <f>IF($K213&lt;&gt;"N/A",$M213*(VLOOKUP($L213,'GPU Specs &amp; Ratios'!$B$2:$I$8,7,FALSE)),0)</f>
        <v>0</v>
      </c>
      <c r="Z213" s="60">
        <f>IF($K213&lt;&gt;"N/A",$M213*(VLOOKUP($L213,'GPU Specs &amp; Ratios'!$B$2:$I$8,8,FALSE)),0)</f>
        <v>0</v>
      </c>
      <c r="AA213" s="60">
        <f>(C213/D213)*VLOOKUP($E213,'AWS Platforms Ratios'!$A$2:$O$25,15,FALSE)</f>
        <v>84</v>
      </c>
      <c r="AB213" s="60">
        <f t="shared" ref="AB213:AE213" si="212">O213+S213+W213+$AA213</f>
        <v>198.425</v>
      </c>
      <c r="AC213" s="60">
        <f t="shared" si="212"/>
        <v>320.75</v>
      </c>
      <c r="AD213" s="60">
        <f t="shared" si="212"/>
        <v>567.82</v>
      </c>
      <c r="AE213" s="60">
        <f t="shared" si="212"/>
        <v>784.3325</v>
      </c>
      <c r="AF213" s="60">
        <f>IF(G213&gt;'Scope 3 Ratios'!$B$5,(G213-'Scope 3 Ratios'!$B$5)*('Scope 3 Ratios'!$B$6/'Scope 3 Ratios'!$B$5),0)</f>
        <v>510.3792</v>
      </c>
      <c r="AG213" s="60">
        <f>J213*IF(I213="SSD",'Scope 3 Ratios'!$B$9,'Scope 3 Ratios'!$B$8)</f>
        <v>400</v>
      </c>
      <c r="AH213" s="60">
        <f>IF(K213&lt;&gt;"N/A",K213*'Scope 3 Ratios'!$B$10,0)</f>
        <v>0</v>
      </c>
      <c r="AI213" s="60">
        <f>(VLOOKUP($E213,'AWS Platforms Ratios'!$A$2:$O$25,3,FALSE)-1)*'Scope 3 Ratios'!$B$7</f>
        <v>100</v>
      </c>
      <c r="AJ213" s="60">
        <f>'Scope 3 Ratios'!$B$2+AF213+AG213+AH213+AI213</f>
        <v>2010.3792</v>
      </c>
      <c r="AK213" s="60">
        <f>AJ213*'Scope 3 Ratios'!$B$4*(C213/D213)</f>
        <v>58.17069444</v>
      </c>
      <c r="AL213" s="61" t="s">
        <v>452</v>
      </c>
    </row>
    <row r="214" ht="15.0" customHeight="1">
      <c r="A214" s="56" t="s">
        <v>462</v>
      </c>
      <c r="B214" s="56" t="s">
        <v>80</v>
      </c>
      <c r="C214" s="56">
        <v>2.0</v>
      </c>
      <c r="D214" s="56">
        <f>VLOOKUP(E214,'AWS Platforms Ratios'!$A$2:$B$25,2,FALSE)</f>
        <v>96</v>
      </c>
      <c r="E214" s="57" t="s">
        <v>237</v>
      </c>
      <c r="F214" s="56">
        <v>8.0</v>
      </c>
      <c r="G214" s="56">
        <v>384.0</v>
      </c>
      <c r="H214" s="57" t="s">
        <v>71</v>
      </c>
      <c r="I214" s="56" t="s">
        <v>72</v>
      </c>
      <c r="J214" s="56">
        <v>0.0</v>
      </c>
      <c r="K214" s="58" t="s">
        <v>73</v>
      </c>
      <c r="L214" s="58" t="s">
        <v>73</v>
      </c>
      <c r="M214" s="58" t="s">
        <v>73</v>
      </c>
      <c r="N214" s="58" t="s">
        <v>73</v>
      </c>
      <c r="O214" s="59">
        <f>($C214/$D214)*VLOOKUP($E214,'AWS Platforms Ratios'!$A$2:$O$25,7,FALSE)</f>
        <v>1.139791667</v>
      </c>
      <c r="P214" s="59">
        <f>($C214/$D214)*VLOOKUP($E214,'AWS Platforms Ratios'!$A$2:$O$25,8,FALSE)</f>
        <v>2.873333333</v>
      </c>
      <c r="Q214" s="59">
        <f>($C214/$D214)*VLOOKUP($E214,'AWS Platforms Ratios'!$A$2:$O$25,9,FALSE)</f>
        <v>6.394375</v>
      </c>
      <c r="R214" s="59">
        <f>($C214/$D214)*VLOOKUP($E214,'AWS Platforms Ratios'!$A$2:$O$25,10,FALSE)</f>
        <v>9.278802083</v>
      </c>
      <c r="S214" s="59">
        <f>$F214*VLOOKUP($E214,'AWS Platforms Ratios'!$A$2:$O$25,11,FALSE)</f>
        <v>1.2440625</v>
      </c>
      <c r="T214" s="59">
        <f>$F214*VLOOKUP($E214,'AWS Platforms Ratios'!$A$2:$O$25,12,FALSE)</f>
        <v>2.058958333</v>
      </c>
      <c r="U214" s="59">
        <f>$F214*VLOOKUP($E214,'AWS Platforms Ratios'!$A$2:$O$25,13,FALSE)</f>
        <v>3.685208333</v>
      </c>
      <c r="V214" s="59">
        <f>$F214*VLOOKUP($E214,'AWS Platforms Ratios'!$A$2:$O$25,14,FALSE)</f>
        <v>5.311458333</v>
      </c>
      <c r="W214" s="60">
        <f>IF($K214&lt;&gt;"N/A",$M214*(VLOOKUP($L214,'GPU Specs &amp; Ratios'!$B$2:$I$8,5,FALSE)),0)</f>
        <v>0</v>
      </c>
      <c r="X214" s="60">
        <f>IF($K214&lt;&gt;"N/A",$M214*(VLOOKUP($L214,'GPU Specs &amp; Ratios'!$B$2:$I$8,6,FALSE)),0)</f>
        <v>0</v>
      </c>
      <c r="Y214" s="60">
        <f>IF($K214&lt;&gt;"N/A",$M214*(VLOOKUP($L214,'GPU Specs &amp; Ratios'!$B$2:$I$8,7,FALSE)),0)</f>
        <v>0</v>
      </c>
      <c r="Z214" s="60">
        <f>IF($K214&lt;&gt;"N/A",$M214*(VLOOKUP($L214,'GPU Specs &amp; Ratios'!$B$2:$I$8,8,FALSE)),0)</f>
        <v>0</v>
      </c>
      <c r="AA214" s="60">
        <f>(C214/D214)*VLOOKUP($E214,'AWS Platforms Ratios'!$A$2:$O$25,15,FALSE)</f>
        <v>1.75</v>
      </c>
      <c r="AB214" s="60">
        <f t="shared" ref="AB214:AE214" si="213">O214+S214+W214+$AA214</f>
        <v>4.133854167</v>
      </c>
      <c r="AC214" s="60">
        <f t="shared" si="213"/>
        <v>6.682291667</v>
      </c>
      <c r="AD214" s="60">
        <f t="shared" si="213"/>
        <v>11.82958333</v>
      </c>
      <c r="AE214" s="60">
        <f t="shared" si="213"/>
        <v>16.34026042</v>
      </c>
      <c r="AF214" s="60">
        <f>IF(G214&gt;'Scope 3 Ratios'!$B$5,(G214-'Scope 3 Ratios'!$B$5)*('Scope 3 Ratios'!$B$6/'Scope 3 Ratios'!$B$5),0)</f>
        <v>510.3792</v>
      </c>
      <c r="AG214" s="60">
        <f>J214*IF(I214="SSD",'Scope 3 Ratios'!$B$9,'Scope 3 Ratios'!$B$8)</f>
        <v>0</v>
      </c>
      <c r="AH214" s="60">
        <f>IF(K214&lt;&gt;"N/A",K214*'Scope 3 Ratios'!$B$10,0)</f>
        <v>0</v>
      </c>
      <c r="AI214" s="60">
        <f>(VLOOKUP($E214,'AWS Platforms Ratios'!$A$2:$O$25,3,FALSE)-1)*'Scope 3 Ratios'!$B$7</f>
        <v>100</v>
      </c>
      <c r="AJ214" s="60">
        <f>'Scope 3 Ratios'!$B$2+AF214+AG214+AH214+AI214</f>
        <v>1610.3792</v>
      </c>
      <c r="AK214" s="60">
        <f>AJ214*'Scope 3 Ratios'!$B$4*(C214/D214)</f>
        <v>0.9707629244</v>
      </c>
      <c r="AL214" s="61" t="s">
        <v>452</v>
      </c>
    </row>
    <row r="215" ht="15.0" customHeight="1">
      <c r="A215" s="56" t="s">
        <v>463</v>
      </c>
      <c r="B215" s="56" t="s">
        <v>80</v>
      </c>
      <c r="C215" s="56">
        <v>4.0</v>
      </c>
      <c r="D215" s="56">
        <f>VLOOKUP(E215,'AWS Platforms Ratios'!$A$2:$B$25,2,FALSE)</f>
        <v>96</v>
      </c>
      <c r="E215" s="57" t="s">
        <v>237</v>
      </c>
      <c r="F215" s="56">
        <v>16.0</v>
      </c>
      <c r="G215" s="56">
        <v>384.0</v>
      </c>
      <c r="H215" s="57" t="s">
        <v>71</v>
      </c>
      <c r="I215" s="56" t="s">
        <v>72</v>
      </c>
      <c r="J215" s="56">
        <v>0.0</v>
      </c>
      <c r="K215" s="58" t="s">
        <v>73</v>
      </c>
      <c r="L215" s="58" t="s">
        <v>73</v>
      </c>
      <c r="M215" s="58" t="s">
        <v>73</v>
      </c>
      <c r="N215" s="58" t="s">
        <v>73</v>
      </c>
      <c r="O215" s="59">
        <f>($C215/$D215)*VLOOKUP($E215,'AWS Platforms Ratios'!$A$2:$O$25,7,FALSE)</f>
        <v>2.279583333</v>
      </c>
      <c r="P215" s="59">
        <f>($C215/$D215)*VLOOKUP($E215,'AWS Platforms Ratios'!$A$2:$O$25,8,FALSE)</f>
        <v>5.746666667</v>
      </c>
      <c r="Q215" s="59">
        <f>($C215/$D215)*VLOOKUP($E215,'AWS Platforms Ratios'!$A$2:$O$25,9,FALSE)</f>
        <v>12.78875</v>
      </c>
      <c r="R215" s="59">
        <f>($C215/$D215)*VLOOKUP($E215,'AWS Platforms Ratios'!$A$2:$O$25,10,FALSE)</f>
        <v>18.55760417</v>
      </c>
      <c r="S215" s="59">
        <f>$F215*VLOOKUP($E215,'AWS Platforms Ratios'!$A$2:$O$25,11,FALSE)</f>
        <v>2.488125</v>
      </c>
      <c r="T215" s="59">
        <f>$F215*VLOOKUP($E215,'AWS Platforms Ratios'!$A$2:$O$25,12,FALSE)</f>
        <v>4.117916667</v>
      </c>
      <c r="U215" s="59">
        <f>$F215*VLOOKUP($E215,'AWS Platforms Ratios'!$A$2:$O$25,13,FALSE)</f>
        <v>7.370416667</v>
      </c>
      <c r="V215" s="59">
        <f>$F215*VLOOKUP($E215,'AWS Platforms Ratios'!$A$2:$O$25,14,FALSE)</f>
        <v>10.62291667</v>
      </c>
      <c r="W215" s="60">
        <f>IF($K215&lt;&gt;"N/A",$M215*(VLOOKUP($L215,'GPU Specs &amp; Ratios'!$B$2:$I$8,5,FALSE)),0)</f>
        <v>0</v>
      </c>
      <c r="X215" s="60">
        <f>IF($K215&lt;&gt;"N/A",$M215*(VLOOKUP($L215,'GPU Specs &amp; Ratios'!$B$2:$I$8,6,FALSE)),0)</f>
        <v>0</v>
      </c>
      <c r="Y215" s="60">
        <f>IF($K215&lt;&gt;"N/A",$M215*(VLOOKUP($L215,'GPU Specs &amp; Ratios'!$B$2:$I$8,7,FALSE)),0)</f>
        <v>0</v>
      </c>
      <c r="Z215" s="60">
        <f>IF($K215&lt;&gt;"N/A",$M215*(VLOOKUP($L215,'GPU Specs &amp; Ratios'!$B$2:$I$8,8,FALSE)),0)</f>
        <v>0</v>
      </c>
      <c r="AA215" s="60">
        <f>(C215/D215)*VLOOKUP($E215,'AWS Platforms Ratios'!$A$2:$O$25,15,FALSE)</f>
        <v>3.5</v>
      </c>
      <c r="AB215" s="60">
        <f t="shared" ref="AB215:AE215" si="214">O215+S215+W215+$AA215</f>
        <v>8.267708333</v>
      </c>
      <c r="AC215" s="60">
        <f t="shared" si="214"/>
        <v>13.36458333</v>
      </c>
      <c r="AD215" s="60">
        <f t="shared" si="214"/>
        <v>23.65916667</v>
      </c>
      <c r="AE215" s="60">
        <f t="shared" si="214"/>
        <v>32.68052083</v>
      </c>
      <c r="AF215" s="60">
        <f>IF(G215&gt;'Scope 3 Ratios'!$B$5,(G215-'Scope 3 Ratios'!$B$5)*('Scope 3 Ratios'!$B$6/'Scope 3 Ratios'!$B$5),0)</f>
        <v>510.3792</v>
      </c>
      <c r="AG215" s="60">
        <f>J215*IF(I215="SSD",'Scope 3 Ratios'!$B$9,'Scope 3 Ratios'!$B$8)</f>
        <v>0</v>
      </c>
      <c r="AH215" s="60">
        <f>IF(K215&lt;&gt;"N/A",K215*'Scope 3 Ratios'!$B$10,0)</f>
        <v>0</v>
      </c>
      <c r="AI215" s="60">
        <f>(VLOOKUP($E215,'AWS Platforms Ratios'!$A$2:$O$25,3,FALSE)-1)*'Scope 3 Ratios'!$B$7</f>
        <v>100</v>
      </c>
      <c r="AJ215" s="60">
        <f>'Scope 3 Ratios'!$B$2+AF215+AG215+AH215+AI215</f>
        <v>1610.3792</v>
      </c>
      <c r="AK215" s="60">
        <f>AJ215*'Scope 3 Ratios'!$B$4*(C215/D215)</f>
        <v>1.941525849</v>
      </c>
      <c r="AL215" s="61" t="s">
        <v>452</v>
      </c>
    </row>
    <row r="216" ht="15.0" customHeight="1">
      <c r="A216" s="56" t="s">
        <v>464</v>
      </c>
      <c r="B216" s="56" t="s">
        <v>80</v>
      </c>
      <c r="C216" s="56">
        <v>8.0</v>
      </c>
      <c r="D216" s="56">
        <f>VLOOKUP(E216,'AWS Platforms Ratios'!$A$2:$B$25,2,FALSE)</f>
        <v>96</v>
      </c>
      <c r="E216" s="57" t="s">
        <v>237</v>
      </c>
      <c r="F216" s="56">
        <v>32.0</v>
      </c>
      <c r="G216" s="56">
        <v>384.0</v>
      </c>
      <c r="H216" s="57" t="s">
        <v>71</v>
      </c>
      <c r="I216" s="56" t="s">
        <v>72</v>
      </c>
      <c r="J216" s="56">
        <v>0.0</v>
      </c>
      <c r="K216" s="58" t="s">
        <v>73</v>
      </c>
      <c r="L216" s="58" t="s">
        <v>73</v>
      </c>
      <c r="M216" s="58" t="s">
        <v>73</v>
      </c>
      <c r="N216" s="58" t="s">
        <v>73</v>
      </c>
      <c r="O216" s="59">
        <f>($C216/$D216)*VLOOKUP($E216,'AWS Platforms Ratios'!$A$2:$O$25,7,FALSE)</f>
        <v>4.559166667</v>
      </c>
      <c r="P216" s="59">
        <f>($C216/$D216)*VLOOKUP($E216,'AWS Platforms Ratios'!$A$2:$O$25,8,FALSE)</f>
        <v>11.49333333</v>
      </c>
      <c r="Q216" s="59">
        <f>($C216/$D216)*VLOOKUP($E216,'AWS Platforms Ratios'!$A$2:$O$25,9,FALSE)</f>
        <v>25.5775</v>
      </c>
      <c r="R216" s="59">
        <f>($C216/$D216)*VLOOKUP($E216,'AWS Platforms Ratios'!$A$2:$O$25,10,FALSE)</f>
        <v>37.11520833</v>
      </c>
      <c r="S216" s="59">
        <f>$F216*VLOOKUP($E216,'AWS Platforms Ratios'!$A$2:$O$25,11,FALSE)</f>
        <v>4.97625</v>
      </c>
      <c r="T216" s="59">
        <f>$F216*VLOOKUP($E216,'AWS Platforms Ratios'!$A$2:$O$25,12,FALSE)</f>
        <v>8.235833333</v>
      </c>
      <c r="U216" s="59">
        <f>$F216*VLOOKUP($E216,'AWS Platforms Ratios'!$A$2:$O$25,13,FALSE)</f>
        <v>14.74083333</v>
      </c>
      <c r="V216" s="59">
        <f>$F216*VLOOKUP($E216,'AWS Platforms Ratios'!$A$2:$O$25,14,FALSE)</f>
        <v>21.24583333</v>
      </c>
      <c r="W216" s="60">
        <f>IF($K216&lt;&gt;"N/A",$M216*(VLOOKUP($L216,'GPU Specs &amp; Ratios'!$B$2:$I$8,5,FALSE)),0)</f>
        <v>0</v>
      </c>
      <c r="X216" s="60">
        <f>IF($K216&lt;&gt;"N/A",$M216*(VLOOKUP($L216,'GPU Specs &amp; Ratios'!$B$2:$I$8,6,FALSE)),0)</f>
        <v>0</v>
      </c>
      <c r="Y216" s="60">
        <f>IF($K216&lt;&gt;"N/A",$M216*(VLOOKUP($L216,'GPU Specs &amp; Ratios'!$B$2:$I$8,7,FALSE)),0)</f>
        <v>0</v>
      </c>
      <c r="Z216" s="60">
        <f>IF($K216&lt;&gt;"N/A",$M216*(VLOOKUP($L216,'GPU Specs &amp; Ratios'!$B$2:$I$8,8,FALSE)),0)</f>
        <v>0</v>
      </c>
      <c r="AA216" s="60">
        <f>(C216/D216)*VLOOKUP($E216,'AWS Platforms Ratios'!$A$2:$O$25,15,FALSE)</f>
        <v>7</v>
      </c>
      <c r="AB216" s="60">
        <f t="shared" ref="AB216:AE216" si="215">O216+S216+W216+$AA216</f>
        <v>16.53541667</v>
      </c>
      <c r="AC216" s="60">
        <f t="shared" si="215"/>
        <v>26.72916667</v>
      </c>
      <c r="AD216" s="60">
        <f t="shared" si="215"/>
        <v>47.31833333</v>
      </c>
      <c r="AE216" s="60">
        <f t="shared" si="215"/>
        <v>65.36104167</v>
      </c>
      <c r="AF216" s="60">
        <f>IF(G216&gt;'Scope 3 Ratios'!$B$5,(G216-'Scope 3 Ratios'!$B$5)*('Scope 3 Ratios'!$B$6/'Scope 3 Ratios'!$B$5),0)</f>
        <v>510.3792</v>
      </c>
      <c r="AG216" s="60">
        <f>J216*IF(I216="SSD",'Scope 3 Ratios'!$B$9,'Scope 3 Ratios'!$B$8)</f>
        <v>0</v>
      </c>
      <c r="AH216" s="60">
        <f>IF(K216&lt;&gt;"N/A",K216*'Scope 3 Ratios'!$B$10,0)</f>
        <v>0</v>
      </c>
      <c r="AI216" s="60">
        <f>(VLOOKUP($E216,'AWS Platforms Ratios'!$A$2:$O$25,3,FALSE)-1)*'Scope 3 Ratios'!$B$7</f>
        <v>100</v>
      </c>
      <c r="AJ216" s="60">
        <f>'Scope 3 Ratios'!$B$2+AF216+AG216+AH216+AI216</f>
        <v>1610.3792</v>
      </c>
      <c r="AK216" s="60">
        <f>AJ216*'Scope 3 Ratios'!$B$4*(C216/D216)</f>
        <v>3.883051698</v>
      </c>
      <c r="AL216" s="61" t="s">
        <v>452</v>
      </c>
    </row>
    <row r="217" ht="15.0" customHeight="1">
      <c r="A217" s="56" t="s">
        <v>465</v>
      </c>
      <c r="B217" s="56" t="s">
        <v>80</v>
      </c>
      <c r="C217" s="56">
        <v>16.0</v>
      </c>
      <c r="D217" s="56">
        <f>VLOOKUP(E217,'AWS Platforms Ratios'!$A$2:$B$25,2,FALSE)</f>
        <v>96</v>
      </c>
      <c r="E217" s="57" t="s">
        <v>237</v>
      </c>
      <c r="F217" s="56">
        <v>64.0</v>
      </c>
      <c r="G217" s="56">
        <v>384.0</v>
      </c>
      <c r="H217" s="57" t="s">
        <v>71</v>
      </c>
      <c r="I217" s="56" t="s">
        <v>72</v>
      </c>
      <c r="J217" s="56">
        <v>0.0</v>
      </c>
      <c r="K217" s="58" t="s">
        <v>73</v>
      </c>
      <c r="L217" s="58" t="s">
        <v>73</v>
      </c>
      <c r="M217" s="58" t="s">
        <v>73</v>
      </c>
      <c r="N217" s="58" t="s">
        <v>73</v>
      </c>
      <c r="O217" s="59">
        <f>($C217/$D217)*VLOOKUP($E217,'AWS Platforms Ratios'!$A$2:$O$25,7,FALSE)</f>
        <v>9.118333333</v>
      </c>
      <c r="P217" s="59">
        <f>($C217/$D217)*VLOOKUP($E217,'AWS Platforms Ratios'!$A$2:$O$25,8,FALSE)</f>
        <v>22.98666667</v>
      </c>
      <c r="Q217" s="59">
        <f>($C217/$D217)*VLOOKUP($E217,'AWS Platforms Ratios'!$A$2:$O$25,9,FALSE)</f>
        <v>51.155</v>
      </c>
      <c r="R217" s="59">
        <f>($C217/$D217)*VLOOKUP($E217,'AWS Platforms Ratios'!$A$2:$O$25,10,FALSE)</f>
        <v>74.23041667</v>
      </c>
      <c r="S217" s="59">
        <f>$F217*VLOOKUP($E217,'AWS Platforms Ratios'!$A$2:$O$25,11,FALSE)</f>
        <v>9.9525</v>
      </c>
      <c r="T217" s="59">
        <f>$F217*VLOOKUP($E217,'AWS Platforms Ratios'!$A$2:$O$25,12,FALSE)</f>
        <v>16.47166667</v>
      </c>
      <c r="U217" s="59">
        <f>$F217*VLOOKUP($E217,'AWS Platforms Ratios'!$A$2:$O$25,13,FALSE)</f>
        <v>29.48166667</v>
      </c>
      <c r="V217" s="59">
        <f>$F217*VLOOKUP($E217,'AWS Platforms Ratios'!$A$2:$O$25,14,FALSE)</f>
        <v>42.49166667</v>
      </c>
      <c r="W217" s="60">
        <f>IF($K217&lt;&gt;"N/A",$M217*(VLOOKUP($L217,'GPU Specs &amp; Ratios'!$B$2:$I$8,5,FALSE)),0)</f>
        <v>0</v>
      </c>
      <c r="X217" s="60">
        <f>IF($K217&lt;&gt;"N/A",$M217*(VLOOKUP($L217,'GPU Specs &amp; Ratios'!$B$2:$I$8,6,FALSE)),0)</f>
        <v>0</v>
      </c>
      <c r="Y217" s="60">
        <f>IF($K217&lt;&gt;"N/A",$M217*(VLOOKUP($L217,'GPU Specs &amp; Ratios'!$B$2:$I$8,7,FALSE)),0)</f>
        <v>0</v>
      </c>
      <c r="Z217" s="60">
        <f>IF($K217&lt;&gt;"N/A",$M217*(VLOOKUP($L217,'GPU Specs &amp; Ratios'!$B$2:$I$8,8,FALSE)),0)</f>
        <v>0</v>
      </c>
      <c r="AA217" s="60">
        <f>(C217/D217)*VLOOKUP($E217,'AWS Platforms Ratios'!$A$2:$O$25,15,FALSE)</f>
        <v>14</v>
      </c>
      <c r="AB217" s="60">
        <f t="shared" ref="AB217:AE217" si="216">O217+S217+W217+$AA217</f>
        <v>33.07083333</v>
      </c>
      <c r="AC217" s="60">
        <f t="shared" si="216"/>
        <v>53.45833333</v>
      </c>
      <c r="AD217" s="60">
        <f t="shared" si="216"/>
        <v>94.63666667</v>
      </c>
      <c r="AE217" s="60">
        <f t="shared" si="216"/>
        <v>130.7220833</v>
      </c>
      <c r="AF217" s="60">
        <f>IF(G217&gt;'Scope 3 Ratios'!$B$5,(G217-'Scope 3 Ratios'!$B$5)*('Scope 3 Ratios'!$B$6/'Scope 3 Ratios'!$B$5),0)</f>
        <v>510.3792</v>
      </c>
      <c r="AG217" s="60">
        <f>J217*IF(I217="SSD",'Scope 3 Ratios'!$B$9,'Scope 3 Ratios'!$B$8)</f>
        <v>0</v>
      </c>
      <c r="AH217" s="60">
        <f>IF(K217&lt;&gt;"N/A",K217*'Scope 3 Ratios'!$B$10,0)</f>
        <v>0</v>
      </c>
      <c r="AI217" s="60">
        <f>(VLOOKUP($E217,'AWS Platforms Ratios'!$A$2:$O$25,3,FALSE)-1)*'Scope 3 Ratios'!$B$7</f>
        <v>100</v>
      </c>
      <c r="AJ217" s="60">
        <f>'Scope 3 Ratios'!$B$2+AF217+AG217+AH217+AI217</f>
        <v>1610.3792</v>
      </c>
      <c r="AK217" s="60">
        <f>AJ217*'Scope 3 Ratios'!$B$4*(C217/D217)</f>
        <v>7.766103395</v>
      </c>
      <c r="AL217" s="61" t="s">
        <v>452</v>
      </c>
    </row>
    <row r="218" ht="15.0" customHeight="1">
      <c r="A218" s="56" t="s">
        <v>466</v>
      </c>
      <c r="B218" s="56" t="s">
        <v>80</v>
      </c>
      <c r="C218" s="56">
        <v>32.0</v>
      </c>
      <c r="D218" s="56">
        <f>VLOOKUP(E218,'AWS Platforms Ratios'!$A$2:$B$25,2,FALSE)</f>
        <v>96</v>
      </c>
      <c r="E218" s="57" t="s">
        <v>237</v>
      </c>
      <c r="F218" s="56">
        <v>128.0</v>
      </c>
      <c r="G218" s="56">
        <v>384.0</v>
      </c>
      <c r="H218" s="57" t="s">
        <v>71</v>
      </c>
      <c r="I218" s="56" t="s">
        <v>72</v>
      </c>
      <c r="J218" s="56">
        <v>0.0</v>
      </c>
      <c r="K218" s="58" t="s">
        <v>73</v>
      </c>
      <c r="L218" s="58" t="s">
        <v>73</v>
      </c>
      <c r="M218" s="58" t="s">
        <v>73</v>
      </c>
      <c r="N218" s="58" t="s">
        <v>73</v>
      </c>
      <c r="O218" s="59">
        <f>($C218/$D218)*VLOOKUP($E218,'AWS Platforms Ratios'!$A$2:$O$25,7,FALSE)</f>
        <v>18.23666667</v>
      </c>
      <c r="P218" s="59">
        <f>($C218/$D218)*VLOOKUP($E218,'AWS Platforms Ratios'!$A$2:$O$25,8,FALSE)</f>
        <v>45.97333333</v>
      </c>
      <c r="Q218" s="59">
        <f>($C218/$D218)*VLOOKUP($E218,'AWS Platforms Ratios'!$A$2:$O$25,9,FALSE)</f>
        <v>102.31</v>
      </c>
      <c r="R218" s="59">
        <f>($C218/$D218)*VLOOKUP($E218,'AWS Platforms Ratios'!$A$2:$O$25,10,FALSE)</f>
        <v>148.4608333</v>
      </c>
      <c r="S218" s="59">
        <f>$F218*VLOOKUP($E218,'AWS Platforms Ratios'!$A$2:$O$25,11,FALSE)</f>
        <v>19.905</v>
      </c>
      <c r="T218" s="59">
        <f>$F218*VLOOKUP($E218,'AWS Platforms Ratios'!$A$2:$O$25,12,FALSE)</f>
        <v>32.94333333</v>
      </c>
      <c r="U218" s="59">
        <f>$F218*VLOOKUP($E218,'AWS Platforms Ratios'!$A$2:$O$25,13,FALSE)</f>
        <v>58.96333333</v>
      </c>
      <c r="V218" s="59">
        <f>$F218*VLOOKUP($E218,'AWS Platforms Ratios'!$A$2:$O$25,14,FALSE)</f>
        <v>84.98333333</v>
      </c>
      <c r="W218" s="60">
        <f>IF($K218&lt;&gt;"N/A",$M218*(VLOOKUP($L218,'GPU Specs &amp; Ratios'!$B$2:$I$8,5,FALSE)),0)</f>
        <v>0</v>
      </c>
      <c r="X218" s="60">
        <f>IF($K218&lt;&gt;"N/A",$M218*(VLOOKUP($L218,'GPU Specs &amp; Ratios'!$B$2:$I$8,6,FALSE)),0)</f>
        <v>0</v>
      </c>
      <c r="Y218" s="60">
        <f>IF($K218&lt;&gt;"N/A",$M218*(VLOOKUP($L218,'GPU Specs &amp; Ratios'!$B$2:$I$8,7,FALSE)),0)</f>
        <v>0</v>
      </c>
      <c r="Z218" s="60">
        <f>IF($K218&lt;&gt;"N/A",$M218*(VLOOKUP($L218,'GPU Specs &amp; Ratios'!$B$2:$I$8,8,FALSE)),0)</f>
        <v>0</v>
      </c>
      <c r="AA218" s="60">
        <f>(C218/D218)*VLOOKUP($E218,'AWS Platforms Ratios'!$A$2:$O$25,15,FALSE)</f>
        <v>28</v>
      </c>
      <c r="AB218" s="60">
        <f t="shared" ref="AB218:AE218" si="217">O218+S218+W218+$AA218</f>
        <v>66.14166667</v>
      </c>
      <c r="AC218" s="60">
        <f t="shared" si="217"/>
        <v>106.9166667</v>
      </c>
      <c r="AD218" s="60">
        <f t="shared" si="217"/>
        <v>189.2733333</v>
      </c>
      <c r="AE218" s="60">
        <f t="shared" si="217"/>
        <v>261.4441667</v>
      </c>
      <c r="AF218" s="60">
        <f>IF(G218&gt;'Scope 3 Ratios'!$B$5,(G218-'Scope 3 Ratios'!$B$5)*('Scope 3 Ratios'!$B$6/'Scope 3 Ratios'!$B$5),0)</f>
        <v>510.3792</v>
      </c>
      <c r="AG218" s="60">
        <f>J218*IF(I218="SSD",'Scope 3 Ratios'!$B$9,'Scope 3 Ratios'!$B$8)</f>
        <v>0</v>
      </c>
      <c r="AH218" s="60">
        <f>IF(K218&lt;&gt;"N/A",K218*'Scope 3 Ratios'!$B$10,0)</f>
        <v>0</v>
      </c>
      <c r="AI218" s="60">
        <f>(VLOOKUP($E218,'AWS Platforms Ratios'!$A$2:$O$25,3,FALSE)-1)*'Scope 3 Ratios'!$B$7</f>
        <v>100</v>
      </c>
      <c r="AJ218" s="60">
        <f>'Scope 3 Ratios'!$B$2+AF218+AG218+AH218+AI218</f>
        <v>1610.3792</v>
      </c>
      <c r="AK218" s="60">
        <f>AJ218*'Scope 3 Ratios'!$B$4*(C218/D218)</f>
        <v>15.53220679</v>
      </c>
      <c r="AL218" s="61" t="s">
        <v>452</v>
      </c>
    </row>
    <row r="219" ht="15.0" customHeight="1">
      <c r="A219" s="56" t="s">
        <v>467</v>
      </c>
      <c r="B219" s="56" t="s">
        <v>80</v>
      </c>
      <c r="C219" s="56">
        <v>48.0</v>
      </c>
      <c r="D219" s="56">
        <f>VLOOKUP(E219,'AWS Platforms Ratios'!$A$2:$B$25,2,FALSE)</f>
        <v>96</v>
      </c>
      <c r="E219" s="57" t="s">
        <v>237</v>
      </c>
      <c r="F219" s="56">
        <v>192.0</v>
      </c>
      <c r="G219" s="56">
        <v>384.0</v>
      </c>
      <c r="H219" s="57" t="s">
        <v>71</v>
      </c>
      <c r="I219" s="56" t="s">
        <v>72</v>
      </c>
      <c r="J219" s="56">
        <v>0.0</v>
      </c>
      <c r="K219" s="58" t="s">
        <v>73</v>
      </c>
      <c r="L219" s="58" t="s">
        <v>73</v>
      </c>
      <c r="M219" s="58" t="s">
        <v>73</v>
      </c>
      <c r="N219" s="58" t="s">
        <v>73</v>
      </c>
      <c r="O219" s="59">
        <f>($C219/$D219)*VLOOKUP($E219,'AWS Platforms Ratios'!$A$2:$O$25,7,FALSE)</f>
        <v>27.355</v>
      </c>
      <c r="P219" s="59">
        <f>($C219/$D219)*VLOOKUP($E219,'AWS Platforms Ratios'!$A$2:$O$25,8,FALSE)</f>
        <v>68.96</v>
      </c>
      <c r="Q219" s="59">
        <f>($C219/$D219)*VLOOKUP($E219,'AWS Platforms Ratios'!$A$2:$O$25,9,FALSE)</f>
        <v>153.465</v>
      </c>
      <c r="R219" s="59">
        <f>($C219/$D219)*VLOOKUP($E219,'AWS Platforms Ratios'!$A$2:$O$25,10,FALSE)</f>
        <v>222.69125</v>
      </c>
      <c r="S219" s="59">
        <f>$F219*VLOOKUP($E219,'AWS Platforms Ratios'!$A$2:$O$25,11,FALSE)</f>
        <v>29.8575</v>
      </c>
      <c r="T219" s="59">
        <f>$F219*VLOOKUP($E219,'AWS Platforms Ratios'!$A$2:$O$25,12,FALSE)</f>
        <v>49.415</v>
      </c>
      <c r="U219" s="59">
        <f>$F219*VLOOKUP($E219,'AWS Platforms Ratios'!$A$2:$O$25,13,FALSE)</f>
        <v>88.445</v>
      </c>
      <c r="V219" s="59">
        <f>$F219*VLOOKUP($E219,'AWS Platforms Ratios'!$A$2:$O$25,14,FALSE)</f>
        <v>127.475</v>
      </c>
      <c r="W219" s="60">
        <f>IF($K219&lt;&gt;"N/A",$M219*(VLOOKUP($L219,'GPU Specs &amp; Ratios'!$B$2:$I$8,5,FALSE)),0)</f>
        <v>0</v>
      </c>
      <c r="X219" s="60">
        <f>IF($K219&lt;&gt;"N/A",$M219*(VLOOKUP($L219,'GPU Specs &amp; Ratios'!$B$2:$I$8,6,FALSE)),0)</f>
        <v>0</v>
      </c>
      <c r="Y219" s="60">
        <f>IF($K219&lt;&gt;"N/A",$M219*(VLOOKUP($L219,'GPU Specs &amp; Ratios'!$B$2:$I$8,7,FALSE)),0)</f>
        <v>0</v>
      </c>
      <c r="Z219" s="60">
        <f>IF($K219&lt;&gt;"N/A",$M219*(VLOOKUP($L219,'GPU Specs &amp; Ratios'!$B$2:$I$8,8,FALSE)),0)</f>
        <v>0</v>
      </c>
      <c r="AA219" s="60">
        <f>(C219/D219)*VLOOKUP($E219,'AWS Platforms Ratios'!$A$2:$O$25,15,FALSE)</f>
        <v>42</v>
      </c>
      <c r="AB219" s="60">
        <f t="shared" ref="AB219:AE219" si="218">O219+S219+W219+$AA219</f>
        <v>99.2125</v>
      </c>
      <c r="AC219" s="60">
        <f t="shared" si="218"/>
        <v>160.375</v>
      </c>
      <c r="AD219" s="60">
        <f t="shared" si="218"/>
        <v>283.91</v>
      </c>
      <c r="AE219" s="60">
        <f t="shared" si="218"/>
        <v>392.16625</v>
      </c>
      <c r="AF219" s="60">
        <f>IF(G219&gt;'Scope 3 Ratios'!$B$5,(G219-'Scope 3 Ratios'!$B$5)*('Scope 3 Ratios'!$B$6/'Scope 3 Ratios'!$B$5),0)</f>
        <v>510.3792</v>
      </c>
      <c r="AG219" s="60">
        <f>J219*IF(I219="SSD",'Scope 3 Ratios'!$B$9,'Scope 3 Ratios'!$B$8)</f>
        <v>0</v>
      </c>
      <c r="AH219" s="60">
        <f>IF(K219&lt;&gt;"N/A",K219*'Scope 3 Ratios'!$B$10,0)</f>
        <v>0</v>
      </c>
      <c r="AI219" s="60">
        <f>(VLOOKUP($E219,'AWS Platforms Ratios'!$A$2:$O$25,3,FALSE)-1)*'Scope 3 Ratios'!$B$7</f>
        <v>100</v>
      </c>
      <c r="AJ219" s="60">
        <f>'Scope 3 Ratios'!$B$2+AF219+AG219+AH219+AI219</f>
        <v>1610.3792</v>
      </c>
      <c r="AK219" s="60">
        <f>AJ219*'Scope 3 Ratios'!$B$4*(C219/D219)</f>
        <v>23.29831019</v>
      </c>
      <c r="AL219" s="61" t="s">
        <v>452</v>
      </c>
    </row>
    <row r="220" ht="15.0" customHeight="1">
      <c r="A220" s="56" t="s">
        <v>468</v>
      </c>
      <c r="B220" s="56" t="s">
        <v>80</v>
      </c>
      <c r="C220" s="56">
        <v>64.0</v>
      </c>
      <c r="D220" s="56">
        <f>VLOOKUP(E220,'AWS Platforms Ratios'!$A$2:$B$25,2,FALSE)</f>
        <v>96</v>
      </c>
      <c r="E220" s="57" t="s">
        <v>237</v>
      </c>
      <c r="F220" s="56">
        <v>256.0</v>
      </c>
      <c r="G220" s="56">
        <v>384.0</v>
      </c>
      <c r="H220" s="57" t="s">
        <v>71</v>
      </c>
      <c r="I220" s="56" t="s">
        <v>72</v>
      </c>
      <c r="J220" s="56">
        <v>0.0</v>
      </c>
      <c r="K220" s="58" t="s">
        <v>73</v>
      </c>
      <c r="L220" s="58" t="s">
        <v>73</v>
      </c>
      <c r="M220" s="58" t="s">
        <v>73</v>
      </c>
      <c r="N220" s="58" t="s">
        <v>73</v>
      </c>
      <c r="O220" s="59">
        <f>($C220/$D220)*VLOOKUP($E220,'AWS Platforms Ratios'!$A$2:$O$25,7,FALSE)</f>
        <v>36.47333333</v>
      </c>
      <c r="P220" s="59">
        <f>($C220/$D220)*VLOOKUP($E220,'AWS Platforms Ratios'!$A$2:$O$25,8,FALSE)</f>
        <v>91.94666667</v>
      </c>
      <c r="Q220" s="59">
        <f>($C220/$D220)*VLOOKUP($E220,'AWS Platforms Ratios'!$A$2:$O$25,9,FALSE)</f>
        <v>204.62</v>
      </c>
      <c r="R220" s="59">
        <f>($C220/$D220)*VLOOKUP($E220,'AWS Platforms Ratios'!$A$2:$O$25,10,FALSE)</f>
        <v>296.9216667</v>
      </c>
      <c r="S220" s="59">
        <f>$F220*VLOOKUP($E220,'AWS Platforms Ratios'!$A$2:$O$25,11,FALSE)</f>
        <v>39.81</v>
      </c>
      <c r="T220" s="59">
        <f>$F220*VLOOKUP($E220,'AWS Platforms Ratios'!$A$2:$O$25,12,FALSE)</f>
        <v>65.88666667</v>
      </c>
      <c r="U220" s="59">
        <f>$F220*VLOOKUP($E220,'AWS Platforms Ratios'!$A$2:$O$25,13,FALSE)</f>
        <v>117.9266667</v>
      </c>
      <c r="V220" s="59">
        <f>$F220*VLOOKUP($E220,'AWS Platforms Ratios'!$A$2:$O$25,14,FALSE)</f>
        <v>169.9666667</v>
      </c>
      <c r="W220" s="60">
        <f>IF($K220&lt;&gt;"N/A",$M220*(VLOOKUP($L220,'GPU Specs &amp; Ratios'!$B$2:$I$8,5,FALSE)),0)</f>
        <v>0</v>
      </c>
      <c r="X220" s="60">
        <f>IF($K220&lt;&gt;"N/A",$M220*(VLOOKUP($L220,'GPU Specs &amp; Ratios'!$B$2:$I$8,6,FALSE)),0)</f>
        <v>0</v>
      </c>
      <c r="Y220" s="60">
        <f>IF($K220&lt;&gt;"N/A",$M220*(VLOOKUP($L220,'GPU Specs &amp; Ratios'!$B$2:$I$8,7,FALSE)),0)</f>
        <v>0</v>
      </c>
      <c r="Z220" s="60">
        <f>IF($K220&lt;&gt;"N/A",$M220*(VLOOKUP($L220,'GPU Specs &amp; Ratios'!$B$2:$I$8,8,FALSE)),0)</f>
        <v>0</v>
      </c>
      <c r="AA220" s="60">
        <f>(C220/D220)*VLOOKUP($E220,'AWS Platforms Ratios'!$A$2:$O$25,15,FALSE)</f>
        <v>56</v>
      </c>
      <c r="AB220" s="60">
        <f t="shared" ref="AB220:AE220" si="219">O220+S220+W220+$AA220</f>
        <v>132.2833333</v>
      </c>
      <c r="AC220" s="60">
        <f t="shared" si="219"/>
        <v>213.8333333</v>
      </c>
      <c r="AD220" s="60">
        <f t="shared" si="219"/>
        <v>378.5466667</v>
      </c>
      <c r="AE220" s="60">
        <f t="shared" si="219"/>
        <v>522.8883333</v>
      </c>
      <c r="AF220" s="60">
        <f>IF(G220&gt;'Scope 3 Ratios'!$B$5,(G220-'Scope 3 Ratios'!$B$5)*('Scope 3 Ratios'!$B$6/'Scope 3 Ratios'!$B$5),0)</f>
        <v>510.3792</v>
      </c>
      <c r="AG220" s="60">
        <f>J220*IF(I220="SSD",'Scope 3 Ratios'!$B$9,'Scope 3 Ratios'!$B$8)</f>
        <v>0</v>
      </c>
      <c r="AH220" s="60">
        <f>IF(K220&lt;&gt;"N/A",K220*'Scope 3 Ratios'!$B$10,0)</f>
        <v>0</v>
      </c>
      <c r="AI220" s="60">
        <f>(VLOOKUP($E220,'AWS Platforms Ratios'!$A$2:$O$25,3,FALSE)-1)*'Scope 3 Ratios'!$B$7</f>
        <v>100</v>
      </c>
      <c r="AJ220" s="60">
        <f>'Scope 3 Ratios'!$B$2+AF220+AG220+AH220+AI220</f>
        <v>1610.3792</v>
      </c>
      <c r="AK220" s="60">
        <f>AJ220*'Scope 3 Ratios'!$B$4*(C220/D220)</f>
        <v>31.06441358</v>
      </c>
      <c r="AL220" s="61" t="s">
        <v>452</v>
      </c>
    </row>
    <row r="221" ht="15.0" customHeight="1">
      <c r="A221" s="56" t="s">
        <v>469</v>
      </c>
      <c r="B221" s="56" t="s">
        <v>80</v>
      </c>
      <c r="C221" s="56">
        <v>96.0</v>
      </c>
      <c r="D221" s="56">
        <f>VLOOKUP(E221,'AWS Platforms Ratios'!$A$2:$B$25,2,FALSE)</f>
        <v>96</v>
      </c>
      <c r="E221" s="57" t="s">
        <v>237</v>
      </c>
      <c r="F221" s="56">
        <v>384.0</v>
      </c>
      <c r="G221" s="56">
        <v>384.0</v>
      </c>
      <c r="H221" s="57" t="s">
        <v>71</v>
      </c>
      <c r="I221" s="56" t="s">
        <v>72</v>
      </c>
      <c r="J221" s="56">
        <v>0.0</v>
      </c>
      <c r="K221" s="58" t="s">
        <v>73</v>
      </c>
      <c r="L221" s="58" t="s">
        <v>73</v>
      </c>
      <c r="M221" s="58" t="s">
        <v>73</v>
      </c>
      <c r="N221" s="58" t="s">
        <v>73</v>
      </c>
      <c r="O221" s="59">
        <f>($C221/$D221)*VLOOKUP($E221,'AWS Platforms Ratios'!$A$2:$O$25,7,FALSE)</f>
        <v>54.71</v>
      </c>
      <c r="P221" s="59">
        <f>($C221/$D221)*VLOOKUP($E221,'AWS Platforms Ratios'!$A$2:$O$25,8,FALSE)</f>
        <v>137.92</v>
      </c>
      <c r="Q221" s="59">
        <f>($C221/$D221)*VLOOKUP($E221,'AWS Platforms Ratios'!$A$2:$O$25,9,FALSE)</f>
        <v>306.93</v>
      </c>
      <c r="R221" s="59">
        <f>($C221/$D221)*VLOOKUP($E221,'AWS Platforms Ratios'!$A$2:$O$25,10,FALSE)</f>
        <v>445.3825</v>
      </c>
      <c r="S221" s="59">
        <f>$F221*VLOOKUP($E221,'AWS Platforms Ratios'!$A$2:$O$25,11,FALSE)</f>
        <v>59.715</v>
      </c>
      <c r="T221" s="59">
        <f>$F221*VLOOKUP($E221,'AWS Platforms Ratios'!$A$2:$O$25,12,FALSE)</f>
        <v>98.83</v>
      </c>
      <c r="U221" s="59">
        <f>$F221*VLOOKUP($E221,'AWS Platforms Ratios'!$A$2:$O$25,13,FALSE)</f>
        <v>176.89</v>
      </c>
      <c r="V221" s="59">
        <f>$F221*VLOOKUP($E221,'AWS Platforms Ratios'!$A$2:$O$25,14,FALSE)</f>
        <v>254.95</v>
      </c>
      <c r="W221" s="60">
        <f>IF($K221&lt;&gt;"N/A",$M221*(VLOOKUP($L221,'GPU Specs &amp; Ratios'!$B$2:$I$8,5,FALSE)),0)</f>
        <v>0</v>
      </c>
      <c r="X221" s="60">
        <f>IF($K221&lt;&gt;"N/A",$M221*(VLOOKUP($L221,'GPU Specs &amp; Ratios'!$B$2:$I$8,6,FALSE)),0)</f>
        <v>0</v>
      </c>
      <c r="Y221" s="60">
        <f>IF($K221&lt;&gt;"N/A",$M221*(VLOOKUP($L221,'GPU Specs &amp; Ratios'!$B$2:$I$8,7,FALSE)),0)</f>
        <v>0</v>
      </c>
      <c r="Z221" s="60">
        <f>IF($K221&lt;&gt;"N/A",$M221*(VLOOKUP($L221,'GPU Specs &amp; Ratios'!$B$2:$I$8,8,FALSE)),0)</f>
        <v>0</v>
      </c>
      <c r="AA221" s="60">
        <f>(C221/D221)*VLOOKUP($E221,'AWS Platforms Ratios'!$A$2:$O$25,15,FALSE)</f>
        <v>84</v>
      </c>
      <c r="AB221" s="60">
        <f t="shared" ref="AB221:AE221" si="220">O221+S221+W221+$AA221</f>
        <v>198.425</v>
      </c>
      <c r="AC221" s="60">
        <f t="shared" si="220"/>
        <v>320.75</v>
      </c>
      <c r="AD221" s="60">
        <f t="shared" si="220"/>
        <v>567.82</v>
      </c>
      <c r="AE221" s="60">
        <f t="shared" si="220"/>
        <v>784.3325</v>
      </c>
      <c r="AF221" s="60">
        <f>IF(G221&gt;'Scope 3 Ratios'!$B$5,(G221-'Scope 3 Ratios'!$B$5)*('Scope 3 Ratios'!$B$6/'Scope 3 Ratios'!$B$5),0)</f>
        <v>510.3792</v>
      </c>
      <c r="AG221" s="60">
        <f>J221*IF(I221="SSD",'Scope 3 Ratios'!$B$9,'Scope 3 Ratios'!$B$8)</f>
        <v>0</v>
      </c>
      <c r="AH221" s="60">
        <f>IF(K221&lt;&gt;"N/A",K221*'Scope 3 Ratios'!$B$10,0)</f>
        <v>0</v>
      </c>
      <c r="AI221" s="60">
        <f>(VLOOKUP($E221,'AWS Platforms Ratios'!$A$2:$O$25,3,FALSE)-1)*'Scope 3 Ratios'!$B$7</f>
        <v>100</v>
      </c>
      <c r="AJ221" s="60">
        <f>'Scope 3 Ratios'!$B$2+AF221+AG221+AH221+AI221</f>
        <v>1610.3792</v>
      </c>
      <c r="AK221" s="60">
        <f>AJ221*'Scope 3 Ratios'!$B$4*(C221/D221)</f>
        <v>46.59662037</v>
      </c>
      <c r="AL221" s="61" t="s">
        <v>452</v>
      </c>
    </row>
    <row r="222" ht="15.0" customHeight="1">
      <c r="A222" s="56" t="s">
        <v>470</v>
      </c>
      <c r="B222" s="56" t="s">
        <v>461</v>
      </c>
      <c r="C222" s="56">
        <v>96.0</v>
      </c>
      <c r="D222" s="56">
        <f>VLOOKUP(E222,'AWS Platforms Ratios'!$A$2:$B$25,2,FALSE)</f>
        <v>96</v>
      </c>
      <c r="E222" s="57" t="s">
        <v>237</v>
      </c>
      <c r="F222" s="56">
        <v>384.0</v>
      </c>
      <c r="G222" s="56">
        <v>384.0</v>
      </c>
      <c r="H222" s="57" t="s">
        <v>71</v>
      </c>
      <c r="I222" s="56" t="s">
        <v>72</v>
      </c>
      <c r="J222" s="56">
        <v>0.0</v>
      </c>
      <c r="K222" s="58" t="s">
        <v>73</v>
      </c>
      <c r="L222" s="58" t="s">
        <v>73</v>
      </c>
      <c r="M222" s="58" t="s">
        <v>73</v>
      </c>
      <c r="N222" s="58" t="s">
        <v>73</v>
      </c>
      <c r="O222" s="59">
        <f>($C222/$D222)*VLOOKUP($E222,'AWS Platforms Ratios'!$A$2:$O$25,7,FALSE)</f>
        <v>54.71</v>
      </c>
      <c r="P222" s="59">
        <f>($C222/$D222)*VLOOKUP($E222,'AWS Platforms Ratios'!$A$2:$O$25,8,FALSE)</f>
        <v>137.92</v>
      </c>
      <c r="Q222" s="59">
        <f>($C222/$D222)*VLOOKUP($E222,'AWS Platforms Ratios'!$A$2:$O$25,9,FALSE)</f>
        <v>306.93</v>
      </c>
      <c r="R222" s="59">
        <f>($C222/$D222)*VLOOKUP($E222,'AWS Platforms Ratios'!$A$2:$O$25,10,FALSE)</f>
        <v>445.3825</v>
      </c>
      <c r="S222" s="59">
        <f>$F222*VLOOKUP($E222,'AWS Platforms Ratios'!$A$2:$O$25,11,FALSE)</f>
        <v>59.715</v>
      </c>
      <c r="T222" s="59">
        <f>$F222*VLOOKUP($E222,'AWS Platforms Ratios'!$A$2:$O$25,12,FALSE)</f>
        <v>98.83</v>
      </c>
      <c r="U222" s="59">
        <f>$F222*VLOOKUP($E222,'AWS Platforms Ratios'!$A$2:$O$25,13,FALSE)</f>
        <v>176.89</v>
      </c>
      <c r="V222" s="59">
        <f>$F222*VLOOKUP($E222,'AWS Platforms Ratios'!$A$2:$O$25,14,FALSE)</f>
        <v>254.95</v>
      </c>
      <c r="W222" s="60">
        <f>IF($K222&lt;&gt;"N/A",$M222*(VLOOKUP($L222,'GPU Specs &amp; Ratios'!$B$2:$I$8,5,FALSE)),0)</f>
        <v>0</v>
      </c>
      <c r="X222" s="60">
        <f>IF($K222&lt;&gt;"N/A",$M222*(VLOOKUP($L222,'GPU Specs &amp; Ratios'!$B$2:$I$8,6,FALSE)),0)</f>
        <v>0</v>
      </c>
      <c r="Y222" s="60">
        <f>IF($K222&lt;&gt;"N/A",$M222*(VLOOKUP($L222,'GPU Specs &amp; Ratios'!$B$2:$I$8,7,FALSE)),0)</f>
        <v>0</v>
      </c>
      <c r="Z222" s="60">
        <f>IF($K222&lt;&gt;"N/A",$M222*(VLOOKUP($L222,'GPU Specs &amp; Ratios'!$B$2:$I$8,8,FALSE)),0)</f>
        <v>0</v>
      </c>
      <c r="AA222" s="60">
        <f>(C222/D222)*VLOOKUP($E222,'AWS Platforms Ratios'!$A$2:$O$25,15,FALSE)</f>
        <v>84</v>
      </c>
      <c r="AB222" s="60">
        <f t="shared" ref="AB222:AE222" si="221">O222+S222+W222+$AA222</f>
        <v>198.425</v>
      </c>
      <c r="AC222" s="60">
        <f t="shared" si="221"/>
        <v>320.75</v>
      </c>
      <c r="AD222" s="60">
        <f t="shared" si="221"/>
        <v>567.82</v>
      </c>
      <c r="AE222" s="60">
        <f t="shared" si="221"/>
        <v>784.3325</v>
      </c>
      <c r="AF222" s="60">
        <f>IF(G222&gt;'Scope 3 Ratios'!$B$5,(G222-'Scope 3 Ratios'!$B$5)*('Scope 3 Ratios'!$B$6/'Scope 3 Ratios'!$B$5),0)</f>
        <v>510.3792</v>
      </c>
      <c r="AG222" s="60">
        <f>J222*IF(I222="SSD",'Scope 3 Ratios'!$B$9,'Scope 3 Ratios'!$B$8)</f>
        <v>0</v>
      </c>
      <c r="AH222" s="60">
        <f>IF(K222&lt;&gt;"N/A",K222*'Scope 3 Ratios'!$B$10,0)</f>
        <v>0</v>
      </c>
      <c r="AI222" s="60">
        <f>(VLOOKUP($E222,'AWS Platforms Ratios'!$A$2:$O$25,3,FALSE)-1)*'Scope 3 Ratios'!$B$7</f>
        <v>100</v>
      </c>
      <c r="AJ222" s="60">
        <f>'Scope 3 Ratios'!$B$2+AF222+AG222+AH222+AI222</f>
        <v>1610.3792</v>
      </c>
      <c r="AK222" s="60">
        <f>AJ222*'Scope 3 Ratios'!$B$4*(C222/D222)</f>
        <v>46.59662037</v>
      </c>
      <c r="AL222" s="61" t="s">
        <v>452</v>
      </c>
    </row>
    <row r="223" ht="15.0" customHeight="1">
      <c r="A223" s="56" t="s">
        <v>471</v>
      </c>
      <c r="B223" s="56" t="s">
        <v>236</v>
      </c>
      <c r="C223" s="56">
        <v>2.0</v>
      </c>
      <c r="D223" s="56">
        <f>VLOOKUP(E223,'AWS Platforms Ratios'!$A$2:$B$25,2,FALSE)</f>
        <v>48</v>
      </c>
      <c r="E223" s="57" t="s">
        <v>472</v>
      </c>
      <c r="F223" s="56">
        <v>8.0</v>
      </c>
      <c r="G223" s="56">
        <v>192.0</v>
      </c>
      <c r="H223" s="57" t="s">
        <v>71</v>
      </c>
      <c r="I223" s="56" t="s">
        <v>72</v>
      </c>
      <c r="J223" s="56">
        <v>0.0</v>
      </c>
      <c r="K223" s="58" t="s">
        <v>73</v>
      </c>
      <c r="L223" s="58" t="s">
        <v>73</v>
      </c>
      <c r="M223" s="58" t="s">
        <v>73</v>
      </c>
      <c r="N223" s="58" t="s">
        <v>73</v>
      </c>
      <c r="O223" s="59">
        <f>($C223/$D223)*VLOOKUP($E223,'AWS Platforms Ratios'!$A$2:$O$25,7,FALSE)</f>
        <v>2.375</v>
      </c>
      <c r="P223" s="59">
        <f>($C223/$D223)*VLOOKUP($E223,'AWS Platforms Ratios'!$A$2:$O$25,8,FALSE)</f>
        <v>6.125</v>
      </c>
      <c r="Q223" s="59">
        <f>($C223/$D223)*VLOOKUP($E223,'AWS Platforms Ratios'!$A$2:$O$25,9,FALSE)</f>
        <v>15.875</v>
      </c>
      <c r="R223" s="59">
        <f>($C223/$D223)*VLOOKUP($E223,'AWS Platforms Ratios'!$A$2:$O$25,10,FALSE)</f>
        <v>19.65625</v>
      </c>
      <c r="S223" s="59">
        <f>$F223*VLOOKUP($E223,'AWS Platforms Ratios'!$A$2:$O$25,11,FALSE)</f>
        <v>2</v>
      </c>
      <c r="T223" s="59">
        <f>$F223*VLOOKUP($E223,'AWS Platforms Ratios'!$A$2:$O$25,12,FALSE)</f>
        <v>2.875</v>
      </c>
      <c r="U223" s="59">
        <f>$F223*VLOOKUP($E223,'AWS Platforms Ratios'!$A$2:$O$25,13,FALSE)</f>
        <v>5.270833333</v>
      </c>
      <c r="V223" s="59">
        <f>$F223*VLOOKUP($E223,'AWS Platforms Ratios'!$A$2:$O$25,14,FALSE)</f>
        <v>7.666666667</v>
      </c>
      <c r="W223" s="60">
        <f>IF($K223&lt;&gt;"N/A",$M223*(VLOOKUP($L223,'GPU Specs &amp; Ratios'!$B$2:$I$8,5,FALSE)),0)</f>
        <v>0</v>
      </c>
      <c r="X223" s="60">
        <f>IF($K223&lt;&gt;"N/A",$M223*(VLOOKUP($L223,'GPU Specs &amp; Ratios'!$B$2:$I$8,6,FALSE)),0)</f>
        <v>0</v>
      </c>
      <c r="Y223" s="60">
        <f>IF($K223&lt;&gt;"N/A",$M223*(VLOOKUP($L223,'GPU Specs &amp; Ratios'!$B$2:$I$8,7,FALSE)),0)</f>
        <v>0</v>
      </c>
      <c r="Z223" s="60">
        <f>IF($K223&lt;&gt;"N/A",$M223*(VLOOKUP($L223,'GPU Specs &amp; Ratios'!$B$2:$I$8,8,FALSE)),0)</f>
        <v>0</v>
      </c>
      <c r="AA223" s="60">
        <f>(C223/D223)*VLOOKUP($E223,'AWS Platforms Ratios'!$A$2:$O$25,15,FALSE)</f>
        <v>4</v>
      </c>
      <c r="AB223" s="60">
        <f t="shared" ref="AB223:AE223" si="222">O223+S223+W223+$AA223</f>
        <v>8.375</v>
      </c>
      <c r="AC223" s="60">
        <f t="shared" si="222"/>
        <v>13</v>
      </c>
      <c r="AD223" s="60">
        <f t="shared" si="222"/>
        <v>25.14583333</v>
      </c>
      <c r="AE223" s="60">
        <f t="shared" si="222"/>
        <v>31.32291667</v>
      </c>
      <c r="AF223" s="60">
        <f>IF(G223&gt;'Scope 3 Ratios'!$B$5,(G223-'Scope 3 Ratios'!$B$5)*('Scope 3 Ratios'!$B$6/'Scope 3 Ratios'!$B$5),0)</f>
        <v>244.0944</v>
      </c>
      <c r="AG223" s="60">
        <f>J223*IF(I223="SSD",'Scope 3 Ratios'!$B$9,'Scope 3 Ratios'!$B$8)</f>
        <v>0</v>
      </c>
      <c r="AH223" s="60">
        <f>IF(K223&lt;&gt;"N/A",K223*'Scope 3 Ratios'!$B$10,0)</f>
        <v>0</v>
      </c>
      <c r="AI223" s="60">
        <f>(VLOOKUP($E223,'AWS Platforms Ratios'!$A$2:$O$25,3,FALSE)-1)*'Scope 3 Ratios'!$B$7</f>
        <v>100</v>
      </c>
      <c r="AJ223" s="60">
        <f>'Scope 3 Ratios'!$B$2+AF223+AG223+AH223+AI223</f>
        <v>1344.0944</v>
      </c>
      <c r="AK223" s="60">
        <f>AJ223*'Scope 3 Ratios'!$B$4*(C223/D223)</f>
        <v>1.620484182</v>
      </c>
      <c r="AL223" s="58" t="s">
        <v>473</v>
      </c>
    </row>
    <row r="224" ht="15.0" customHeight="1">
      <c r="A224" s="56" t="s">
        <v>474</v>
      </c>
      <c r="B224" s="56" t="s">
        <v>236</v>
      </c>
      <c r="C224" s="56">
        <v>4.0</v>
      </c>
      <c r="D224" s="56">
        <f>VLOOKUP(E224,'AWS Platforms Ratios'!$A$2:$B$25,2,FALSE)</f>
        <v>48</v>
      </c>
      <c r="E224" s="57" t="s">
        <v>472</v>
      </c>
      <c r="F224" s="56">
        <v>16.0</v>
      </c>
      <c r="G224" s="56">
        <v>192.0</v>
      </c>
      <c r="H224" s="57" t="s">
        <v>71</v>
      </c>
      <c r="I224" s="56" t="s">
        <v>72</v>
      </c>
      <c r="J224" s="56">
        <v>0.0</v>
      </c>
      <c r="K224" s="58" t="s">
        <v>73</v>
      </c>
      <c r="L224" s="58" t="s">
        <v>73</v>
      </c>
      <c r="M224" s="58" t="s">
        <v>73</v>
      </c>
      <c r="N224" s="58" t="s">
        <v>73</v>
      </c>
      <c r="O224" s="59">
        <f>($C224/$D224)*VLOOKUP($E224,'AWS Platforms Ratios'!$A$2:$O$25,7,FALSE)</f>
        <v>4.75</v>
      </c>
      <c r="P224" s="59">
        <f>($C224/$D224)*VLOOKUP($E224,'AWS Platforms Ratios'!$A$2:$O$25,8,FALSE)</f>
        <v>12.25</v>
      </c>
      <c r="Q224" s="59">
        <f>($C224/$D224)*VLOOKUP($E224,'AWS Platforms Ratios'!$A$2:$O$25,9,FALSE)</f>
        <v>31.75</v>
      </c>
      <c r="R224" s="59">
        <f>($C224/$D224)*VLOOKUP($E224,'AWS Platforms Ratios'!$A$2:$O$25,10,FALSE)</f>
        <v>39.3125</v>
      </c>
      <c r="S224" s="59">
        <f>$F224*VLOOKUP($E224,'AWS Platforms Ratios'!$A$2:$O$25,11,FALSE)</f>
        <v>4</v>
      </c>
      <c r="T224" s="59">
        <f>$F224*VLOOKUP($E224,'AWS Platforms Ratios'!$A$2:$O$25,12,FALSE)</f>
        <v>5.75</v>
      </c>
      <c r="U224" s="59">
        <f>$F224*VLOOKUP($E224,'AWS Platforms Ratios'!$A$2:$O$25,13,FALSE)</f>
        <v>10.54166667</v>
      </c>
      <c r="V224" s="59">
        <f>$F224*VLOOKUP($E224,'AWS Platforms Ratios'!$A$2:$O$25,14,FALSE)</f>
        <v>15.33333333</v>
      </c>
      <c r="W224" s="60">
        <f>IF($K224&lt;&gt;"N/A",$M224*(VLOOKUP($L224,'GPU Specs &amp; Ratios'!$B$2:$I$8,5,FALSE)),0)</f>
        <v>0</v>
      </c>
      <c r="X224" s="60">
        <f>IF($K224&lt;&gt;"N/A",$M224*(VLOOKUP($L224,'GPU Specs &amp; Ratios'!$B$2:$I$8,6,FALSE)),0)</f>
        <v>0</v>
      </c>
      <c r="Y224" s="60">
        <f>IF($K224&lt;&gt;"N/A",$M224*(VLOOKUP($L224,'GPU Specs &amp; Ratios'!$B$2:$I$8,7,FALSE)),0)</f>
        <v>0</v>
      </c>
      <c r="Z224" s="60">
        <f>IF($K224&lt;&gt;"N/A",$M224*(VLOOKUP($L224,'GPU Specs &amp; Ratios'!$B$2:$I$8,8,FALSE)),0)</f>
        <v>0</v>
      </c>
      <c r="AA224" s="60">
        <f>(C224/D224)*VLOOKUP($E224,'AWS Platforms Ratios'!$A$2:$O$25,15,FALSE)</f>
        <v>8</v>
      </c>
      <c r="AB224" s="60">
        <f t="shared" ref="AB224:AE224" si="223">O224+S224+W224+$AA224</f>
        <v>16.75</v>
      </c>
      <c r="AC224" s="60">
        <f t="shared" si="223"/>
        <v>26</v>
      </c>
      <c r="AD224" s="60">
        <f t="shared" si="223"/>
        <v>50.29166667</v>
      </c>
      <c r="AE224" s="60">
        <f t="shared" si="223"/>
        <v>62.64583333</v>
      </c>
      <c r="AF224" s="60">
        <f>IF(G224&gt;'Scope 3 Ratios'!$B$5,(G224-'Scope 3 Ratios'!$B$5)*('Scope 3 Ratios'!$B$6/'Scope 3 Ratios'!$B$5),0)</f>
        <v>244.0944</v>
      </c>
      <c r="AG224" s="60">
        <f>J224*IF(I224="SSD",'Scope 3 Ratios'!$B$9,'Scope 3 Ratios'!$B$8)</f>
        <v>0</v>
      </c>
      <c r="AH224" s="60">
        <f>IF(K224&lt;&gt;"N/A",K224*'Scope 3 Ratios'!$B$10,0)</f>
        <v>0</v>
      </c>
      <c r="AI224" s="60">
        <f>(VLOOKUP($E224,'AWS Platforms Ratios'!$A$2:$O$25,3,FALSE)-1)*'Scope 3 Ratios'!$B$7</f>
        <v>100</v>
      </c>
      <c r="AJ224" s="60">
        <f>'Scope 3 Ratios'!$B$2+AF224+AG224+AH224+AI224</f>
        <v>1344.0944</v>
      </c>
      <c r="AK224" s="60">
        <f>AJ224*'Scope 3 Ratios'!$B$4*(C224/D224)</f>
        <v>3.240968364</v>
      </c>
      <c r="AL224" s="58" t="s">
        <v>473</v>
      </c>
    </row>
    <row r="225" ht="15.0" customHeight="1">
      <c r="A225" s="56" t="s">
        <v>475</v>
      </c>
      <c r="B225" s="56" t="s">
        <v>236</v>
      </c>
      <c r="C225" s="56">
        <v>8.0</v>
      </c>
      <c r="D225" s="56">
        <f>VLOOKUP(E225,'AWS Platforms Ratios'!$A$2:$B$25,2,FALSE)</f>
        <v>48</v>
      </c>
      <c r="E225" s="57" t="s">
        <v>472</v>
      </c>
      <c r="F225" s="56">
        <v>32.0</v>
      </c>
      <c r="G225" s="56">
        <v>192.0</v>
      </c>
      <c r="H225" s="57" t="s">
        <v>71</v>
      </c>
      <c r="I225" s="56" t="s">
        <v>72</v>
      </c>
      <c r="J225" s="56">
        <v>0.0</v>
      </c>
      <c r="K225" s="58" t="s">
        <v>73</v>
      </c>
      <c r="L225" s="58" t="s">
        <v>73</v>
      </c>
      <c r="M225" s="58" t="s">
        <v>73</v>
      </c>
      <c r="N225" s="58" t="s">
        <v>73</v>
      </c>
      <c r="O225" s="59">
        <f>($C225/$D225)*VLOOKUP($E225,'AWS Platforms Ratios'!$A$2:$O$25,7,FALSE)</f>
        <v>9.5</v>
      </c>
      <c r="P225" s="59">
        <f>($C225/$D225)*VLOOKUP($E225,'AWS Platforms Ratios'!$A$2:$O$25,8,FALSE)</f>
        <v>24.5</v>
      </c>
      <c r="Q225" s="59">
        <f>($C225/$D225)*VLOOKUP($E225,'AWS Platforms Ratios'!$A$2:$O$25,9,FALSE)</f>
        <v>63.5</v>
      </c>
      <c r="R225" s="59">
        <f>($C225/$D225)*VLOOKUP($E225,'AWS Platforms Ratios'!$A$2:$O$25,10,FALSE)</f>
        <v>78.625</v>
      </c>
      <c r="S225" s="59">
        <f>$F225*VLOOKUP($E225,'AWS Platforms Ratios'!$A$2:$O$25,11,FALSE)</f>
        <v>8</v>
      </c>
      <c r="T225" s="59">
        <f>$F225*VLOOKUP($E225,'AWS Platforms Ratios'!$A$2:$O$25,12,FALSE)</f>
        <v>11.5</v>
      </c>
      <c r="U225" s="59">
        <f>$F225*VLOOKUP($E225,'AWS Platforms Ratios'!$A$2:$O$25,13,FALSE)</f>
        <v>21.08333333</v>
      </c>
      <c r="V225" s="59">
        <f>$F225*VLOOKUP($E225,'AWS Platforms Ratios'!$A$2:$O$25,14,FALSE)</f>
        <v>30.66666667</v>
      </c>
      <c r="W225" s="60">
        <f>IF($K225&lt;&gt;"N/A",$M225*(VLOOKUP($L225,'GPU Specs &amp; Ratios'!$B$2:$I$8,5,FALSE)),0)</f>
        <v>0</v>
      </c>
      <c r="X225" s="60">
        <f>IF($K225&lt;&gt;"N/A",$M225*(VLOOKUP($L225,'GPU Specs &amp; Ratios'!$B$2:$I$8,6,FALSE)),0)</f>
        <v>0</v>
      </c>
      <c r="Y225" s="60">
        <f>IF($K225&lt;&gt;"N/A",$M225*(VLOOKUP($L225,'GPU Specs &amp; Ratios'!$B$2:$I$8,7,FALSE)),0)</f>
        <v>0</v>
      </c>
      <c r="Z225" s="60">
        <f>IF($K225&lt;&gt;"N/A",$M225*(VLOOKUP($L225,'GPU Specs &amp; Ratios'!$B$2:$I$8,8,FALSE)),0)</f>
        <v>0</v>
      </c>
      <c r="AA225" s="60">
        <f>(C225/D225)*VLOOKUP($E225,'AWS Platforms Ratios'!$A$2:$O$25,15,FALSE)</f>
        <v>16</v>
      </c>
      <c r="AB225" s="60">
        <f t="shared" ref="AB225:AE225" si="224">O225+S225+W225+$AA225</f>
        <v>33.5</v>
      </c>
      <c r="AC225" s="60">
        <f t="shared" si="224"/>
        <v>52</v>
      </c>
      <c r="AD225" s="60">
        <f t="shared" si="224"/>
        <v>100.5833333</v>
      </c>
      <c r="AE225" s="60">
        <f t="shared" si="224"/>
        <v>125.2916667</v>
      </c>
      <c r="AF225" s="60">
        <f>IF(G225&gt;'Scope 3 Ratios'!$B$5,(G225-'Scope 3 Ratios'!$B$5)*('Scope 3 Ratios'!$B$6/'Scope 3 Ratios'!$B$5),0)</f>
        <v>244.0944</v>
      </c>
      <c r="AG225" s="60">
        <f>J225*IF(I225="SSD",'Scope 3 Ratios'!$B$9,'Scope 3 Ratios'!$B$8)</f>
        <v>0</v>
      </c>
      <c r="AH225" s="60">
        <f>IF(K225&lt;&gt;"N/A",K225*'Scope 3 Ratios'!$B$10,0)</f>
        <v>0</v>
      </c>
      <c r="AI225" s="60">
        <f>(VLOOKUP($E225,'AWS Platforms Ratios'!$A$2:$O$25,3,FALSE)-1)*'Scope 3 Ratios'!$B$7</f>
        <v>100</v>
      </c>
      <c r="AJ225" s="60">
        <f>'Scope 3 Ratios'!$B$2+AF225+AG225+AH225+AI225</f>
        <v>1344.0944</v>
      </c>
      <c r="AK225" s="60">
        <f>AJ225*'Scope 3 Ratios'!$B$4*(C225/D225)</f>
        <v>6.481936728</v>
      </c>
      <c r="AL225" s="58" t="s">
        <v>473</v>
      </c>
    </row>
    <row r="226" ht="15.0" customHeight="1">
      <c r="A226" s="56" t="s">
        <v>476</v>
      </c>
      <c r="B226" s="56" t="s">
        <v>236</v>
      </c>
      <c r="C226" s="56">
        <v>12.0</v>
      </c>
      <c r="D226" s="56">
        <f>VLOOKUP(E226,'AWS Platforms Ratios'!$A$2:$B$25,2,FALSE)</f>
        <v>48</v>
      </c>
      <c r="E226" s="57" t="s">
        <v>472</v>
      </c>
      <c r="F226" s="56">
        <v>48.0</v>
      </c>
      <c r="G226" s="56">
        <v>192.0</v>
      </c>
      <c r="H226" s="57" t="s">
        <v>71</v>
      </c>
      <c r="I226" s="56" t="s">
        <v>72</v>
      </c>
      <c r="J226" s="56">
        <v>0.0</v>
      </c>
      <c r="K226" s="58" t="s">
        <v>73</v>
      </c>
      <c r="L226" s="58" t="s">
        <v>73</v>
      </c>
      <c r="M226" s="58" t="s">
        <v>73</v>
      </c>
      <c r="N226" s="58" t="s">
        <v>73</v>
      </c>
      <c r="O226" s="59">
        <f>($C226/$D226)*VLOOKUP($E226,'AWS Platforms Ratios'!$A$2:$O$25,7,FALSE)</f>
        <v>14.25</v>
      </c>
      <c r="P226" s="59">
        <f>($C226/$D226)*VLOOKUP($E226,'AWS Platforms Ratios'!$A$2:$O$25,8,FALSE)</f>
        <v>36.75</v>
      </c>
      <c r="Q226" s="59">
        <f>($C226/$D226)*VLOOKUP($E226,'AWS Platforms Ratios'!$A$2:$O$25,9,FALSE)</f>
        <v>95.25</v>
      </c>
      <c r="R226" s="59">
        <f>($C226/$D226)*VLOOKUP($E226,'AWS Platforms Ratios'!$A$2:$O$25,10,FALSE)</f>
        <v>117.9375</v>
      </c>
      <c r="S226" s="59">
        <f>$F226*VLOOKUP($E226,'AWS Platforms Ratios'!$A$2:$O$25,11,FALSE)</f>
        <v>12</v>
      </c>
      <c r="T226" s="59">
        <f>$F226*VLOOKUP($E226,'AWS Platforms Ratios'!$A$2:$O$25,12,FALSE)</f>
        <v>17.25</v>
      </c>
      <c r="U226" s="59">
        <f>$F226*VLOOKUP($E226,'AWS Platforms Ratios'!$A$2:$O$25,13,FALSE)</f>
        <v>31.625</v>
      </c>
      <c r="V226" s="59">
        <f>$F226*VLOOKUP($E226,'AWS Platforms Ratios'!$A$2:$O$25,14,FALSE)</f>
        <v>46</v>
      </c>
      <c r="W226" s="60">
        <f>IF($K226&lt;&gt;"N/A",$M226*(VLOOKUP($L226,'GPU Specs &amp; Ratios'!$B$2:$I$8,5,FALSE)),0)</f>
        <v>0</v>
      </c>
      <c r="X226" s="60">
        <f>IF($K226&lt;&gt;"N/A",$M226*(VLOOKUP($L226,'GPU Specs &amp; Ratios'!$B$2:$I$8,6,FALSE)),0)</f>
        <v>0</v>
      </c>
      <c r="Y226" s="60">
        <f>IF($K226&lt;&gt;"N/A",$M226*(VLOOKUP($L226,'GPU Specs &amp; Ratios'!$B$2:$I$8,7,FALSE)),0)</f>
        <v>0</v>
      </c>
      <c r="Z226" s="60">
        <f>IF($K226&lt;&gt;"N/A",$M226*(VLOOKUP($L226,'GPU Specs &amp; Ratios'!$B$2:$I$8,8,FALSE)),0)</f>
        <v>0</v>
      </c>
      <c r="AA226" s="60">
        <f>(C226/D226)*VLOOKUP($E226,'AWS Platforms Ratios'!$A$2:$O$25,15,FALSE)</f>
        <v>24</v>
      </c>
      <c r="AB226" s="60">
        <f t="shared" ref="AB226:AE226" si="225">O226+S226+W226+$AA226</f>
        <v>50.25</v>
      </c>
      <c r="AC226" s="60">
        <f t="shared" si="225"/>
        <v>78</v>
      </c>
      <c r="AD226" s="60">
        <f t="shared" si="225"/>
        <v>150.875</v>
      </c>
      <c r="AE226" s="60">
        <f t="shared" si="225"/>
        <v>187.9375</v>
      </c>
      <c r="AF226" s="60">
        <f>IF(G226&gt;'Scope 3 Ratios'!$B$5,(G226-'Scope 3 Ratios'!$B$5)*('Scope 3 Ratios'!$B$6/'Scope 3 Ratios'!$B$5),0)</f>
        <v>244.0944</v>
      </c>
      <c r="AG226" s="60">
        <f>J226*IF(I226="SSD",'Scope 3 Ratios'!$B$9,'Scope 3 Ratios'!$B$8)</f>
        <v>0</v>
      </c>
      <c r="AH226" s="60">
        <f>IF(K226&lt;&gt;"N/A",K226*'Scope 3 Ratios'!$B$10,0)</f>
        <v>0</v>
      </c>
      <c r="AI226" s="60">
        <f>(VLOOKUP($E226,'AWS Platforms Ratios'!$A$2:$O$25,3,FALSE)-1)*'Scope 3 Ratios'!$B$7</f>
        <v>100</v>
      </c>
      <c r="AJ226" s="60">
        <f>'Scope 3 Ratios'!$B$2+AF226+AG226+AH226+AI226</f>
        <v>1344.0944</v>
      </c>
      <c r="AK226" s="60">
        <f>AJ226*'Scope 3 Ratios'!$B$4*(C226/D226)</f>
        <v>9.722905093</v>
      </c>
      <c r="AL226" s="58" t="s">
        <v>473</v>
      </c>
    </row>
    <row r="227" ht="15.0" customHeight="1">
      <c r="A227" s="56" t="s">
        <v>477</v>
      </c>
      <c r="B227" s="56" t="s">
        <v>236</v>
      </c>
      <c r="C227" s="56">
        <v>24.0</v>
      </c>
      <c r="D227" s="56">
        <f>VLOOKUP(E227,'AWS Platforms Ratios'!$A$2:$B$25,2,FALSE)</f>
        <v>48</v>
      </c>
      <c r="E227" s="57" t="s">
        <v>472</v>
      </c>
      <c r="F227" s="56">
        <v>96.0</v>
      </c>
      <c r="G227" s="56">
        <v>192.0</v>
      </c>
      <c r="H227" s="57" t="s">
        <v>478</v>
      </c>
      <c r="I227" s="56" t="s">
        <v>72</v>
      </c>
      <c r="J227" s="56">
        <v>0.0</v>
      </c>
      <c r="K227" s="58" t="s">
        <v>73</v>
      </c>
      <c r="L227" s="58" t="s">
        <v>73</v>
      </c>
      <c r="M227" s="58" t="s">
        <v>73</v>
      </c>
      <c r="N227" s="58" t="s">
        <v>73</v>
      </c>
      <c r="O227" s="59">
        <f>($C227/$D227)*VLOOKUP($E227,'AWS Platforms Ratios'!$A$2:$O$25,7,FALSE)</f>
        <v>28.5</v>
      </c>
      <c r="P227" s="59">
        <f>($C227/$D227)*VLOOKUP($E227,'AWS Platforms Ratios'!$A$2:$O$25,8,FALSE)</f>
        <v>73.5</v>
      </c>
      <c r="Q227" s="59">
        <f>($C227/$D227)*VLOOKUP($E227,'AWS Platforms Ratios'!$A$2:$O$25,9,FALSE)</f>
        <v>190.5</v>
      </c>
      <c r="R227" s="59">
        <f>($C227/$D227)*VLOOKUP($E227,'AWS Platforms Ratios'!$A$2:$O$25,10,FALSE)</f>
        <v>235.875</v>
      </c>
      <c r="S227" s="59">
        <f>$F227*VLOOKUP($E227,'AWS Platforms Ratios'!$A$2:$O$25,11,FALSE)</f>
        <v>24</v>
      </c>
      <c r="T227" s="59">
        <f>$F227*VLOOKUP($E227,'AWS Platforms Ratios'!$A$2:$O$25,12,FALSE)</f>
        <v>34.5</v>
      </c>
      <c r="U227" s="59">
        <f>$F227*VLOOKUP($E227,'AWS Platforms Ratios'!$A$2:$O$25,13,FALSE)</f>
        <v>63.25</v>
      </c>
      <c r="V227" s="59">
        <f>$F227*VLOOKUP($E227,'AWS Platforms Ratios'!$A$2:$O$25,14,FALSE)</f>
        <v>92</v>
      </c>
      <c r="W227" s="60">
        <f>IF($K227&lt;&gt;"N/A",$M227*(VLOOKUP($L227,'GPU Specs &amp; Ratios'!$B$2:$I$8,5,FALSE)),0)</f>
        <v>0</v>
      </c>
      <c r="X227" s="60">
        <f>IF($K227&lt;&gt;"N/A",$M227*(VLOOKUP($L227,'GPU Specs &amp; Ratios'!$B$2:$I$8,6,FALSE)),0)</f>
        <v>0</v>
      </c>
      <c r="Y227" s="60">
        <f>IF($K227&lt;&gt;"N/A",$M227*(VLOOKUP($L227,'GPU Specs &amp; Ratios'!$B$2:$I$8,7,FALSE)),0)</f>
        <v>0</v>
      </c>
      <c r="Z227" s="60">
        <f>IF($K227&lt;&gt;"N/A",$M227*(VLOOKUP($L227,'GPU Specs &amp; Ratios'!$B$2:$I$8,8,FALSE)),0)</f>
        <v>0</v>
      </c>
      <c r="AA227" s="60">
        <f>(C227/D227)*VLOOKUP($E227,'AWS Platforms Ratios'!$A$2:$O$25,15,FALSE)</f>
        <v>48</v>
      </c>
      <c r="AB227" s="60">
        <f t="shared" ref="AB227:AE227" si="226">O227+S227+W227+$AA227</f>
        <v>100.5</v>
      </c>
      <c r="AC227" s="60">
        <f t="shared" si="226"/>
        <v>156</v>
      </c>
      <c r="AD227" s="60">
        <f t="shared" si="226"/>
        <v>301.75</v>
      </c>
      <c r="AE227" s="60">
        <f t="shared" si="226"/>
        <v>375.875</v>
      </c>
      <c r="AF227" s="60">
        <f>IF(G227&gt;'Scope 3 Ratios'!$B$5,(G227-'Scope 3 Ratios'!$B$5)*('Scope 3 Ratios'!$B$6/'Scope 3 Ratios'!$B$5),0)</f>
        <v>244.0944</v>
      </c>
      <c r="AG227" s="60">
        <f>J227*IF(I227="SSD",'Scope 3 Ratios'!$B$9,'Scope 3 Ratios'!$B$8)</f>
        <v>0</v>
      </c>
      <c r="AH227" s="60">
        <f>IF(K227&lt;&gt;"N/A",K227*'Scope 3 Ratios'!$B$10,0)</f>
        <v>0</v>
      </c>
      <c r="AI227" s="60">
        <f>(VLOOKUP($E227,'AWS Platforms Ratios'!$A$2:$O$25,3,FALSE)-1)*'Scope 3 Ratios'!$B$7</f>
        <v>100</v>
      </c>
      <c r="AJ227" s="60">
        <f>'Scope 3 Ratios'!$B$2+AF227+AG227+AH227+AI227</f>
        <v>1344.0944</v>
      </c>
      <c r="AK227" s="60">
        <f>AJ227*'Scope 3 Ratios'!$B$4*(C227/D227)</f>
        <v>19.44581019</v>
      </c>
      <c r="AL227" s="58" t="s">
        <v>473</v>
      </c>
    </row>
    <row r="228" ht="15.0" customHeight="1">
      <c r="A228" s="56" t="s">
        <v>479</v>
      </c>
      <c r="B228" s="56" t="s">
        <v>236</v>
      </c>
      <c r="C228" s="56">
        <v>48.0</v>
      </c>
      <c r="D228" s="56">
        <f>VLOOKUP(E228,'AWS Platforms Ratios'!$A$2:$B$25,2,FALSE)</f>
        <v>48</v>
      </c>
      <c r="E228" s="57" t="s">
        <v>472</v>
      </c>
      <c r="F228" s="56">
        <v>192.0</v>
      </c>
      <c r="G228" s="56">
        <v>192.0</v>
      </c>
      <c r="H228" s="57" t="s">
        <v>71</v>
      </c>
      <c r="I228" s="56" t="s">
        <v>72</v>
      </c>
      <c r="J228" s="56">
        <v>0.0</v>
      </c>
      <c r="K228" s="58" t="s">
        <v>73</v>
      </c>
      <c r="L228" s="58" t="s">
        <v>73</v>
      </c>
      <c r="M228" s="58" t="s">
        <v>73</v>
      </c>
      <c r="N228" s="58" t="s">
        <v>73</v>
      </c>
      <c r="O228" s="59">
        <f>($C228/$D228)*VLOOKUP($E228,'AWS Platforms Ratios'!$A$2:$O$25,7,FALSE)</f>
        <v>57</v>
      </c>
      <c r="P228" s="59">
        <f>($C228/$D228)*VLOOKUP($E228,'AWS Platforms Ratios'!$A$2:$O$25,8,FALSE)</f>
        <v>147</v>
      </c>
      <c r="Q228" s="59">
        <f>($C228/$D228)*VLOOKUP($E228,'AWS Platforms Ratios'!$A$2:$O$25,9,FALSE)</f>
        <v>381</v>
      </c>
      <c r="R228" s="59">
        <f>($C228/$D228)*VLOOKUP($E228,'AWS Platforms Ratios'!$A$2:$O$25,10,FALSE)</f>
        <v>471.75</v>
      </c>
      <c r="S228" s="59">
        <f>$F228*VLOOKUP($E228,'AWS Platforms Ratios'!$A$2:$O$25,11,FALSE)</f>
        <v>48</v>
      </c>
      <c r="T228" s="59">
        <f>$F228*VLOOKUP($E228,'AWS Platforms Ratios'!$A$2:$O$25,12,FALSE)</f>
        <v>69</v>
      </c>
      <c r="U228" s="59">
        <f>$F228*VLOOKUP($E228,'AWS Platforms Ratios'!$A$2:$O$25,13,FALSE)</f>
        <v>126.5</v>
      </c>
      <c r="V228" s="59">
        <f>$F228*VLOOKUP($E228,'AWS Platforms Ratios'!$A$2:$O$25,14,FALSE)</f>
        <v>184</v>
      </c>
      <c r="W228" s="60">
        <f>IF($K228&lt;&gt;"N/A",$M228*(VLOOKUP($L228,'GPU Specs &amp; Ratios'!$B$2:$I$8,5,FALSE)),0)</f>
        <v>0</v>
      </c>
      <c r="X228" s="60">
        <f>IF($K228&lt;&gt;"N/A",$M228*(VLOOKUP($L228,'GPU Specs &amp; Ratios'!$B$2:$I$8,6,FALSE)),0)</f>
        <v>0</v>
      </c>
      <c r="Y228" s="60">
        <f>IF($K228&lt;&gt;"N/A",$M228*(VLOOKUP($L228,'GPU Specs &amp; Ratios'!$B$2:$I$8,7,FALSE)),0)</f>
        <v>0</v>
      </c>
      <c r="Z228" s="60">
        <f>IF($K228&lt;&gt;"N/A",$M228*(VLOOKUP($L228,'GPU Specs &amp; Ratios'!$B$2:$I$8,8,FALSE)),0)</f>
        <v>0</v>
      </c>
      <c r="AA228" s="60">
        <f>(C228/D228)*VLOOKUP($E228,'AWS Platforms Ratios'!$A$2:$O$25,15,FALSE)</f>
        <v>96</v>
      </c>
      <c r="AB228" s="60">
        <f t="shared" ref="AB228:AE228" si="227">O228+S228+W228+$AA228</f>
        <v>201</v>
      </c>
      <c r="AC228" s="60">
        <f t="shared" si="227"/>
        <v>312</v>
      </c>
      <c r="AD228" s="60">
        <f t="shared" si="227"/>
        <v>603.5</v>
      </c>
      <c r="AE228" s="60">
        <f t="shared" si="227"/>
        <v>751.75</v>
      </c>
      <c r="AF228" s="60">
        <f>IF(G228&gt;'Scope 3 Ratios'!$B$5,(G228-'Scope 3 Ratios'!$B$5)*('Scope 3 Ratios'!$B$6/'Scope 3 Ratios'!$B$5),0)</f>
        <v>244.0944</v>
      </c>
      <c r="AG228" s="60">
        <f>J228*IF(I228="SSD",'Scope 3 Ratios'!$B$9,'Scope 3 Ratios'!$B$8)</f>
        <v>0</v>
      </c>
      <c r="AH228" s="60">
        <f>IF(K228&lt;&gt;"N/A",K228*'Scope 3 Ratios'!$B$10,0)</f>
        <v>0</v>
      </c>
      <c r="AI228" s="60">
        <f>(VLOOKUP($E228,'AWS Platforms Ratios'!$A$2:$O$25,3,FALSE)-1)*'Scope 3 Ratios'!$B$7</f>
        <v>100</v>
      </c>
      <c r="AJ228" s="60">
        <f>'Scope 3 Ratios'!$B$2+AF228+AG228+AH228+AI228</f>
        <v>1344.0944</v>
      </c>
      <c r="AK228" s="60">
        <f>AJ228*'Scope 3 Ratios'!$B$4*(C228/D228)</f>
        <v>38.89162037</v>
      </c>
      <c r="AL228" s="58" t="s">
        <v>473</v>
      </c>
    </row>
    <row r="229" ht="15.0" customHeight="1">
      <c r="A229" s="56" t="s">
        <v>480</v>
      </c>
      <c r="B229" s="56" t="s">
        <v>236</v>
      </c>
      <c r="C229" s="56">
        <v>48.0</v>
      </c>
      <c r="D229" s="56">
        <f>VLOOKUP(E229,'AWS Platforms Ratios'!$A$2:$B$25,2,FALSE)</f>
        <v>48</v>
      </c>
      <c r="E229" s="57" t="s">
        <v>472</v>
      </c>
      <c r="F229" s="56">
        <v>192.0</v>
      </c>
      <c r="G229" s="56">
        <v>192.0</v>
      </c>
      <c r="H229" s="57" t="s">
        <v>71</v>
      </c>
      <c r="I229" s="56" t="s">
        <v>72</v>
      </c>
      <c r="J229" s="56">
        <v>0.0</v>
      </c>
      <c r="K229" s="58" t="s">
        <v>73</v>
      </c>
      <c r="L229" s="58" t="s">
        <v>73</v>
      </c>
      <c r="M229" s="58" t="s">
        <v>73</v>
      </c>
      <c r="N229" s="58" t="s">
        <v>73</v>
      </c>
      <c r="O229" s="59">
        <f>($C229/$D229)*VLOOKUP($E229,'AWS Platforms Ratios'!$A$2:$O$25,7,FALSE)</f>
        <v>57</v>
      </c>
      <c r="P229" s="59">
        <f>($C229/$D229)*VLOOKUP($E229,'AWS Platforms Ratios'!$A$2:$O$25,8,FALSE)</f>
        <v>147</v>
      </c>
      <c r="Q229" s="59">
        <f>($C229/$D229)*VLOOKUP($E229,'AWS Platforms Ratios'!$A$2:$O$25,9,FALSE)</f>
        <v>381</v>
      </c>
      <c r="R229" s="59">
        <f>($C229/$D229)*VLOOKUP($E229,'AWS Platforms Ratios'!$A$2:$O$25,10,FALSE)</f>
        <v>471.75</v>
      </c>
      <c r="S229" s="59">
        <f>$F229*VLOOKUP($E229,'AWS Platforms Ratios'!$A$2:$O$25,11,FALSE)</f>
        <v>48</v>
      </c>
      <c r="T229" s="59">
        <f>$F229*VLOOKUP($E229,'AWS Platforms Ratios'!$A$2:$O$25,12,FALSE)</f>
        <v>69</v>
      </c>
      <c r="U229" s="59">
        <f>$F229*VLOOKUP($E229,'AWS Platforms Ratios'!$A$2:$O$25,13,FALSE)</f>
        <v>126.5</v>
      </c>
      <c r="V229" s="59">
        <f>$F229*VLOOKUP($E229,'AWS Platforms Ratios'!$A$2:$O$25,14,FALSE)</f>
        <v>184</v>
      </c>
      <c r="W229" s="60">
        <f>IF($K229&lt;&gt;"N/A",$M229*(VLOOKUP($L229,'GPU Specs &amp; Ratios'!$B$2:$I$8,5,FALSE)),0)</f>
        <v>0</v>
      </c>
      <c r="X229" s="60">
        <f>IF($K229&lt;&gt;"N/A",$M229*(VLOOKUP($L229,'GPU Specs &amp; Ratios'!$B$2:$I$8,6,FALSE)),0)</f>
        <v>0</v>
      </c>
      <c r="Y229" s="60">
        <f>IF($K229&lt;&gt;"N/A",$M229*(VLOOKUP($L229,'GPU Specs &amp; Ratios'!$B$2:$I$8,7,FALSE)),0)</f>
        <v>0</v>
      </c>
      <c r="Z229" s="60">
        <f>IF($K229&lt;&gt;"N/A",$M229*(VLOOKUP($L229,'GPU Specs &amp; Ratios'!$B$2:$I$8,8,FALSE)),0)</f>
        <v>0</v>
      </c>
      <c r="AA229" s="60">
        <f>(C229/D229)*VLOOKUP($E229,'AWS Platforms Ratios'!$A$2:$O$25,15,FALSE)</f>
        <v>96</v>
      </c>
      <c r="AB229" s="60">
        <f t="shared" ref="AB229:AE229" si="228">O229+S229+W229+$AA229</f>
        <v>201</v>
      </c>
      <c r="AC229" s="60">
        <f t="shared" si="228"/>
        <v>312</v>
      </c>
      <c r="AD229" s="60">
        <f t="shared" si="228"/>
        <v>603.5</v>
      </c>
      <c r="AE229" s="60">
        <f t="shared" si="228"/>
        <v>751.75</v>
      </c>
      <c r="AF229" s="60">
        <f>IF(G229&gt;'Scope 3 Ratios'!$B$5,(G229-'Scope 3 Ratios'!$B$5)*('Scope 3 Ratios'!$B$6/'Scope 3 Ratios'!$B$5),0)</f>
        <v>244.0944</v>
      </c>
      <c r="AG229" s="60">
        <f>J229*IF(I229="SSD",'Scope 3 Ratios'!$B$9,'Scope 3 Ratios'!$B$8)</f>
        <v>0</v>
      </c>
      <c r="AH229" s="60">
        <f>IF(K229&lt;&gt;"N/A",K229*'Scope 3 Ratios'!$B$10,0)</f>
        <v>0</v>
      </c>
      <c r="AI229" s="60">
        <f>(VLOOKUP($E229,'AWS Platforms Ratios'!$A$2:$O$25,3,FALSE)-1)*'Scope 3 Ratios'!$B$7</f>
        <v>100</v>
      </c>
      <c r="AJ229" s="60">
        <f>'Scope 3 Ratios'!$B$2+AF229+AG229+AH229+AI229</f>
        <v>1344.0944</v>
      </c>
      <c r="AK229" s="60">
        <f>AJ229*'Scope 3 Ratios'!$B$4*(C229/D229)</f>
        <v>38.89162037</v>
      </c>
      <c r="AL229" s="58" t="s">
        <v>473</v>
      </c>
    </row>
    <row r="230" ht="15.0" customHeight="1">
      <c r="A230" s="56" t="s">
        <v>481</v>
      </c>
      <c r="B230" s="56" t="s">
        <v>188</v>
      </c>
      <c r="C230" s="56">
        <v>1.0</v>
      </c>
      <c r="D230" s="56">
        <f>VLOOKUP(E230,'AWS Platforms Ratios'!$A$2:$B$25,2,FALSE)</f>
        <v>64</v>
      </c>
      <c r="E230" s="57" t="s">
        <v>189</v>
      </c>
      <c r="F230" s="56">
        <v>4.0</v>
      </c>
      <c r="G230" s="56">
        <v>256.0</v>
      </c>
      <c r="H230" s="57" t="s">
        <v>71</v>
      </c>
      <c r="I230" s="56" t="s">
        <v>72</v>
      </c>
      <c r="J230" s="56">
        <v>0.0</v>
      </c>
      <c r="K230" s="58" t="s">
        <v>73</v>
      </c>
      <c r="L230" s="58" t="s">
        <v>73</v>
      </c>
      <c r="M230" s="58" t="s">
        <v>73</v>
      </c>
      <c r="N230" s="58" t="s">
        <v>73</v>
      </c>
      <c r="O230" s="59">
        <f>($C230/$D230)*VLOOKUP($E230,'AWS Platforms Ratios'!$A$2:$O$25,7,FALSE)</f>
        <v>0.2721764469</v>
      </c>
      <c r="P230" s="59">
        <f>($C230/$D230)*VLOOKUP($E230,'AWS Platforms Ratios'!$A$2:$O$25,8,FALSE)</f>
        <v>0.7459229301</v>
      </c>
      <c r="Q230" s="59">
        <f>($C230/$D230)*VLOOKUP($E230,'AWS Platforms Ratios'!$A$2:$O$25,9,FALSE)</f>
        <v>1.763117966</v>
      </c>
      <c r="R230" s="59">
        <f>($C230/$D230)*VLOOKUP($E230,'AWS Platforms Ratios'!$A$2:$O$25,10,FALSE)</f>
        <v>2.387214881</v>
      </c>
      <c r="S230" s="59">
        <f>$F230*VLOOKUP($E230,'AWS Platforms Ratios'!$A$2:$O$25,11,FALSE)</f>
        <v>0.8</v>
      </c>
      <c r="T230" s="59">
        <f>$F230*VLOOKUP($E230,'AWS Platforms Ratios'!$A$2:$O$25,12,FALSE)</f>
        <v>1.2</v>
      </c>
      <c r="U230" s="59">
        <f>$F230*VLOOKUP($E230,'AWS Platforms Ratios'!$A$2:$O$25,13,FALSE)</f>
        <v>1.6</v>
      </c>
      <c r="V230" s="59">
        <f>$F230*VLOOKUP($E230,'AWS Platforms Ratios'!$A$2:$O$25,14,FALSE)</f>
        <v>2.4</v>
      </c>
      <c r="W230" s="60">
        <f>IF($K230&lt;&gt;"N/A",$M230*(VLOOKUP($L230,'GPU Specs &amp; Ratios'!$B$2:$I$8,5,FALSE)),0)</f>
        <v>0</v>
      </c>
      <c r="X230" s="60">
        <f>IF($K230&lt;&gt;"N/A",$M230*(VLOOKUP($L230,'GPU Specs &amp; Ratios'!$B$2:$I$8,6,FALSE)),0)</f>
        <v>0</v>
      </c>
      <c r="Y230" s="60">
        <f>IF($K230&lt;&gt;"N/A",$M230*(VLOOKUP($L230,'GPU Specs &amp; Ratios'!$B$2:$I$8,7,FALSE)),0)</f>
        <v>0</v>
      </c>
      <c r="Z230" s="60">
        <f>IF($K230&lt;&gt;"N/A",$M230*(VLOOKUP($L230,'GPU Specs &amp; Ratios'!$B$2:$I$8,8,FALSE)),0)</f>
        <v>0</v>
      </c>
      <c r="AA230" s="60">
        <f>(C230/D230)*VLOOKUP($E230,'AWS Platforms Ratios'!$A$2:$O$25,15,FALSE)</f>
        <v>0.46875</v>
      </c>
      <c r="AB230" s="60">
        <f t="shared" ref="AB230:AE230" si="229">O230+S230+W230+$AA230</f>
        <v>1.540926447</v>
      </c>
      <c r="AC230" s="60">
        <f t="shared" si="229"/>
        <v>2.41467293</v>
      </c>
      <c r="AD230" s="60">
        <f t="shared" si="229"/>
        <v>3.831867966</v>
      </c>
      <c r="AE230" s="60">
        <f t="shared" si="229"/>
        <v>5.255964881</v>
      </c>
      <c r="AF230" s="60">
        <f>IF(G230&gt;'Scope 3 Ratios'!$B$5,(G230-'Scope 3 Ratios'!$B$5)*('Scope 3 Ratios'!$B$6/'Scope 3 Ratios'!$B$5),0)</f>
        <v>332.856</v>
      </c>
      <c r="AG230" s="60">
        <f>J230*IF(I230="SSD",'Scope 3 Ratios'!$B$9,'Scope 3 Ratios'!$B$8)</f>
        <v>0</v>
      </c>
      <c r="AH230" s="60">
        <f>IF(K230&lt;&gt;"N/A",K230*'Scope 3 Ratios'!$B$10,0)</f>
        <v>0</v>
      </c>
      <c r="AI230" s="60">
        <f>(VLOOKUP($E230,'AWS Platforms Ratios'!$A$2:$O$25,3,FALSE)-1)*'Scope 3 Ratios'!$B$7</f>
        <v>0</v>
      </c>
      <c r="AJ230" s="60">
        <f>'Scope 3 Ratios'!$B$2+AF230+AG230+AH230+AI230</f>
        <v>1332.856</v>
      </c>
      <c r="AK230" s="60">
        <f>AJ230*'Scope 3 Ratios'!$B$4*(C230/D230)</f>
        <v>0.6026005498</v>
      </c>
      <c r="AL230" s="61" t="s">
        <v>190</v>
      </c>
    </row>
    <row r="231" ht="15.0" customHeight="1">
      <c r="A231" s="56" t="s">
        <v>482</v>
      </c>
      <c r="B231" s="56" t="s">
        <v>188</v>
      </c>
      <c r="C231" s="56">
        <v>2.0</v>
      </c>
      <c r="D231" s="56">
        <f>VLOOKUP(E231,'AWS Platforms Ratios'!$A$2:$B$25,2,FALSE)</f>
        <v>64</v>
      </c>
      <c r="E231" s="57" t="s">
        <v>189</v>
      </c>
      <c r="F231" s="56">
        <v>8.0</v>
      </c>
      <c r="G231" s="56">
        <v>256.0</v>
      </c>
      <c r="H231" s="57" t="s">
        <v>71</v>
      </c>
      <c r="I231" s="56" t="s">
        <v>72</v>
      </c>
      <c r="J231" s="56">
        <v>0.0</v>
      </c>
      <c r="K231" s="58" t="s">
        <v>73</v>
      </c>
      <c r="L231" s="58" t="s">
        <v>73</v>
      </c>
      <c r="M231" s="58" t="s">
        <v>73</v>
      </c>
      <c r="N231" s="58" t="s">
        <v>73</v>
      </c>
      <c r="O231" s="59">
        <f>($C231/$D231)*VLOOKUP($E231,'AWS Platforms Ratios'!$A$2:$O$25,7,FALSE)</f>
        <v>0.5443528939</v>
      </c>
      <c r="P231" s="59">
        <f>($C231/$D231)*VLOOKUP($E231,'AWS Platforms Ratios'!$A$2:$O$25,8,FALSE)</f>
        <v>1.49184586</v>
      </c>
      <c r="Q231" s="59">
        <f>($C231/$D231)*VLOOKUP($E231,'AWS Platforms Ratios'!$A$2:$O$25,9,FALSE)</f>
        <v>3.526235932</v>
      </c>
      <c r="R231" s="59">
        <f>($C231/$D231)*VLOOKUP($E231,'AWS Platforms Ratios'!$A$2:$O$25,10,FALSE)</f>
        <v>4.774429763</v>
      </c>
      <c r="S231" s="59">
        <f>$F231*VLOOKUP($E231,'AWS Platforms Ratios'!$A$2:$O$25,11,FALSE)</f>
        <v>1.6</v>
      </c>
      <c r="T231" s="59">
        <f>$F231*VLOOKUP($E231,'AWS Platforms Ratios'!$A$2:$O$25,12,FALSE)</f>
        <v>2.4</v>
      </c>
      <c r="U231" s="59">
        <f>$F231*VLOOKUP($E231,'AWS Platforms Ratios'!$A$2:$O$25,13,FALSE)</f>
        <v>3.2</v>
      </c>
      <c r="V231" s="59">
        <f>$F231*VLOOKUP($E231,'AWS Platforms Ratios'!$A$2:$O$25,14,FALSE)</f>
        <v>4.8</v>
      </c>
      <c r="W231" s="60">
        <f>IF($K231&lt;&gt;"N/A",$M231*(VLOOKUP($L231,'GPU Specs &amp; Ratios'!$B$2:$I$8,5,FALSE)),0)</f>
        <v>0</v>
      </c>
      <c r="X231" s="60">
        <f>IF($K231&lt;&gt;"N/A",$M231*(VLOOKUP($L231,'GPU Specs &amp; Ratios'!$B$2:$I$8,6,FALSE)),0)</f>
        <v>0</v>
      </c>
      <c r="Y231" s="60">
        <f>IF($K231&lt;&gt;"N/A",$M231*(VLOOKUP($L231,'GPU Specs &amp; Ratios'!$B$2:$I$8,7,FALSE)),0)</f>
        <v>0</v>
      </c>
      <c r="Z231" s="60">
        <f>IF($K231&lt;&gt;"N/A",$M231*(VLOOKUP($L231,'GPU Specs &amp; Ratios'!$B$2:$I$8,8,FALSE)),0)</f>
        <v>0</v>
      </c>
      <c r="AA231" s="60">
        <f>(C231/D231)*VLOOKUP($E231,'AWS Platforms Ratios'!$A$2:$O$25,15,FALSE)</f>
        <v>0.9375</v>
      </c>
      <c r="AB231" s="60">
        <f t="shared" ref="AB231:AE231" si="230">O231+S231+W231+$AA231</f>
        <v>3.081852894</v>
      </c>
      <c r="AC231" s="60">
        <f t="shared" si="230"/>
        <v>4.82934586</v>
      </c>
      <c r="AD231" s="60">
        <f t="shared" si="230"/>
        <v>7.663735932</v>
      </c>
      <c r="AE231" s="60">
        <f t="shared" si="230"/>
        <v>10.51192976</v>
      </c>
      <c r="AF231" s="60">
        <f>IF(G231&gt;'Scope 3 Ratios'!$B$5,(G231-'Scope 3 Ratios'!$B$5)*('Scope 3 Ratios'!$B$6/'Scope 3 Ratios'!$B$5),0)</f>
        <v>332.856</v>
      </c>
      <c r="AG231" s="60">
        <f>J231*IF(I231="SSD",'Scope 3 Ratios'!$B$9,'Scope 3 Ratios'!$B$8)</f>
        <v>0</v>
      </c>
      <c r="AH231" s="60">
        <f>IF(K231&lt;&gt;"N/A",K231*'Scope 3 Ratios'!$B$10,0)</f>
        <v>0</v>
      </c>
      <c r="AI231" s="60">
        <f>(VLOOKUP($E231,'AWS Platforms Ratios'!$A$2:$O$25,3,FALSE)-1)*'Scope 3 Ratios'!$B$7</f>
        <v>0</v>
      </c>
      <c r="AJ231" s="60">
        <f>'Scope 3 Ratios'!$B$2+AF231+AG231+AH231+AI231</f>
        <v>1332.856</v>
      </c>
      <c r="AK231" s="60">
        <f>AJ231*'Scope 3 Ratios'!$B$4*(C231/D231)</f>
        <v>1.2052011</v>
      </c>
      <c r="AL231" s="61" t="s">
        <v>190</v>
      </c>
    </row>
    <row r="232" ht="15.0" customHeight="1">
      <c r="A232" s="56" t="s">
        <v>483</v>
      </c>
      <c r="B232" s="56" t="s">
        <v>188</v>
      </c>
      <c r="C232" s="56">
        <v>4.0</v>
      </c>
      <c r="D232" s="56">
        <f>VLOOKUP(E232,'AWS Platforms Ratios'!$A$2:$B$25,2,FALSE)</f>
        <v>64</v>
      </c>
      <c r="E232" s="57" t="s">
        <v>189</v>
      </c>
      <c r="F232" s="56">
        <v>16.0</v>
      </c>
      <c r="G232" s="56">
        <v>256.0</v>
      </c>
      <c r="H232" s="57" t="s">
        <v>71</v>
      </c>
      <c r="I232" s="56" t="s">
        <v>72</v>
      </c>
      <c r="J232" s="56">
        <v>0.0</v>
      </c>
      <c r="K232" s="58" t="s">
        <v>73</v>
      </c>
      <c r="L232" s="58" t="s">
        <v>73</v>
      </c>
      <c r="M232" s="58" t="s">
        <v>73</v>
      </c>
      <c r="N232" s="58" t="s">
        <v>73</v>
      </c>
      <c r="O232" s="59">
        <f>($C232/$D232)*VLOOKUP($E232,'AWS Platforms Ratios'!$A$2:$O$25,7,FALSE)</f>
        <v>1.088705788</v>
      </c>
      <c r="P232" s="59">
        <f>($C232/$D232)*VLOOKUP($E232,'AWS Platforms Ratios'!$A$2:$O$25,8,FALSE)</f>
        <v>2.98369172</v>
      </c>
      <c r="Q232" s="59">
        <f>($C232/$D232)*VLOOKUP($E232,'AWS Platforms Ratios'!$A$2:$O$25,9,FALSE)</f>
        <v>7.052471865</v>
      </c>
      <c r="R232" s="59">
        <f>($C232/$D232)*VLOOKUP($E232,'AWS Platforms Ratios'!$A$2:$O$25,10,FALSE)</f>
        <v>9.548859526</v>
      </c>
      <c r="S232" s="59">
        <f>$F232*VLOOKUP($E232,'AWS Platforms Ratios'!$A$2:$O$25,11,FALSE)</f>
        <v>3.2</v>
      </c>
      <c r="T232" s="59">
        <f>$F232*VLOOKUP($E232,'AWS Platforms Ratios'!$A$2:$O$25,12,FALSE)</f>
        <v>4.8</v>
      </c>
      <c r="U232" s="59">
        <f>$F232*VLOOKUP($E232,'AWS Platforms Ratios'!$A$2:$O$25,13,FALSE)</f>
        <v>6.4</v>
      </c>
      <c r="V232" s="59">
        <f>$F232*VLOOKUP($E232,'AWS Platforms Ratios'!$A$2:$O$25,14,FALSE)</f>
        <v>9.6</v>
      </c>
      <c r="W232" s="60">
        <f>IF($K232&lt;&gt;"N/A",$M232*(VLOOKUP($L232,'GPU Specs &amp; Ratios'!$B$2:$I$8,5,FALSE)),0)</f>
        <v>0</v>
      </c>
      <c r="X232" s="60">
        <f>IF($K232&lt;&gt;"N/A",$M232*(VLOOKUP($L232,'GPU Specs &amp; Ratios'!$B$2:$I$8,6,FALSE)),0)</f>
        <v>0</v>
      </c>
      <c r="Y232" s="60">
        <f>IF($K232&lt;&gt;"N/A",$M232*(VLOOKUP($L232,'GPU Specs &amp; Ratios'!$B$2:$I$8,7,FALSE)),0)</f>
        <v>0</v>
      </c>
      <c r="Z232" s="60">
        <f>IF($K232&lt;&gt;"N/A",$M232*(VLOOKUP($L232,'GPU Specs &amp; Ratios'!$B$2:$I$8,8,FALSE)),0)</f>
        <v>0</v>
      </c>
      <c r="AA232" s="60">
        <f>(C232/D232)*VLOOKUP($E232,'AWS Platforms Ratios'!$A$2:$O$25,15,FALSE)</f>
        <v>1.875</v>
      </c>
      <c r="AB232" s="60">
        <f t="shared" ref="AB232:AE232" si="231">O232+S232+W232+$AA232</f>
        <v>6.163705788</v>
      </c>
      <c r="AC232" s="60">
        <f t="shared" si="231"/>
        <v>9.65869172</v>
      </c>
      <c r="AD232" s="60">
        <f t="shared" si="231"/>
        <v>15.32747186</v>
      </c>
      <c r="AE232" s="60">
        <f t="shared" si="231"/>
        <v>21.02385953</v>
      </c>
      <c r="AF232" s="60">
        <f>IF(G232&gt;'Scope 3 Ratios'!$B$5,(G232-'Scope 3 Ratios'!$B$5)*('Scope 3 Ratios'!$B$6/'Scope 3 Ratios'!$B$5),0)</f>
        <v>332.856</v>
      </c>
      <c r="AG232" s="60">
        <f>J232*IF(I232="SSD",'Scope 3 Ratios'!$B$9,'Scope 3 Ratios'!$B$8)</f>
        <v>0</v>
      </c>
      <c r="AH232" s="60">
        <f>IF(K232&lt;&gt;"N/A",K232*'Scope 3 Ratios'!$B$10,0)</f>
        <v>0</v>
      </c>
      <c r="AI232" s="60">
        <f>(VLOOKUP($E232,'AWS Platforms Ratios'!$A$2:$O$25,3,FALSE)-1)*'Scope 3 Ratios'!$B$7</f>
        <v>0</v>
      </c>
      <c r="AJ232" s="60">
        <f>'Scope 3 Ratios'!$B$2+AF232+AG232+AH232+AI232</f>
        <v>1332.856</v>
      </c>
      <c r="AK232" s="60">
        <f>AJ232*'Scope 3 Ratios'!$B$4*(C232/D232)</f>
        <v>2.410402199</v>
      </c>
      <c r="AL232" s="61" t="s">
        <v>190</v>
      </c>
    </row>
    <row r="233" ht="15.0" customHeight="1">
      <c r="A233" s="56" t="s">
        <v>484</v>
      </c>
      <c r="B233" s="56" t="s">
        <v>188</v>
      </c>
      <c r="C233" s="56">
        <v>8.0</v>
      </c>
      <c r="D233" s="56">
        <f>VLOOKUP(E233,'AWS Platforms Ratios'!$A$2:$B$25,2,FALSE)</f>
        <v>64</v>
      </c>
      <c r="E233" s="57" t="s">
        <v>189</v>
      </c>
      <c r="F233" s="56">
        <v>32.0</v>
      </c>
      <c r="G233" s="56">
        <v>256.0</v>
      </c>
      <c r="H233" s="57" t="s">
        <v>71</v>
      </c>
      <c r="I233" s="56" t="s">
        <v>72</v>
      </c>
      <c r="J233" s="56">
        <v>0.0</v>
      </c>
      <c r="K233" s="58" t="s">
        <v>73</v>
      </c>
      <c r="L233" s="58" t="s">
        <v>73</v>
      </c>
      <c r="M233" s="58" t="s">
        <v>73</v>
      </c>
      <c r="N233" s="58" t="s">
        <v>73</v>
      </c>
      <c r="O233" s="59">
        <f>($C233/$D233)*VLOOKUP($E233,'AWS Platforms Ratios'!$A$2:$O$25,7,FALSE)</f>
        <v>2.177411576</v>
      </c>
      <c r="P233" s="59">
        <f>($C233/$D233)*VLOOKUP($E233,'AWS Platforms Ratios'!$A$2:$O$25,8,FALSE)</f>
        <v>5.967383441</v>
      </c>
      <c r="Q233" s="59">
        <f>($C233/$D233)*VLOOKUP($E233,'AWS Platforms Ratios'!$A$2:$O$25,9,FALSE)</f>
        <v>14.10494373</v>
      </c>
      <c r="R233" s="59">
        <f>($C233/$D233)*VLOOKUP($E233,'AWS Platforms Ratios'!$A$2:$O$25,10,FALSE)</f>
        <v>19.09771905</v>
      </c>
      <c r="S233" s="59">
        <f>$F233*VLOOKUP($E233,'AWS Platforms Ratios'!$A$2:$O$25,11,FALSE)</f>
        <v>6.4</v>
      </c>
      <c r="T233" s="59">
        <f>$F233*VLOOKUP($E233,'AWS Platforms Ratios'!$A$2:$O$25,12,FALSE)</f>
        <v>9.6</v>
      </c>
      <c r="U233" s="59">
        <f>$F233*VLOOKUP($E233,'AWS Platforms Ratios'!$A$2:$O$25,13,FALSE)</f>
        <v>12.8</v>
      </c>
      <c r="V233" s="59">
        <f>$F233*VLOOKUP($E233,'AWS Platforms Ratios'!$A$2:$O$25,14,FALSE)</f>
        <v>19.2</v>
      </c>
      <c r="W233" s="60">
        <f>IF($K233&lt;&gt;"N/A",$M233*(VLOOKUP($L233,'GPU Specs &amp; Ratios'!$B$2:$I$8,5,FALSE)),0)</f>
        <v>0</v>
      </c>
      <c r="X233" s="60">
        <f>IF($K233&lt;&gt;"N/A",$M233*(VLOOKUP($L233,'GPU Specs &amp; Ratios'!$B$2:$I$8,6,FALSE)),0)</f>
        <v>0</v>
      </c>
      <c r="Y233" s="60">
        <f>IF($K233&lt;&gt;"N/A",$M233*(VLOOKUP($L233,'GPU Specs &amp; Ratios'!$B$2:$I$8,7,FALSE)),0)</f>
        <v>0</v>
      </c>
      <c r="Z233" s="60">
        <f>IF($K233&lt;&gt;"N/A",$M233*(VLOOKUP($L233,'GPU Specs &amp; Ratios'!$B$2:$I$8,8,FALSE)),0)</f>
        <v>0</v>
      </c>
      <c r="AA233" s="60">
        <f>(C233/D233)*VLOOKUP($E233,'AWS Platforms Ratios'!$A$2:$O$25,15,FALSE)</f>
        <v>3.75</v>
      </c>
      <c r="AB233" s="60">
        <f t="shared" ref="AB233:AE233" si="232">O233+S233+W233+$AA233</f>
        <v>12.32741158</v>
      </c>
      <c r="AC233" s="60">
        <f t="shared" si="232"/>
        <v>19.31738344</v>
      </c>
      <c r="AD233" s="60">
        <f t="shared" si="232"/>
        <v>30.65494373</v>
      </c>
      <c r="AE233" s="60">
        <f t="shared" si="232"/>
        <v>42.04771905</v>
      </c>
      <c r="AF233" s="60">
        <f>IF(G233&gt;'Scope 3 Ratios'!$B$5,(G233-'Scope 3 Ratios'!$B$5)*('Scope 3 Ratios'!$B$6/'Scope 3 Ratios'!$B$5),0)</f>
        <v>332.856</v>
      </c>
      <c r="AG233" s="60">
        <f>J233*IF(I233="SSD",'Scope 3 Ratios'!$B$9,'Scope 3 Ratios'!$B$8)</f>
        <v>0</v>
      </c>
      <c r="AH233" s="60">
        <f>IF(K233&lt;&gt;"N/A",K233*'Scope 3 Ratios'!$B$10,0)</f>
        <v>0</v>
      </c>
      <c r="AI233" s="60">
        <f>(VLOOKUP($E233,'AWS Platforms Ratios'!$A$2:$O$25,3,FALSE)-1)*'Scope 3 Ratios'!$B$7</f>
        <v>0</v>
      </c>
      <c r="AJ233" s="60">
        <f>'Scope 3 Ratios'!$B$2+AF233+AG233+AH233+AI233</f>
        <v>1332.856</v>
      </c>
      <c r="AK233" s="60">
        <f>AJ233*'Scope 3 Ratios'!$B$4*(C233/D233)</f>
        <v>4.820804398</v>
      </c>
      <c r="AL233" s="61" t="s">
        <v>190</v>
      </c>
    </row>
    <row r="234" ht="15.0" customHeight="1">
      <c r="A234" s="56" t="s">
        <v>485</v>
      </c>
      <c r="B234" s="56" t="s">
        <v>188</v>
      </c>
      <c r="C234" s="56">
        <v>16.0</v>
      </c>
      <c r="D234" s="56">
        <f>VLOOKUP(E234,'AWS Platforms Ratios'!$A$2:$B$25,2,FALSE)</f>
        <v>64</v>
      </c>
      <c r="E234" s="57" t="s">
        <v>189</v>
      </c>
      <c r="F234" s="56">
        <v>64.0</v>
      </c>
      <c r="G234" s="56">
        <v>256.0</v>
      </c>
      <c r="H234" s="57" t="s">
        <v>71</v>
      </c>
      <c r="I234" s="56" t="s">
        <v>72</v>
      </c>
      <c r="J234" s="56">
        <v>0.0</v>
      </c>
      <c r="K234" s="58" t="s">
        <v>73</v>
      </c>
      <c r="L234" s="58" t="s">
        <v>73</v>
      </c>
      <c r="M234" s="58" t="s">
        <v>73</v>
      </c>
      <c r="N234" s="58" t="s">
        <v>73</v>
      </c>
      <c r="O234" s="59">
        <f>($C234/$D234)*VLOOKUP($E234,'AWS Platforms Ratios'!$A$2:$O$25,7,FALSE)</f>
        <v>4.354823151</v>
      </c>
      <c r="P234" s="59">
        <f>($C234/$D234)*VLOOKUP($E234,'AWS Platforms Ratios'!$A$2:$O$25,8,FALSE)</f>
        <v>11.93476688</v>
      </c>
      <c r="Q234" s="59">
        <f>($C234/$D234)*VLOOKUP($E234,'AWS Platforms Ratios'!$A$2:$O$25,9,FALSE)</f>
        <v>28.20988746</v>
      </c>
      <c r="R234" s="59">
        <f>($C234/$D234)*VLOOKUP($E234,'AWS Platforms Ratios'!$A$2:$O$25,10,FALSE)</f>
        <v>38.1954381</v>
      </c>
      <c r="S234" s="59">
        <f>$F234*VLOOKUP($E234,'AWS Platforms Ratios'!$A$2:$O$25,11,FALSE)</f>
        <v>12.8</v>
      </c>
      <c r="T234" s="59">
        <f>$F234*VLOOKUP($E234,'AWS Platforms Ratios'!$A$2:$O$25,12,FALSE)</f>
        <v>19.2</v>
      </c>
      <c r="U234" s="59">
        <f>$F234*VLOOKUP($E234,'AWS Platforms Ratios'!$A$2:$O$25,13,FALSE)</f>
        <v>25.6</v>
      </c>
      <c r="V234" s="59">
        <f>$F234*VLOOKUP($E234,'AWS Platforms Ratios'!$A$2:$O$25,14,FALSE)</f>
        <v>38.4</v>
      </c>
      <c r="W234" s="60">
        <f>IF($K234&lt;&gt;"N/A",$M234*(VLOOKUP($L234,'GPU Specs &amp; Ratios'!$B$2:$I$8,5,FALSE)),0)</f>
        <v>0</v>
      </c>
      <c r="X234" s="60">
        <f>IF($K234&lt;&gt;"N/A",$M234*(VLOOKUP($L234,'GPU Specs &amp; Ratios'!$B$2:$I$8,6,FALSE)),0)</f>
        <v>0</v>
      </c>
      <c r="Y234" s="60">
        <f>IF($K234&lt;&gt;"N/A",$M234*(VLOOKUP($L234,'GPU Specs &amp; Ratios'!$B$2:$I$8,7,FALSE)),0)</f>
        <v>0</v>
      </c>
      <c r="Z234" s="60">
        <f>IF($K234&lt;&gt;"N/A",$M234*(VLOOKUP($L234,'GPU Specs &amp; Ratios'!$B$2:$I$8,8,FALSE)),0)</f>
        <v>0</v>
      </c>
      <c r="AA234" s="60">
        <f>(C234/D234)*VLOOKUP($E234,'AWS Platforms Ratios'!$A$2:$O$25,15,FALSE)</f>
        <v>7.5</v>
      </c>
      <c r="AB234" s="60">
        <f t="shared" ref="AB234:AE234" si="233">O234+S234+W234+$AA234</f>
        <v>24.65482315</v>
      </c>
      <c r="AC234" s="60">
        <f t="shared" si="233"/>
        <v>38.63476688</v>
      </c>
      <c r="AD234" s="60">
        <f t="shared" si="233"/>
        <v>61.30988746</v>
      </c>
      <c r="AE234" s="60">
        <f t="shared" si="233"/>
        <v>84.0954381</v>
      </c>
      <c r="AF234" s="60">
        <f>IF(G234&gt;'Scope 3 Ratios'!$B$5,(G234-'Scope 3 Ratios'!$B$5)*('Scope 3 Ratios'!$B$6/'Scope 3 Ratios'!$B$5),0)</f>
        <v>332.856</v>
      </c>
      <c r="AG234" s="60">
        <f>J234*IF(I234="SSD",'Scope 3 Ratios'!$B$9,'Scope 3 Ratios'!$B$8)</f>
        <v>0</v>
      </c>
      <c r="AH234" s="60">
        <f>IF(K234&lt;&gt;"N/A",K234*'Scope 3 Ratios'!$B$10,0)</f>
        <v>0</v>
      </c>
      <c r="AI234" s="60">
        <f>(VLOOKUP($E234,'AWS Platforms Ratios'!$A$2:$O$25,3,FALSE)-1)*'Scope 3 Ratios'!$B$7</f>
        <v>0</v>
      </c>
      <c r="AJ234" s="60">
        <f>'Scope 3 Ratios'!$B$2+AF234+AG234+AH234+AI234</f>
        <v>1332.856</v>
      </c>
      <c r="AK234" s="60">
        <f>AJ234*'Scope 3 Ratios'!$B$4*(C234/D234)</f>
        <v>9.641608796</v>
      </c>
      <c r="AL234" s="61" t="s">
        <v>190</v>
      </c>
    </row>
    <row r="235" ht="15.0" customHeight="1">
      <c r="A235" s="56" t="s">
        <v>486</v>
      </c>
      <c r="B235" s="56" t="s">
        <v>188</v>
      </c>
      <c r="C235" s="56">
        <v>32.0</v>
      </c>
      <c r="D235" s="56">
        <f>VLOOKUP(E235,'AWS Platforms Ratios'!$A$2:$B$25,2,FALSE)</f>
        <v>64</v>
      </c>
      <c r="E235" s="57" t="s">
        <v>189</v>
      </c>
      <c r="F235" s="56">
        <v>128.0</v>
      </c>
      <c r="G235" s="56">
        <v>256.0</v>
      </c>
      <c r="H235" s="57" t="s">
        <v>71</v>
      </c>
      <c r="I235" s="56" t="s">
        <v>72</v>
      </c>
      <c r="J235" s="56">
        <v>0.0</v>
      </c>
      <c r="K235" s="58" t="s">
        <v>73</v>
      </c>
      <c r="L235" s="58" t="s">
        <v>73</v>
      </c>
      <c r="M235" s="58" t="s">
        <v>73</v>
      </c>
      <c r="N235" s="58" t="s">
        <v>73</v>
      </c>
      <c r="O235" s="59">
        <f>($C235/$D235)*VLOOKUP($E235,'AWS Platforms Ratios'!$A$2:$O$25,7,FALSE)</f>
        <v>8.709646302</v>
      </c>
      <c r="P235" s="59">
        <f>($C235/$D235)*VLOOKUP($E235,'AWS Platforms Ratios'!$A$2:$O$25,8,FALSE)</f>
        <v>23.86953376</v>
      </c>
      <c r="Q235" s="59">
        <f>($C235/$D235)*VLOOKUP($E235,'AWS Platforms Ratios'!$A$2:$O$25,9,FALSE)</f>
        <v>56.41977492</v>
      </c>
      <c r="R235" s="59">
        <f>($C235/$D235)*VLOOKUP($E235,'AWS Platforms Ratios'!$A$2:$O$25,10,FALSE)</f>
        <v>76.39087621</v>
      </c>
      <c r="S235" s="59">
        <f>$F235*VLOOKUP($E235,'AWS Platforms Ratios'!$A$2:$O$25,11,FALSE)</f>
        <v>25.6</v>
      </c>
      <c r="T235" s="59">
        <f>$F235*VLOOKUP($E235,'AWS Platforms Ratios'!$A$2:$O$25,12,FALSE)</f>
        <v>38.4</v>
      </c>
      <c r="U235" s="59">
        <f>$F235*VLOOKUP($E235,'AWS Platforms Ratios'!$A$2:$O$25,13,FALSE)</f>
        <v>51.2</v>
      </c>
      <c r="V235" s="59">
        <f>$F235*VLOOKUP($E235,'AWS Platforms Ratios'!$A$2:$O$25,14,FALSE)</f>
        <v>76.8</v>
      </c>
      <c r="W235" s="60">
        <f>IF($K235&lt;&gt;"N/A",$M235*(VLOOKUP($L235,'GPU Specs &amp; Ratios'!$B$2:$I$8,5,FALSE)),0)</f>
        <v>0</v>
      </c>
      <c r="X235" s="60">
        <f>IF($K235&lt;&gt;"N/A",$M235*(VLOOKUP($L235,'GPU Specs &amp; Ratios'!$B$2:$I$8,6,FALSE)),0)</f>
        <v>0</v>
      </c>
      <c r="Y235" s="60">
        <f>IF($K235&lt;&gt;"N/A",$M235*(VLOOKUP($L235,'GPU Specs &amp; Ratios'!$B$2:$I$8,7,FALSE)),0)</f>
        <v>0</v>
      </c>
      <c r="Z235" s="60">
        <f>IF($K235&lt;&gt;"N/A",$M235*(VLOOKUP($L235,'GPU Specs &amp; Ratios'!$B$2:$I$8,8,FALSE)),0)</f>
        <v>0</v>
      </c>
      <c r="AA235" s="60">
        <f>(C235/D235)*VLOOKUP($E235,'AWS Platforms Ratios'!$A$2:$O$25,15,FALSE)</f>
        <v>15</v>
      </c>
      <c r="AB235" s="60">
        <f t="shared" ref="AB235:AE235" si="234">O235+S235+W235+$AA235</f>
        <v>49.3096463</v>
      </c>
      <c r="AC235" s="60">
        <f t="shared" si="234"/>
        <v>77.26953376</v>
      </c>
      <c r="AD235" s="60">
        <f t="shared" si="234"/>
        <v>122.6197749</v>
      </c>
      <c r="AE235" s="60">
        <f t="shared" si="234"/>
        <v>168.1908762</v>
      </c>
      <c r="AF235" s="60">
        <f>IF(G235&gt;'Scope 3 Ratios'!$B$5,(G235-'Scope 3 Ratios'!$B$5)*('Scope 3 Ratios'!$B$6/'Scope 3 Ratios'!$B$5),0)</f>
        <v>332.856</v>
      </c>
      <c r="AG235" s="60">
        <f>J235*IF(I235="SSD",'Scope 3 Ratios'!$B$9,'Scope 3 Ratios'!$B$8)</f>
        <v>0</v>
      </c>
      <c r="AH235" s="60">
        <f>IF(K235&lt;&gt;"N/A",K235*'Scope 3 Ratios'!$B$10,0)</f>
        <v>0</v>
      </c>
      <c r="AI235" s="60">
        <f>(VLOOKUP($E235,'AWS Platforms Ratios'!$A$2:$O$25,3,FALSE)-1)*'Scope 3 Ratios'!$B$7</f>
        <v>0</v>
      </c>
      <c r="AJ235" s="60">
        <f>'Scope 3 Ratios'!$B$2+AF235+AG235+AH235+AI235</f>
        <v>1332.856</v>
      </c>
      <c r="AK235" s="60">
        <f>AJ235*'Scope 3 Ratios'!$B$4*(C235/D235)</f>
        <v>19.28321759</v>
      </c>
      <c r="AL235" s="61" t="s">
        <v>190</v>
      </c>
    </row>
    <row r="236" ht="15.0" customHeight="1">
      <c r="A236" s="56" t="s">
        <v>487</v>
      </c>
      <c r="B236" s="56" t="s">
        <v>188</v>
      </c>
      <c r="C236" s="56">
        <v>48.0</v>
      </c>
      <c r="D236" s="56">
        <f>VLOOKUP(E236,'AWS Platforms Ratios'!$A$2:$B$25,2,FALSE)</f>
        <v>64</v>
      </c>
      <c r="E236" s="57" t="s">
        <v>189</v>
      </c>
      <c r="F236" s="56">
        <v>192.0</v>
      </c>
      <c r="G236" s="56">
        <v>256.0</v>
      </c>
      <c r="H236" s="57" t="s">
        <v>71</v>
      </c>
      <c r="I236" s="56" t="s">
        <v>72</v>
      </c>
      <c r="J236" s="56">
        <v>0.0</v>
      </c>
      <c r="K236" s="58" t="s">
        <v>73</v>
      </c>
      <c r="L236" s="58" t="s">
        <v>73</v>
      </c>
      <c r="M236" s="58" t="s">
        <v>73</v>
      </c>
      <c r="N236" s="58" t="s">
        <v>73</v>
      </c>
      <c r="O236" s="59">
        <f>($C236/$D236)*VLOOKUP($E236,'AWS Platforms Ratios'!$A$2:$O$25,7,FALSE)</f>
        <v>13.06446945</v>
      </c>
      <c r="P236" s="59">
        <f>($C236/$D236)*VLOOKUP($E236,'AWS Platforms Ratios'!$A$2:$O$25,8,FALSE)</f>
        <v>35.80430064</v>
      </c>
      <c r="Q236" s="59">
        <f>($C236/$D236)*VLOOKUP($E236,'AWS Platforms Ratios'!$A$2:$O$25,9,FALSE)</f>
        <v>84.62966238</v>
      </c>
      <c r="R236" s="59">
        <f>($C236/$D236)*VLOOKUP($E236,'AWS Platforms Ratios'!$A$2:$O$25,10,FALSE)</f>
        <v>114.5863143</v>
      </c>
      <c r="S236" s="59">
        <f>$F236*VLOOKUP($E236,'AWS Platforms Ratios'!$A$2:$O$25,11,FALSE)</f>
        <v>38.4</v>
      </c>
      <c r="T236" s="59">
        <f>$F236*VLOOKUP($E236,'AWS Platforms Ratios'!$A$2:$O$25,12,FALSE)</f>
        <v>57.6</v>
      </c>
      <c r="U236" s="59">
        <f>$F236*VLOOKUP($E236,'AWS Platforms Ratios'!$A$2:$O$25,13,FALSE)</f>
        <v>76.8</v>
      </c>
      <c r="V236" s="59">
        <f>$F236*VLOOKUP($E236,'AWS Platforms Ratios'!$A$2:$O$25,14,FALSE)</f>
        <v>115.2</v>
      </c>
      <c r="W236" s="60">
        <f>IF($K236&lt;&gt;"N/A",$M236*(VLOOKUP($L236,'GPU Specs &amp; Ratios'!$B$2:$I$8,5,FALSE)),0)</f>
        <v>0</v>
      </c>
      <c r="X236" s="60">
        <f>IF($K236&lt;&gt;"N/A",$M236*(VLOOKUP($L236,'GPU Specs &amp; Ratios'!$B$2:$I$8,6,FALSE)),0)</f>
        <v>0</v>
      </c>
      <c r="Y236" s="60">
        <f>IF($K236&lt;&gt;"N/A",$M236*(VLOOKUP($L236,'GPU Specs &amp; Ratios'!$B$2:$I$8,7,FALSE)),0)</f>
        <v>0</v>
      </c>
      <c r="Z236" s="60">
        <f>IF($K236&lt;&gt;"N/A",$M236*(VLOOKUP($L236,'GPU Specs &amp; Ratios'!$B$2:$I$8,8,FALSE)),0)</f>
        <v>0</v>
      </c>
      <c r="AA236" s="60">
        <f>(C236/D236)*VLOOKUP($E236,'AWS Platforms Ratios'!$A$2:$O$25,15,FALSE)</f>
        <v>22.5</v>
      </c>
      <c r="AB236" s="60">
        <f t="shared" ref="AB236:AE236" si="235">O236+S236+W236+$AA236</f>
        <v>73.96446945</v>
      </c>
      <c r="AC236" s="60">
        <f t="shared" si="235"/>
        <v>115.9043006</v>
      </c>
      <c r="AD236" s="60">
        <f t="shared" si="235"/>
        <v>183.9296624</v>
      </c>
      <c r="AE236" s="60">
        <f t="shared" si="235"/>
        <v>252.2863143</v>
      </c>
      <c r="AF236" s="60">
        <f>IF(G236&gt;'Scope 3 Ratios'!$B$5,(G236-'Scope 3 Ratios'!$B$5)*('Scope 3 Ratios'!$B$6/'Scope 3 Ratios'!$B$5),0)</f>
        <v>332.856</v>
      </c>
      <c r="AG236" s="60">
        <f>J236*IF(I236="SSD",'Scope 3 Ratios'!$B$9,'Scope 3 Ratios'!$B$8)</f>
        <v>0</v>
      </c>
      <c r="AH236" s="60">
        <f>IF(K236&lt;&gt;"N/A",K236*'Scope 3 Ratios'!$B$10,0)</f>
        <v>0</v>
      </c>
      <c r="AI236" s="60">
        <f>(VLOOKUP($E236,'AWS Platforms Ratios'!$A$2:$O$25,3,FALSE)-1)*'Scope 3 Ratios'!$B$7</f>
        <v>0</v>
      </c>
      <c r="AJ236" s="60">
        <f>'Scope 3 Ratios'!$B$2+AF236+AG236+AH236+AI236</f>
        <v>1332.856</v>
      </c>
      <c r="AK236" s="60">
        <f>AJ236*'Scope 3 Ratios'!$B$4*(C236/D236)</f>
        <v>28.92482639</v>
      </c>
      <c r="AL236" s="61" t="s">
        <v>190</v>
      </c>
    </row>
    <row r="237" ht="15.0" customHeight="1">
      <c r="A237" s="56" t="s">
        <v>488</v>
      </c>
      <c r="B237" s="56" t="s">
        <v>188</v>
      </c>
      <c r="C237" s="56">
        <v>64.0</v>
      </c>
      <c r="D237" s="56">
        <f>VLOOKUP(E237,'AWS Platforms Ratios'!$A$2:$B$25,2,FALSE)</f>
        <v>64</v>
      </c>
      <c r="E237" s="57" t="s">
        <v>189</v>
      </c>
      <c r="F237" s="56">
        <v>256.0</v>
      </c>
      <c r="G237" s="56">
        <v>256.0</v>
      </c>
      <c r="H237" s="57" t="s">
        <v>71</v>
      </c>
      <c r="I237" s="56" t="s">
        <v>72</v>
      </c>
      <c r="J237" s="56">
        <v>0.0</v>
      </c>
      <c r="K237" s="58" t="s">
        <v>73</v>
      </c>
      <c r="L237" s="58" t="s">
        <v>73</v>
      </c>
      <c r="M237" s="58" t="s">
        <v>73</v>
      </c>
      <c r="N237" s="58" t="s">
        <v>73</v>
      </c>
      <c r="O237" s="59">
        <f>($C237/$D237)*VLOOKUP($E237,'AWS Platforms Ratios'!$A$2:$O$25,7,FALSE)</f>
        <v>17.4192926</v>
      </c>
      <c r="P237" s="59">
        <f>($C237/$D237)*VLOOKUP($E237,'AWS Platforms Ratios'!$A$2:$O$25,8,FALSE)</f>
        <v>47.73906752</v>
      </c>
      <c r="Q237" s="59">
        <f>($C237/$D237)*VLOOKUP($E237,'AWS Platforms Ratios'!$A$2:$O$25,9,FALSE)</f>
        <v>112.8395498</v>
      </c>
      <c r="R237" s="59">
        <f>($C237/$D237)*VLOOKUP($E237,'AWS Platforms Ratios'!$A$2:$O$25,10,FALSE)</f>
        <v>152.7817524</v>
      </c>
      <c r="S237" s="59">
        <f>$F237*VLOOKUP($E237,'AWS Platforms Ratios'!$A$2:$O$25,11,FALSE)</f>
        <v>51.2</v>
      </c>
      <c r="T237" s="59">
        <f>$F237*VLOOKUP($E237,'AWS Platforms Ratios'!$A$2:$O$25,12,FALSE)</f>
        <v>76.8</v>
      </c>
      <c r="U237" s="59">
        <f>$F237*VLOOKUP($E237,'AWS Platforms Ratios'!$A$2:$O$25,13,FALSE)</f>
        <v>102.4</v>
      </c>
      <c r="V237" s="59">
        <f>$F237*VLOOKUP($E237,'AWS Platforms Ratios'!$A$2:$O$25,14,FALSE)</f>
        <v>153.6</v>
      </c>
      <c r="W237" s="60">
        <f>IF($K237&lt;&gt;"N/A",$M237*(VLOOKUP($L237,'GPU Specs &amp; Ratios'!$B$2:$I$8,5,FALSE)),0)</f>
        <v>0</v>
      </c>
      <c r="X237" s="60">
        <f>IF($K237&lt;&gt;"N/A",$M237*(VLOOKUP($L237,'GPU Specs &amp; Ratios'!$B$2:$I$8,6,FALSE)),0)</f>
        <v>0</v>
      </c>
      <c r="Y237" s="60">
        <f>IF($K237&lt;&gt;"N/A",$M237*(VLOOKUP($L237,'GPU Specs &amp; Ratios'!$B$2:$I$8,7,FALSE)),0)</f>
        <v>0</v>
      </c>
      <c r="Z237" s="60">
        <f>IF($K237&lt;&gt;"N/A",$M237*(VLOOKUP($L237,'GPU Specs &amp; Ratios'!$B$2:$I$8,8,FALSE)),0)</f>
        <v>0</v>
      </c>
      <c r="AA237" s="60">
        <f>(C237/D237)*VLOOKUP($E237,'AWS Platforms Ratios'!$A$2:$O$25,15,FALSE)</f>
        <v>30</v>
      </c>
      <c r="AB237" s="60">
        <f t="shared" ref="AB237:AE237" si="236">O237+S237+W237+$AA237</f>
        <v>98.6192926</v>
      </c>
      <c r="AC237" s="60">
        <f t="shared" si="236"/>
        <v>154.5390675</v>
      </c>
      <c r="AD237" s="60">
        <f t="shared" si="236"/>
        <v>245.2395498</v>
      </c>
      <c r="AE237" s="60">
        <f t="shared" si="236"/>
        <v>336.3817524</v>
      </c>
      <c r="AF237" s="60">
        <f>IF(G237&gt;'Scope 3 Ratios'!$B$5,(G237-'Scope 3 Ratios'!$B$5)*('Scope 3 Ratios'!$B$6/'Scope 3 Ratios'!$B$5),0)</f>
        <v>332.856</v>
      </c>
      <c r="AG237" s="60">
        <f>J237*IF(I237="SSD",'Scope 3 Ratios'!$B$9,'Scope 3 Ratios'!$B$8)</f>
        <v>0</v>
      </c>
      <c r="AH237" s="60">
        <f>IF(K237&lt;&gt;"N/A",K237*'Scope 3 Ratios'!$B$10,0)</f>
        <v>0</v>
      </c>
      <c r="AI237" s="60">
        <f>(VLOOKUP($E237,'AWS Platforms Ratios'!$A$2:$O$25,3,FALSE)-1)*'Scope 3 Ratios'!$B$7</f>
        <v>0</v>
      </c>
      <c r="AJ237" s="60">
        <f>'Scope 3 Ratios'!$B$2+AF237+AG237+AH237+AI237</f>
        <v>1332.856</v>
      </c>
      <c r="AK237" s="60">
        <f>AJ237*'Scope 3 Ratios'!$B$4*(C237/D237)</f>
        <v>38.56643519</v>
      </c>
      <c r="AL237" s="61" t="s">
        <v>190</v>
      </c>
    </row>
    <row r="238" ht="15.0" customHeight="1">
      <c r="A238" s="56" t="s">
        <v>489</v>
      </c>
      <c r="B238" s="56" t="s">
        <v>188</v>
      </c>
      <c r="C238" s="56">
        <v>64.0</v>
      </c>
      <c r="D238" s="56">
        <f>VLOOKUP(E238,'AWS Platforms Ratios'!$A$2:$B$25,2,FALSE)</f>
        <v>64</v>
      </c>
      <c r="E238" s="57" t="s">
        <v>189</v>
      </c>
      <c r="F238" s="56">
        <v>256.0</v>
      </c>
      <c r="G238" s="56">
        <v>256.0</v>
      </c>
      <c r="H238" s="57" t="s">
        <v>71</v>
      </c>
      <c r="I238" s="56" t="s">
        <v>72</v>
      </c>
      <c r="J238" s="56">
        <v>0.0</v>
      </c>
      <c r="K238" s="58" t="s">
        <v>73</v>
      </c>
      <c r="L238" s="58" t="s">
        <v>73</v>
      </c>
      <c r="M238" s="58" t="s">
        <v>73</v>
      </c>
      <c r="N238" s="58" t="s">
        <v>73</v>
      </c>
      <c r="O238" s="59">
        <f>($C238/$D238)*VLOOKUP($E238,'AWS Platforms Ratios'!$A$2:$O$25,7,FALSE)</f>
        <v>17.4192926</v>
      </c>
      <c r="P238" s="59">
        <f>($C238/$D238)*VLOOKUP($E238,'AWS Platforms Ratios'!$A$2:$O$25,8,FALSE)</f>
        <v>47.73906752</v>
      </c>
      <c r="Q238" s="59">
        <f>($C238/$D238)*VLOOKUP($E238,'AWS Platforms Ratios'!$A$2:$O$25,9,FALSE)</f>
        <v>112.8395498</v>
      </c>
      <c r="R238" s="59">
        <f>($C238/$D238)*VLOOKUP($E238,'AWS Platforms Ratios'!$A$2:$O$25,10,FALSE)</f>
        <v>152.7817524</v>
      </c>
      <c r="S238" s="59">
        <f>$F238*VLOOKUP($E238,'AWS Platforms Ratios'!$A$2:$O$25,11,FALSE)</f>
        <v>51.2</v>
      </c>
      <c r="T238" s="59">
        <f>$F238*VLOOKUP($E238,'AWS Platforms Ratios'!$A$2:$O$25,12,FALSE)</f>
        <v>76.8</v>
      </c>
      <c r="U238" s="59">
        <f>$F238*VLOOKUP($E238,'AWS Platforms Ratios'!$A$2:$O$25,13,FALSE)</f>
        <v>102.4</v>
      </c>
      <c r="V238" s="59">
        <f>$F238*VLOOKUP($E238,'AWS Platforms Ratios'!$A$2:$O$25,14,FALSE)</f>
        <v>153.6</v>
      </c>
      <c r="W238" s="60">
        <f>IF($K238&lt;&gt;"N/A",$M238*(VLOOKUP($L238,'GPU Specs &amp; Ratios'!$B$2:$I$8,5,FALSE)),0)</f>
        <v>0</v>
      </c>
      <c r="X238" s="60">
        <f>IF($K238&lt;&gt;"N/A",$M238*(VLOOKUP($L238,'GPU Specs &amp; Ratios'!$B$2:$I$8,6,FALSE)),0)</f>
        <v>0</v>
      </c>
      <c r="Y238" s="60">
        <f>IF($K238&lt;&gt;"N/A",$M238*(VLOOKUP($L238,'GPU Specs &amp; Ratios'!$B$2:$I$8,7,FALSE)),0)</f>
        <v>0</v>
      </c>
      <c r="Z238" s="60">
        <f>IF($K238&lt;&gt;"N/A",$M238*(VLOOKUP($L238,'GPU Specs &amp; Ratios'!$B$2:$I$8,8,FALSE)),0)</f>
        <v>0</v>
      </c>
      <c r="AA238" s="60">
        <f>(C238/D238)*VLOOKUP($E238,'AWS Platforms Ratios'!$A$2:$O$25,15,FALSE)</f>
        <v>30</v>
      </c>
      <c r="AB238" s="60">
        <f t="shared" ref="AB238:AE238" si="237">O238+S238+W238+$AA238</f>
        <v>98.6192926</v>
      </c>
      <c r="AC238" s="60">
        <f t="shared" si="237"/>
        <v>154.5390675</v>
      </c>
      <c r="AD238" s="60">
        <f t="shared" si="237"/>
        <v>245.2395498</v>
      </c>
      <c r="AE238" s="60">
        <f t="shared" si="237"/>
        <v>336.3817524</v>
      </c>
      <c r="AF238" s="60">
        <f>IF(G238&gt;'Scope 3 Ratios'!$B$5,(G238-'Scope 3 Ratios'!$B$5)*('Scope 3 Ratios'!$B$6/'Scope 3 Ratios'!$B$5),0)</f>
        <v>332.856</v>
      </c>
      <c r="AG238" s="60">
        <f>J238*IF(I238="SSD",'Scope 3 Ratios'!$B$9,'Scope 3 Ratios'!$B$8)</f>
        <v>0</v>
      </c>
      <c r="AH238" s="60">
        <f>IF(K238&lt;&gt;"N/A",K238*'Scope 3 Ratios'!$B$10,0)</f>
        <v>0</v>
      </c>
      <c r="AI238" s="60">
        <f>(VLOOKUP($E238,'AWS Platforms Ratios'!$A$2:$O$25,3,FALSE)-1)*'Scope 3 Ratios'!$B$7</f>
        <v>0</v>
      </c>
      <c r="AJ238" s="60">
        <f>'Scope 3 Ratios'!$B$2+AF238+AG238+AH238+AI238</f>
        <v>1332.856</v>
      </c>
      <c r="AK238" s="60">
        <f>AJ238*'Scope 3 Ratios'!$B$4*(C238/D238)</f>
        <v>38.56643519</v>
      </c>
      <c r="AL238" s="61" t="s">
        <v>190</v>
      </c>
    </row>
    <row r="239" ht="15.0" customHeight="1">
      <c r="A239" s="56" t="s">
        <v>490</v>
      </c>
      <c r="B239" s="56" t="s">
        <v>188</v>
      </c>
      <c r="C239" s="56">
        <v>1.0</v>
      </c>
      <c r="D239" s="56">
        <f>VLOOKUP(E239,'AWS Platforms Ratios'!$A$2:$B$25,2,FALSE)</f>
        <v>64</v>
      </c>
      <c r="E239" s="57" t="s">
        <v>189</v>
      </c>
      <c r="F239" s="56">
        <v>4.0</v>
      </c>
      <c r="G239" s="56">
        <v>256.0</v>
      </c>
      <c r="H239" s="57" t="s">
        <v>200</v>
      </c>
      <c r="I239" s="56" t="s">
        <v>85</v>
      </c>
      <c r="J239" s="56">
        <v>2.0</v>
      </c>
      <c r="K239" s="58" t="s">
        <v>73</v>
      </c>
      <c r="L239" s="58" t="s">
        <v>73</v>
      </c>
      <c r="M239" s="58" t="s">
        <v>73</v>
      </c>
      <c r="N239" s="58" t="s">
        <v>73</v>
      </c>
      <c r="O239" s="59">
        <f>($C239/$D239)*VLOOKUP($E239,'AWS Platforms Ratios'!$A$2:$O$25,7,FALSE)</f>
        <v>0.2721764469</v>
      </c>
      <c r="P239" s="59">
        <f>($C239/$D239)*VLOOKUP($E239,'AWS Platforms Ratios'!$A$2:$O$25,8,FALSE)</f>
        <v>0.7459229301</v>
      </c>
      <c r="Q239" s="59">
        <f>($C239/$D239)*VLOOKUP($E239,'AWS Platforms Ratios'!$A$2:$O$25,9,FALSE)</f>
        <v>1.763117966</v>
      </c>
      <c r="R239" s="59">
        <f>($C239/$D239)*VLOOKUP($E239,'AWS Platforms Ratios'!$A$2:$O$25,10,FALSE)</f>
        <v>2.387214881</v>
      </c>
      <c r="S239" s="59">
        <f>$F239*VLOOKUP($E239,'AWS Platforms Ratios'!$A$2:$O$25,11,FALSE)</f>
        <v>0.8</v>
      </c>
      <c r="T239" s="59">
        <f>$F239*VLOOKUP($E239,'AWS Platforms Ratios'!$A$2:$O$25,12,FALSE)</f>
        <v>1.2</v>
      </c>
      <c r="U239" s="59">
        <f>$F239*VLOOKUP($E239,'AWS Platforms Ratios'!$A$2:$O$25,13,FALSE)</f>
        <v>1.6</v>
      </c>
      <c r="V239" s="59">
        <f>$F239*VLOOKUP($E239,'AWS Platforms Ratios'!$A$2:$O$25,14,FALSE)</f>
        <v>2.4</v>
      </c>
      <c r="W239" s="60">
        <f>IF($K239&lt;&gt;"N/A",$M239*(VLOOKUP($L239,'GPU Specs &amp; Ratios'!$B$2:$I$8,5,FALSE)),0)</f>
        <v>0</v>
      </c>
      <c r="X239" s="60">
        <f>IF($K239&lt;&gt;"N/A",$M239*(VLOOKUP($L239,'GPU Specs &amp; Ratios'!$B$2:$I$8,6,FALSE)),0)</f>
        <v>0</v>
      </c>
      <c r="Y239" s="60">
        <f>IF($K239&lt;&gt;"N/A",$M239*(VLOOKUP($L239,'GPU Specs &amp; Ratios'!$B$2:$I$8,7,FALSE)),0)</f>
        <v>0</v>
      </c>
      <c r="Z239" s="60">
        <f>IF($K239&lt;&gt;"N/A",$M239*(VLOOKUP($L239,'GPU Specs &amp; Ratios'!$B$2:$I$8,8,FALSE)),0)</f>
        <v>0</v>
      </c>
      <c r="AA239" s="60">
        <f>(C239/D239)*VLOOKUP($E239,'AWS Platforms Ratios'!$A$2:$O$25,15,FALSE)</f>
        <v>0.46875</v>
      </c>
      <c r="AB239" s="60">
        <f t="shared" ref="AB239:AE239" si="238">O239+S239+W239+$AA239</f>
        <v>1.540926447</v>
      </c>
      <c r="AC239" s="60">
        <f t="shared" si="238"/>
        <v>2.41467293</v>
      </c>
      <c r="AD239" s="60">
        <f t="shared" si="238"/>
        <v>3.831867966</v>
      </c>
      <c r="AE239" s="60">
        <f t="shared" si="238"/>
        <v>5.255964881</v>
      </c>
      <c r="AF239" s="60">
        <f>IF(G239&gt;'Scope 3 Ratios'!$B$5,(G239-'Scope 3 Ratios'!$B$5)*('Scope 3 Ratios'!$B$6/'Scope 3 Ratios'!$B$5),0)</f>
        <v>332.856</v>
      </c>
      <c r="AG239" s="60">
        <f>J239*IF(I239="SSD",'Scope 3 Ratios'!$B$9,'Scope 3 Ratios'!$B$8)</f>
        <v>200</v>
      </c>
      <c r="AH239" s="60">
        <f>IF(K239&lt;&gt;"N/A",K239*'Scope 3 Ratios'!$B$10,0)</f>
        <v>0</v>
      </c>
      <c r="AI239" s="60">
        <f>(VLOOKUP($E239,'AWS Platforms Ratios'!$A$2:$O$25,3,FALSE)-1)*'Scope 3 Ratios'!$B$7</f>
        <v>0</v>
      </c>
      <c r="AJ239" s="60">
        <f>'Scope 3 Ratios'!$B$2+AF239+AG239+AH239+AI239</f>
        <v>1532.856</v>
      </c>
      <c r="AK239" s="60">
        <f>AJ239*'Scope 3 Ratios'!$B$4*(C239/D239)</f>
        <v>0.6930230035</v>
      </c>
      <c r="AL239" s="61" t="s">
        <v>190</v>
      </c>
    </row>
    <row r="240" ht="15.0" customHeight="1">
      <c r="A240" s="56" t="s">
        <v>491</v>
      </c>
      <c r="B240" s="56" t="s">
        <v>188</v>
      </c>
      <c r="C240" s="56">
        <v>2.0</v>
      </c>
      <c r="D240" s="56">
        <f>VLOOKUP(E240,'AWS Platforms Ratios'!$A$2:$B$25,2,FALSE)</f>
        <v>64</v>
      </c>
      <c r="E240" s="57" t="s">
        <v>189</v>
      </c>
      <c r="F240" s="56">
        <v>8.0</v>
      </c>
      <c r="G240" s="56">
        <v>256.0</v>
      </c>
      <c r="H240" s="57" t="s">
        <v>202</v>
      </c>
      <c r="I240" s="56" t="s">
        <v>85</v>
      </c>
      <c r="J240" s="56">
        <v>2.0</v>
      </c>
      <c r="K240" s="58" t="s">
        <v>73</v>
      </c>
      <c r="L240" s="58" t="s">
        <v>73</v>
      </c>
      <c r="M240" s="58" t="s">
        <v>73</v>
      </c>
      <c r="N240" s="58" t="s">
        <v>73</v>
      </c>
      <c r="O240" s="59">
        <f>($C240/$D240)*VLOOKUP($E240,'AWS Platforms Ratios'!$A$2:$O$25,7,FALSE)</f>
        <v>0.5443528939</v>
      </c>
      <c r="P240" s="59">
        <f>($C240/$D240)*VLOOKUP($E240,'AWS Platforms Ratios'!$A$2:$O$25,8,FALSE)</f>
        <v>1.49184586</v>
      </c>
      <c r="Q240" s="59">
        <f>($C240/$D240)*VLOOKUP($E240,'AWS Platforms Ratios'!$A$2:$O$25,9,FALSE)</f>
        <v>3.526235932</v>
      </c>
      <c r="R240" s="59">
        <f>($C240/$D240)*VLOOKUP($E240,'AWS Platforms Ratios'!$A$2:$O$25,10,FALSE)</f>
        <v>4.774429763</v>
      </c>
      <c r="S240" s="59">
        <f>$F240*VLOOKUP($E240,'AWS Platforms Ratios'!$A$2:$O$25,11,FALSE)</f>
        <v>1.6</v>
      </c>
      <c r="T240" s="59">
        <f>$F240*VLOOKUP($E240,'AWS Platforms Ratios'!$A$2:$O$25,12,FALSE)</f>
        <v>2.4</v>
      </c>
      <c r="U240" s="59">
        <f>$F240*VLOOKUP($E240,'AWS Platforms Ratios'!$A$2:$O$25,13,FALSE)</f>
        <v>3.2</v>
      </c>
      <c r="V240" s="59">
        <f>$F240*VLOOKUP($E240,'AWS Platforms Ratios'!$A$2:$O$25,14,FALSE)</f>
        <v>4.8</v>
      </c>
      <c r="W240" s="60">
        <f>IF($K240&lt;&gt;"N/A",$M240*(VLOOKUP($L240,'GPU Specs &amp; Ratios'!$B$2:$I$8,5,FALSE)),0)</f>
        <v>0</v>
      </c>
      <c r="X240" s="60">
        <f>IF($K240&lt;&gt;"N/A",$M240*(VLOOKUP($L240,'GPU Specs &amp; Ratios'!$B$2:$I$8,6,FALSE)),0)</f>
        <v>0</v>
      </c>
      <c r="Y240" s="60">
        <f>IF($K240&lt;&gt;"N/A",$M240*(VLOOKUP($L240,'GPU Specs &amp; Ratios'!$B$2:$I$8,7,FALSE)),0)</f>
        <v>0</v>
      </c>
      <c r="Z240" s="60">
        <f>IF($K240&lt;&gt;"N/A",$M240*(VLOOKUP($L240,'GPU Specs &amp; Ratios'!$B$2:$I$8,8,FALSE)),0)</f>
        <v>0</v>
      </c>
      <c r="AA240" s="60">
        <f>(C240/D240)*VLOOKUP($E240,'AWS Platforms Ratios'!$A$2:$O$25,15,FALSE)</f>
        <v>0.9375</v>
      </c>
      <c r="AB240" s="60">
        <f t="shared" ref="AB240:AE240" si="239">O240+S240+W240+$AA240</f>
        <v>3.081852894</v>
      </c>
      <c r="AC240" s="60">
        <f t="shared" si="239"/>
        <v>4.82934586</v>
      </c>
      <c r="AD240" s="60">
        <f t="shared" si="239"/>
        <v>7.663735932</v>
      </c>
      <c r="AE240" s="60">
        <f t="shared" si="239"/>
        <v>10.51192976</v>
      </c>
      <c r="AF240" s="60">
        <f>IF(G240&gt;'Scope 3 Ratios'!$B$5,(G240-'Scope 3 Ratios'!$B$5)*('Scope 3 Ratios'!$B$6/'Scope 3 Ratios'!$B$5),0)</f>
        <v>332.856</v>
      </c>
      <c r="AG240" s="60">
        <f>J240*IF(I240="SSD",'Scope 3 Ratios'!$B$9,'Scope 3 Ratios'!$B$8)</f>
        <v>200</v>
      </c>
      <c r="AH240" s="60">
        <f>IF(K240&lt;&gt;"N/A",K240*'Scope 3 Ratios'!$B$10,0)</f>
        <v>0</v>
      </c>
      <c r="AI240" s="60">
        <f>(VLOOKUP($E240,'AWS Platforms Ratios'!$A$2:$O$25,3,FALSE)-1)*'Scope 3 Ratios'!$B$7</f>
        <v>0</v>
      </c>
      <c r="AJ240" s="60">
        <f>'Scope 3 Ratios'!$B$2+AF240+AG240+AH240+AI240</f>
        <v>1532.856</v>
      </c>
      <c r="AK240" s="60">
        <f>AJ240*'Scope 3 Ratios'!$B$4*(C240/D240)</f>
        <v>1.386046007</v>
      </c>
      <c r="AL240" s="61" t="s">
        <v>190</v>
      </c>
    </row>
    <row r="241" ht="15.0" customHeight="1">
      <c r="A241" s="56" t="s">
        <v>492</v>
      </c>
      <c r="B241" s="56" t="s">
        <v>188</v>
      </c>
      <c r="C241" s="56">
        <v>4.0</v>
      </c>
      <c r="D241" s="56">
        <f>VLOOKUP(E241,'AWS Platforms Ratios'!$A$2:$B$25,2,FALSE)</f>
        <v>64</v>
      </c>
      <c r="E241" s="57" t="s">
        <v>189</v>
      </c>
      <c r="F241" s="56">
        <v>16.0</v>
      </c>
      <c r="G241" s="56">
        <v>256.0</v>
      </c>
      <c r="H241" s="57" t="s">
        <v>204</v>
      </c>
      <c r="I241" s="56" t="s">
        <v>85</v>
      </c>
      <c r="J241" s="56">
        <v>2.0</v>
      </c>
      <c r="K241" s="58" t="s">
        <v>73</v>
      </c>
      <c r="L241" s="58" t="s">
        <v>73</v>
      </c>
      <c r="M241" s="58" t="s">
        <v>73</v>
      </c>
      <c r="N241" s="58" t="s">
        <v>73</v>
      </c>
      <c r="O241" s="59">
        <f>($C241/$D241)*VLOOKUP($E241,'AWS Platforms Ratios'!$A$2:$O$25,7,FALSE)</f>
        <v>1.088705788</v>
      </c>
      <c r="P241" s="59">
        <f>($C241/$D241)*VLOOKUP($E241,'AWS Platforms Ratios'!$A$2:$O$25,8,FALSE)</f>
        <v>2.98369172</v>
      </c>
      <c r="Q241" s="59">
        <f>($C241/$D241)*VLOOKUP($E241,'AWS Platforms Ratios'!$A$2:$O$25,9,FALSE)</f>
        <v>7.052471865</v>
      </c>
      <c r="R241" s="59">
        <f>($C241/$D241)*VLOOKUP($E241,'AWS Platforms Ratios'!$A$2:$O$25,10,FALSE)</f>
        <v>9.548859526</v>
      </c>
      <c r="S241" s="59">
        <f>$F241*VLOOKUP($E241,'AWS Platforms Ratios'!$A$2:$O$25,11,FALSE)</f>
        <v>3.2</v>
      </c>
      <c r="T241" s="59">
        <f>$F241*VLOOKUP($E241,'AWS Platforms Ratios'!$A$2:$O$25,12,FALSE)</f>
        <v>4.8</v>
      </c>
      <c r="U241" s="59">
        <f>$F241*VLOOKUP($E241,'AWS Platforms Ratios'!$A$2:$O$25,13,FALSE)</f>
        <v>6.4</v>
      </c>
      <c r="V241" s="59">
        <f>$F241*VLOOKUP($E241,'AWS Platforms Ratios'!$A$2:$O$25,14,FALSE)</f>
        <v>9.6</v>
      </c>
      <c r="W241" s="60">
        <f>IF($K241&lt;&gt;"N/A",$M241*(VLOOKUP($L241,'GPU Specs &amp; Ratios'!$B$2:$I$8,5,FALSE)),0)</f>
        <v>0</v>
      </c>
      <c r="X241" s="60">
        <f>IF($K241&lt;&gt;"N/A",$M241*(VLOOKUP($L241,'GPU Specs &amp; Ratios'!$B$2:$I$8,6,FALSE)),0)</f>
        <v>0</v>
      </c>
      <c r="Y241" s="60">
        <f>IF($K241&lt;&gt;"N/A",$M241*(VLOOKUP($L241,'GPU Specs &amp; Ratios'!$B$2:$I$8,7,FALSE)),0)</f>
        <v>0</v>
      </c>
      <c r="Z241" s="60">
        <f>IF($K241&lt;&gt;"N/A",$M241*(VLOOKUP($L241,'GPU Specs &amp; Ratios'!$B$2:$I$8,8,FALSE)),0)</f>
        <v>0</v>
      </c>
      <c r="AA241" s="60">
        <f>(C241/D241)*VLOOKUP($E241,'AWS Platforms Ratios'!$A$2:$O$25,15,FALSE)</f>
        <v>1.875</v>
      </c>
      <c r="AB241" s="60">
        <f t="shared" ref="AB241:AE241" si="240">O241+S241+W241+$AA241</f>
        <v>6.163705788</v>
      </c>
      <c r="AC241" s="60">
        <f t="shared" si="240"/>
        <v>9.65869172</v>
      </c>
      <c r="AD241" s="60">
        <f t="shared" si="240"/>
        <v>15.32747186</v>
      </c>
      <c r="AE241" s="60">
        <f t="shared" si="240"/>
        <v>21.02385953</v>
      </c>
      <c r="AF241" s="60">
        <f>IF(G241&gt;'Scope 3 Ratios'!$B$5,(G241-'Scope 3 Ratios'!$B$5)*('Scope 3 Ratios'!$B$6/'Scope 3 Ratios'!$B$5),0)</f>
        <v>332.856</v>
      </c>
      <c r="AG241" s="60">
        <f>J241*IF(I241="SSD",'Scope 3 Ratios'!$B$9,'Scope 3 Ratios'!$B$8)</f>
        <v>200</v>
      </c>
      <c r="AH241" s="60">
        <f>IF(K241&lt;&gt;"N/A",K241*'Scope 3 Ratios'!$B$10,0)</f>
        <v>0</v>
      </c>
      <c r="AI241" s="60">
        <f>(VLOOKUP($E241,'AWS Platforms Ratios'!$A$2:$O$25,3,FALSE)-1)*'Scope 3 Ratios'!$B$7</f>
        <v>0</v>
      </c>
      <c r="AJ241" s="60">
        <f>'Scope 3 Ratios'!$B$2+AF241+AG241+AH241+AI241</f>
        <v>1532.856</v>
      </c>
      <c r="AK241" s="60">
        <f>AJ241*'Scope 3 Ratios'!$B$4*(C241/D241)</f>
        <v>2.772092014</v>
      </c>
      <c r="AL241" s="61" t="s">
        <v>190</v>
      </c>
    </row>
    <row r="242" ht="15.0" customHeight="1">
      <c r="A242" s="56" t="s">
        <v>493</v>
      </c>
      <c r="B242" s="56" t="s">
        <v>188</v>
      </c>
      <c r="C242" s="56">
        <v>8.0</v>
      </c>
      <c r="D242" s="56">
        <f>VLOOKUP(E242,'AWS Platforms Ratios'!$A$2:$B$25,2,FALSE)</f>
        <v>64</v>
      </c>
      <c r="E242" s="57" t="s">
        <v>189</v>
      </c>
      <c r="F242" s="56">
        <v>32.0</v>
      </c>
      <c r="G242" s="56">
        <v>256.0</v>
      </c>
      <c r="H242" s="57" t="s">
        <v>206</v>
      </c>
      <c r="I242" s="56" t="s">
        <v>85</v>
      </c>
      <c r="J242" s="56">
        <v>2.0</v>
      </c>
      <c r="K242" s="58" t="s">
        <v>73</v>
      </c>
      <c r="L242" s="58" t="s">
        <v>73</v>
      </c>
      <c r="M242" s="58" t="s">
        <v>73</v>
      </c>
      <c r="N242" s="58" t="s">
        <v>73</v>
      </c>
      <c r="O242" s="59">
        <f>($C242/$D242)*VLOOKUP($E242,'AWS Platforms Ratios'!$A$2:$O$25,7,FALSE)</f>
        <v>2.177411576</v>
      </c>
      <c r="P242" s="59">
        <f>($C242/$D242)*VLOOKUP($E242,'AWS Platforms Ratios'!$A$2:$O$25,8,FALSE)</f>
        <v>5.967383441</v>
      </c>
      <c r="Q242" s="59">
        <f>($C242/$D242)*VLOOKUP($E242,'AWS Platforms Ratios'!$A$2:$O$25,9,FALSE)</f>
        <v>14.10494373</v>
      </c>
      <c r="R242" s="59">
        <f>($C242/$D242)*VLOOKUP($E242,'AWS Platforms Ratios'!$A$2:$O$25,10,FALSE)</f>
        <v>19.09771905</v>
      </c>
      <c r="S242" s="59">
        <f>$F242*VLOOKUP($E242,'AWS Platforms Ratios'!$A$2:$O$25,11,FALSE)</f>
        <v>6.4</v>
      </c>
      <c r="T242" s="59">
        <f>$F242*VLOOKUP($E242,'AWS Platforms Ratios'!$A$2:$O$25,12,FALSE)</f>
        <v>9.6</v>
      </c>
      <c r="U242" s="59">
        <f>$F242*VLOOKUP($E242,'AWS Platforms Ratios'!$A$2:$O$25,13,FALSE)</f>
        <v>12.8</v>
      </c>
      <c r="V242" s="59">
        <f>$F242*VLOOKUP($E242,'AWS Platforms Ratios'!$A$2:$O$25,14,FALSE)</f>
        <v>19.2</v>
      </c>
      <c r="W242" s="60">
        <f>IF($K242&lt;&gt;"N/A",$M242*(VLOOKUP($L242,'GPU Specs &amp; Ratios'!$B$2:$I$8,5,FALSE)),0)</f>
        <v>0</v>
      </c>
      <c r="X242" s="60">
        <f>IF($K242&lt;&gt;"N/A",$M242*(VLOOKUP($L242,'GPU Specs &amp; Ratios'!$B$2:$I$8,6,FALSE)),0)</f>
        <v>0</v>
      </c>
      <c r="Y242" s="60">
        <f>IF($K242&lt;&gt;"N/A",$M242*(VLOOKUP($L242,'GPU Specs &amp; Ratios'!$B$2:$I$8,7,FALSE)),0)</f>
        <v>0</v>
      </c>
      <c r="Z242" s="60">
        <f>IF($K242&lt;&gt;"N/A",$M242*(VLOOKUP($L242,'GPU Specs &amp; Ratios'!$B$2:$I$8,8,FALSE)),0)</f>
        <v>0</v>
      </c>
      <c r="AA242" s="60">
        <f>(C242/D242)*VLOOKUP($E242,'AWS Platforms Ratios'!$A$2:$O$25,15,FALSE)</f>
        <v>3.75</v>
      </c>
      <c r="AB242" s="60">
        <f t="shared" ref="AB242:AE242" si="241">O242+S242+W242+$AA242</f>
        <v>12.32741158</v>
      </c>
      <c r="AC242" s="60">
        <f t="shared" si="241"/>
        <v>19.31738344</v>
      </c>
      <c r="AD242" s="60">
        <f t="shared" si="241"/>
        <v>30.65494373</v>
      </c>
      <c r="AE242" s="60">
        <f t="shared" si="241"/>
        <v>42.04771905</v>
      </c>
      <c r="AF242" s="60">
        <f>IF(G242&gt;'Scope 3 Ratios'!$B$5,(G242-'Scope 3 Ratios'!$B$5)*('Scope 3 Ratios'!$B$6/'Scope 3 Ratios'!$B$5),0)</f>
        <v>332.856</v>
      </c>
      <c r="AG242" s="60">
        <f>J242*IF(I242="SSD",'Scope 3 Ratios'!$B$9,'Scope 3 Ratios'!$B$8)</f>
        <v>200</v>
      </c>
      <c r="AH242" s="60">
        <f>IF(K242&lt;&gt;"N/A",K242*'Scope 3 Ratios'!$B$10,0)</f>
        <v>0</v>
      </c>
      <c r="AI242" s="60">
        <f>(VLOOKUP($E242,'AWS Platforms Ratios'!$A$2:$O$25,3,FALSE)-1)*'Scope 3 Ratios'!$B$7</f>
        <v>0</v>
      </c>
      <c r="AJ242" s="60">
        <f>'Scope 3 Ratios'!$B$2+AF242+AG242+AH242+AI242</f>
        <v>1532.856</v>
      </c>
      <c r="AK242" s="60">
        <f>AJ242*'Scope 3 Ratios'!$B$4*(C242/D242)</f>
        <v>5.544184028</v>
      </c>
      <c r="AL242" s="61" t="s">
        <v>190</v>
      </c>
    </row>
    <row r="243" ht="15.0" customHeight="1">
      <c r="A243" s="56" t="s">
        <v>494</v>
      </c>
      <c r="B243" s="56" t="s">
        <v>188</v>
      </c>
      <c r="C243" s="56">
        <v>16.0</v>
      </c>
      <c r="D243" s="56">
        <f>VLOOKUP(E243,'AWS Platforms Ratios'!$A$2:$B$25,2,FALSE)</f>
        <v>64</v>
      </c>
      <c r="E243" s="57" t="s">
        <v>189</v>
      </c>
      <c r="F243" s="56">
        <v>64.0</v>
      </c>
      <c r="G243" s="56">
        <v>256.0</v>
      </c>
      <c r="H243" s="57" t="s">
        <v>208</v>
      </c>
      <c r="I243" s="56" t="s">
        <v>85</v>
      </c>
      <c r="J243" s="56">
        <v>2.0</v>
      </c>
      <c r="K243" s="58" t="s">
        <v>73</v>
      </c>
      <c r="L243" s="58" t="s">
        <v>73</v>
      </c>
      <c r="M243" s="58" t="s">
        <v>73</v>
      </c>
      <c r="N243" s="58" t="s">
        <v>73</v>
      </c>
      <c r="O243" s="59">
        <f>($C243/$D243)*VLOOKUP($E243,'AWS Platforms Ratios'!$A$2:$O$25,7,FALSE)</f>
        <v>4.354823151</v>
      </c>
      <c r="P243" s="59">
        <f>($C243/$D243)*VLOOKUP($E243,'AWS Platforms Ratios'!$A$2:$O$25,8,FALSE)</f>
        <v>11.93476688</v>
      </c>
      <c r="Q243" s="59">
        <f>($C243/$D243)*VLOOKUP($E243,'AWS Platforms Ratios'!$A$2:$O$25,9,FALSE)</f>
        <v>28.20988746</v>
      </c>
      <c r="R243" s="59">
        <f>($C243/$D243)*VLOOKUP($E243,'AWS Platforms Ratios'!$A$2:$O$25,10,FALSE)</f>
        <v>38.1954381</v>
      </c>
      <c r="S243" s="59">
        <f>$F243*VLOOKUP($E243,'AWS Platforms Ratios'!$A$2:$O$25,11,FALSE)</f>
        <v>12.8</v>
      </c>
      <c r="T243" s="59">
        <f>$F243*VLOOKUP($E243,'AWS Platforms Ratios'!$A$2:$O$25,12,FALSE)</f>
        <v>19.2</v>
      </c>
      <c r="U243" s="59">
        <f>$F243*VLOOKUP($E243,'AWS Platforms Ratios'!$A$2:$O$25,13,FALSE)</f>
        <v>25.6</v>
      </c>
      <c r="V243" s="59">
        <f>$F243*VLOOKUP($E243,'AWS Platforms Ratios'!$A$2:$O$25,14,FALSE)</f>
        <v>38.4</v>
      </c>
      <c r="W243" s="60">
        <f>IF($K243&lt;&gt;"N/A",$M243*(VLOOKUP($L243,'GPU Specs &amp; Ratios'!$B$2:$I$8,5,FALSE)),0)</f>
        <v>0</v>
      </c>
      <c r="X243" s="60">
        <f>IF($K243&lt;&gt;"N/A",$M243*(VLOOKUP($L243,'GPU Specs &amp; Ratios'!$B$2:$I$8,6,FALSE)),0)</f>
        <v>0</v>
      </c>
      <c r="Y243" s="60">
        <f>IF($K243&lt;&gt;"N/A",$M243*(VLOOKUP($L243,'GPU Specs &amp; Ratios'!$B$2:$I$8,7,FALSE)),0)</f>
        <v>0</v>
      </c>
      <c r="Z243" s="60">
        <f>IF($K243&lt;&gt;"N/A",$M243*(VLOOKUP($L243,'GPU Specs &amp; Ratios'!$B$2:$I$8,8,FALSE)),0)</f>
        <v>0</v>
      </c>
      <c r="AA243" s="60">
        <f>(C243/D243)*VLOOKUP($E243,'AWS Platforms Ratios'!$A$2:$O$25,15,FALSE)</f>
        <v>7.5</v>
      </c>
      <c r="AB243" s="60">
        <f t="shared" ref="AB243:AE243" si="242">O243+S243+W243+$AA243</f>
        <v>24.65482315</v>
      </c>
      <c r="AC243" s="60">
        <f t="shared" si="242"/>
        <v>38.63476688</v>
      </c>
      <c r="AD243" s="60">
        <f t="shared" si="242"/>
        <v>61.30988746</v>
      </c>
      <c r="AE243" s="60">
        <f t="shared" si="242"/>
        <v>84.0954381</v>
      </c>
      <c r="AF243" s="60">
        <f>IF(G243&gt;'Scope 3 Ratios'!$B$5,(G243-'Scope 3 Ratios'!$B$5)*('Scope 3 Ratios'!$B$6/'Scope 3 Ratios'!$B$5),0)</f>
        <v>332.856</v>
      </c>
      <c r="AG243" s="60">
        <f>J243*IF(I243="SSD",'Scope 3 Ratios'!$B$9,'Scope 3 Ratios'!$B$8)</f>
        <v>200</v>
      </c>
      <c r="AH243" s="60">
        <f>IF(K243&lt;&gt;"N/A",K243*'Scope 3 Ratios'!$B$10,0)</f>
        <v>0</v>
      </c>
      <c r="AI243" s="60">
        <f>(VLOOKUP($E243,'AWS Platforms Ratios'!$A$2:$O$25,3,FALSE)-1)*'Scope 3 Ratios'!$B$7</f>
        <v>0</v>
      </c>
      <c r="AJ243" s="60">
        <f>'Scope 3 Ratios'!$B$2+AF243+AG243+AH243+AI243</f>
        <v>1532.856</v>
      </c>
      <c r="AK243" s="60">
        <f>AJ243*'Scope 3 Ratios'!$B$4*(C243/D243)</f>
        <v>11.08836806</v>
      </c>
      <c r="AL243" s="61" t="s">
        <v>190</v>
      </c>
    </row>
    <row r="244" ht="15.0" customHeight="1">
      <c r="A244" s="56" t="s">
        <v>495</v>
      </c>
      <c r="B244" s="56" t="s">
        <v>188</v>
      </c>
      <c r="C244" s="56">
        <v>32.0</v>
      </c>
      <c r="D244" s="56">
        <f>VLOOKUP(E244,'AWS Platforms Ratios'!$A$2:$B$25,2,FALSE)</f>
        <v>64</v>
      </c>
      <c r="E244" s="57" t="s">
        <v>189</v>
      </c>
      <c r="F244" s="56">
        <v>128.0</v>
      </c>
      <c r="G244" s="56">
        <v>256.0</v>
      </c>
      <c r="H244" s="57" t="s">
        <v>210</v>
      </c>
      <c r="I244" s="56" t="s">
        <v>85</v>
      </c>
      <c r="J244" s="56">
        <v>2.0</v>
      </c>
      <c r="K244" s="58" t="s">
        <v>73</v>
      </c>
      <c r="L244" s="58" t="s">
        <v>73</v>
      </c>
      <c r="M244" s="58" t="s">
        <v>73</v>
      </c>
      <c r="N244" s="58" t="s">
        <v>73</v>
      </c>
      <c r="O244" s="59">
        <f>($C244/$D244)*VLOOKUP($E244,'AWS Platforms Ratios'!$A$2:$O$25,7,FALSE)</f>
        <v>8.709646302</v>
      </c>
      <c r="P244" s="59">
        <f>($C244/$D244)*VLOOKUP($E244,'AWS Platforms Ratios'!$A$2:$O$25,8,FALSE)</f>
        <v>23.86953376</v>
      </c>
      <c r="Q244" s="59">
        <f>($C244/$D244)*VLOOKUP($E244,'AWS Platforms Ratios'!$A$2:$O$25,9,FALSE)</f>
        <v>56.41977492</v>
      </c>
      <c r="R244" s="59">
        <f>($C244/$D244)*VLOOKUP($E244,'AWS Platforms Ratios'!$A$2:$O$25,10,FALSE)</f>
        <v>76.39087621</v>
      </c>
      <c r="S244" s="59">
        <f>$F244*VLOOKUP($E244,'AWS Platforms Ratios'!$A$2:$O$25,11,FALSE)</f>
        <v>25.6</v>
      </c>
      <c r="T244" s="59">
        <f>$F244*VLOOKUP($E244,'AWS Platforms Ratios'!$A$2:$O$25,12,FALSE)</f>
        <v>38.4</v>
      </c>
      <c r="U244" s="59">
        <f>$F244*VLOOKUP($E244,'AWS Platforms Ratios'!$A$2:$O$25,13,FALSE)</f>
        <v>51.2</v>
      </c>
      <c r="V244" s="59">
        <f>$F244*VLOOKUP($E244,'AWS Platforms Ratios'!$A$2:$O$25,14,FALSE)</f>
        <v>76.8</v>
      </c>
      <c r="W244" s="60">
        <f>IF($K244&lt;&gt;"N/A",$M244*(VLOOKUP($L244,'GPU Specs &amp; Ratios'!$B$2:$I$8,5,FALSE)),0)</f>
        <v>0</v>
      </c>
      <c r="X244" s="60">
        <f>IF($K244&lt;&gt;"N/A",$M244*(VLOOKUP($L244,'GPU Specs &amp; Ratios'!$B$2:$I$8,6,FALSE)),0)</f>
        <v>0</v>
      </c>
      <c r="Y244" s="60">
        <f>IF($K244&lt;&gt;"N/A",$M244*(VLOOKUP($L244,'GPU Specs &amp; Ratios'!$B$2:$I$8,7,FALSE)),0)</f>
        <v>0</v>
      </c>
      <c r="Z244" s="60">
        <f>IF($K244&lt;&gt;"N/A",$M244*(VLOOKUP($L244,'GPU Specs &amp; Ratios'!$B$2:$I$8,8,FALSE)),0)</f>
        <v>0</v>
      </c>
      <c r="AA244" s="60">
        <f>(C244/D244)*VLOOKUP($E244,'AWS Platforms Ratios'!$A$2:$O$25,15,FALSE)</f>
        <v>15</v>
      </c>
      <c r="AB244" s="60">
        <f t="shared" ref="AB244:AE244" si="243">O244+S244+W244+$AA244</f>
        <v>49.3096463</v>
      </c>
      <c r="AC244" s="60">
        <f t="shared" si="243"/>
        <v>77.26953376</v>
      </c>
      <c r="AD244" s="60">
        <f t="shared" si="243"/>
        <v>122.6197749</v>
      </c>
      <c r="AE244" s="60">
        <f t="shared" si="243"/>
        <v>168.1908762</v>
      </c>
      <c r="AF244" s="60">
        <f>IF(G244&gt;'Scope 3 Ratios'!$B$5,(G244-'Scope 3 Ratios'!$B$5)*('Scope 3 Ratios'!$B$6/'Scope 3 Ratios'!$B$5),0)</f>
        <v>332.856</v>
      </c>
      <c r="AG244" s="60">
        <f>J244*IF(I244="SSD",'Scope 3 Ratios'!$B$9,'Scope 3 Ratios'!$B$8)</f>
        <v>200</v>
      </c>
      <c r="AH244" s="60">
        <f>IF(K244&lt;&gt;"N/A",K244*'Scope 3 Ratios'!$B$10,0)</f>
        <v>0</v>
      </c>
      <c r="AI244" s="60">
        <f>(VLOOKUP($E244,'AWS Platforms Ratios'!$A$2:$O$25,3,FALSE)-1)*'Scope 3 Ratios'!$B$7</f>
        <v>0</v>
      </c>
      <c r="AJ244" s="60">
        <f>'Scope 3 Ratios'!$B$2+AF244+AG244+AH244+AI244</f>
        <v>1532.856</v>
      </c>
      <c r="AK244" s="60">
        <f>AJ244*'Scope 3 Ratios'!$B$4*(C244/D244)</f>
        <v>22.17673611</v>
      </c>
      <c r="AL244" s="61" t="s">
        <v>190</v>
      </c>
    </row>
    <row r="245" ht="15.0" customHeight="1">
      <c r="A245" s="56" t="s">
        <v>496</v>
      </c>
      <c r="B245" s="56" t="s">
        <v>188</v>
      </c>
      <c r="C245" s="56">
        <v>48.0</v>
      </c>
      <c r="D245" s="56">
        <f>VLOOKUP(E245,'AWS Platforms Ratios'!$A$2:$B$25,2,FALSE)</f>
        <v>64</v>
      </c>
      <c r="E245" s="57" t="s">
        <v>189</v>
      </c>
      <c r="F245" s="56">
        <v>192.0</v>
      </c>
      <c r="G245" s="56">
        <v>256.0</v>
      </c>
      <c r="H245" s="57" t="s">
        <v>212</v>
      </c>
      <c r="I245" s="56" t="s">
        <v>85</v>
      </c>
      <c r="J245" s="56">
        <v>2.0</v>
      </c>
      <c r="K245" s="58" t="s">
        <v>73</v>
      </c>
      <c r="L245" s="58" t="s">
        <v>73</v>
      </c>
      <c r="M245" s="58" t="s">
        <v>73</v>
      </c>
      <c r="N245" s="58" t="s">
        <v>73</v>
      </c>
      <c r="O245" s="59">
        <f>($C245/$D245)*VLOOKUP($E245,'AWS Platforms Ratios'!$A$2:$O$25,7,FALSE)</f>
        <v>13.06446945</v>
      </c>
      <c r="P245" s="59">
        <f>($C245/$D245)*VLOOKUP($E245,'AWS Platforms Ratios'!$A$2:$O$25,8,FALSE)</f>
        <v>35.80430064</v>
      </c>
      <c r="Q245" s="59">
        <f>($C245/$D245)*VLOOKUP($E245,'AWS Platforms Ratios'!$A$2:$O$25,9,FALSE)</f>
        <v>84.62966238</v>
      </c>
      <c r="R245" s="59">
        <f>($C245/$D245)*VLOOKUP($E245,'AWS Platforms Ratios'!$A$2:$O$25,10,FALSE)</f>
        <v>114.5863143</v>
      </c>
      <c r="S245" s="59">
        <f>$F245*VLOOKUP($E245,'AWS Platforms Ratios'!$A$2:$O$25,11,FALSE)</f>
        <v>38.4</v>
      </c>
      <c r="T245" s="59">
        <f>$F245*VLOOKUP($E245,'AWS Platforms Ratios'!$A$2:$O$25,12,FALSE)</f>
        <v>57.6</v>
      </c>
      <c r="U245" s="59">
        <f>$F245*VLOOKUP($E245,'AWS Platforms Ratios'!$A$2:$O$25,13,FALSE)</f>
        <v>76.8</v>
      </c>
      <c r="V245" s="59">
        <f>$F245*VLOOKUP($E245,'AWS Platforms Ratios'!$A$2:$O$25,14,FALSE)</f>
        <v>115.2</v>
      </c>
      <c r="W245" s="60">
        <f>IF($K245&lt;&gt;"N/A",$M245*(VLOOKUP($L245,'GPU Specs &amp; Ratios'!$B$2:$I$8,5,FALSE)),0)</f>
        <v>0</v>
      </c>
      <c r="X245" s="60">
        <f>IF($K245&lt;&gt;"N/A",$M245*(VLOOKUP($L245,'GPU Specs &amp; Ratios'!$B$2:$I$8,6,FALSE)),0)</f>
        <v>0</v>
      </c>
      <c r="Y245" s="60">
        <f>IF($K245&lt;&gt;"N/A",$M245*(VLOOKUP($L245,'GPU Specs &amp; Ratios'!$B$2:$I$8,7,FALSE)),0)</f>
        <v>0</v>
      </c>
      <c r="Z245" s="60">
        <f>IF($K245&lt;&gt;"N/A",$M245*(VLOOKUP($L245,'GPU Specs &amp; Ratios'!$B$2:$I$8,8,FALSE)),0)</f>
        <v>0</v>
      </c>
      <c r="AA245" s="60">
        <f>(C245/D245)*VLOOKUP($E245,'AWS Platforms Ratios'!$A$2:$O$25,15,FALSE)</f>
        <v>22.5</v>
      </c>
      <c r="AB245" s="60">
        <f t="shared" ref="AB245:AE245" si="244">O245+S245+W245+$AA245</f>
        <v>73.96446945</v>
      </c>
      <c r="AC245" s="60">
        <f t="shared" si="244"/>
        <v>115.9043006</v>
      </c>
      <c r="AD245" s="60">
        <f t="shared" si="244"/>
        <v>183.9296624</v>
      </c>
      <c r="AE245" s="60">
        <f t="shared" si="244"/>
        <v>252.2863143</v>
      </c>
      <c r="AF245" s="60">
        <f>IF(G245&gt;'Scope 3 Ratios'!$B$5,(G245-'Scope 3 Ratios'!$B$5)*('Scope 3 Ratios'!$B$6/'Scope 3 Ratios'!$B$5),0)</f>
        <v>332.856</v>
      </c>
      <c r="AG245" s="60">
        <f>J245*IF(I245="SSD",'Scope 3 Ratios'!$B$9,'Scope 3 Ratios'!$B$8)</f>
        <v>200</v>
      </c>
      <c r="AH245" s="60">
        <f>IF(K245&lt;&gt;"N/A",K245*'Scope 3 Ratios'!$B$10,0)</f>
        <v>0</v>
      </c>
      <c r="AI245" s="60">
        <f>(VLOOKUP($E245,'AWS Platforms Ratios'!$A$2:$O$25,3,FALSE)-1)*'Scope 3 Ratios'!$B$7</f>
        <v>0</v>
      </c>
      <c r="AJ245" s="60">
        <f>'Scope 3 Ratios'!$B$2+AF245+AG245+AH245+AI245</f>
        <v>1532.856</v>
      </c>
      <c r="AK245" s="60">
        <f>AJ245*'Scope 3 Ratios'!$B$4*(C245/D245)</f>
        <v>33.26510417</v>
      </c>
      <c r="AL245" s="61" t="s">
        <v>190</v>
      </c>
    </row>
    <row r="246" ht="15.0" customHeight="1">
      <c r="A246" s="56" t="s">
        <v>497</v>
      </c>
      <c r="B246" s="56" t="s">
        <v>188</v>
      </c>
      <c r="C246" s="56">
        <v>64.0</v>
      </c>
      <c r="D246" s="56">
        <f>VLOOKUP(E246,'AWS Platforms Ratios'!$A$2:$B$25,2,FALSE)</f>
        <v>64</v>
      </c>
      <c r="E246" s="57" t="s">
        <v>189</v>
      </c>
      <c r="F246" s="56">
        <v>256.0</v>
      </c>
      <c r="G246" s="56">
        <v>256.0</v>
      </c>
      <c r="H246" s="57" t="s">
        <v>160</v>
      </c>
      <c r="I246" s="56" t="s">
        <v>85</v>
      </c>
      <c r="J246" s="56">
        <v>2.0</v>
      </c>
      <c r="K246" s="58" t="s">
        <v>73</v>
      </c>
      <c r="L246" s="58" t="s">
        <v>73</v>
      </c>
      <c r="M246" s="58" t="s">
        <v>73</v>
      </c>
      <c r="N246" s="58" t="s">
        <v>73</v>
      </c>
      <c r="O246" s="59">
        <f>($C246/$D246)*VLOOKUP($E246,'AWS Platforms Ratios'!$A$2:$O$25,7,FALSE)</f>
        <v>17.4192926</v>
      </c>
      <c r="P246" s="59">
        <f>($C246/$D246)*VLOOKUP($E246,'AWS Platforms Ratios'!$A$2:$O$25,8,FALSE)</f>
        <v>47.73906752</v>
      </c>
      <c r="Q246" s="59">
        <f>($C246/$D246)*VLOOKUP($E246,'AWS Platforms Ratios'!$A$2:$O$25,9,FALSE)</f>
        <v>112.8395498</v>
      </c>
      <c r="R246" s="59">
        <f>($C246/$D246)*VLOOKUP($E246,'AWS Platforms Ratios'!$A$2:$O$25,10,FALSE)</f>
        <v>152.7817524</v>
      </c>
      <c r="S246" s="59">
        <f>$F246*VLOOKUP($E246,'AWS Platforms Ratios'!$A$2:$O$25,11,FALSE)</f>
        <v>51.2</v>
      </c>
      <c r="T246" s="59">
        <f>$F246*VLOOKUP($E246,'AWS Platforms Ratios'!$A$2:$O$25,12,FALSE)</f>
        <v>76.8</v>
      </c>
      <c r="U246" s="59">
        <f>$F246*VLOOKUP($E246,'AWS Platforms Ratios'!$A$2:$O$25,13,FALSE)</f>
        <v>102.4</v>
      </c>
      <c r="V246" s="59">
        <f>$F246*VLOOKUP($E246,'AWS Platforms Ratios'!$A$2:$O$25,14,FALSE)</f>
        <v>153.6</v>
      </c>
      <c r="W246" s="60">
        <f>IF($K246&lt;&gt;"N/A",$M246*(VLOOKUP($L246,'GPU Specs &amp; Ratios'!$B$2:$I$8,5,FALSE)),0)</f>
        <v>0</v>
      </c>
      <c r="X246" s="60">
        <f>IF($K246&lt;&gt;"N/A",$M246*(VLOOKUP($L246,'GPU Specs &amp; Ratios'!$B$2:$I$8,6,FALSE)),0)</f>
        <v>0</v>
      </c>
      <c r="Y246" s="60">
        <f>IF($K246&lt;&gt;"N/A",$M246*(VLOOKUP($L246,'GPU Specs &amp; Ratios'!$B$2:$I$8,7,FALSE)),0)</f>
        <v>0</v>
      </c>
      <c r="Z246" s="60">
        <f>IF($K246&lt;&gt;"N/A",$M246*(VLOOKUP($L246,'GPU Specs &amp; Ratios'!$B$2:$I$8,8,FALSE)),0)</f>
        <v>0</v>
      </c>
      <c r="AA246" s="60">
        <f>(C246/D246)*VLOOKUP($E246,'AWS Platforms Ratios'!$A$2:$O$25,15,FALSE)</f>
        <v>30</v>
      </c>
      <c r="AB246" s="60">
        <f t="shared" ref="AB246:AE246" si="245">O246+S246+W246+$AA246</f>
        <v>98.6192926</v>
      </c>
      <c r="AC246" s="60">
        <f t="shared" si="245"/>
        <v>154.5390675</v>
      </c>
      <c r="AD246" s="60">
        <f t="shared" si="245"/>
        <v>245.2395498</v>
      </c>
      <c r="AE246" s="60">
        <f t="shared" si="245"/>
        <v>336.3817524</v>
      </c>
      <c r="AF246" s="60">
        <f>IF(G246&gt;'Scope 3 Ratios'!$B$5,(G246-'Scope 3 Ratios'!$B$5)*('Scope 3 Ratios'!$B$6/'Scope 3 Ratios'!$B$5),0)</f>
        <v>332.856</v>
      </c>
      <c r="AG246" s="60">
        <f>J246*IF(I246="SSD",'Scope 3 Ratios'!$B$9,'Scope 3 Ratios'!$B$8)</f>
        <v>200</v>
      </c>
      <c r="AH246" s="60">
        <f>IF(K246&lt;&gt;"N/A",K246*'Scope 3 Ratios'!$B$10,0)</f>
        <v>0</v>
      </c>
      <c r="AI246" s="60">
        <f>(VLOOKUP($E246,'AWS Platforms Ratios'!$A$2:$O$25,3,FALSE)-1)*'Scope 3 Ratios'!$B$7</f>
        <v>0</v>
      </c>
      <c r="AJ246" s="60">
        <f>'Scope 3 Ratios'!$B$2+AF246+AG246+AH246+AI246</f>
        <v>1532.856</v>
      </c>
      <c r="AK246" s="60">
        <f>AJ246*'Scope 3 Ratios'!$B$4*(C246/D246)</f>
        <v>44.35347222</v>
      </c>
      <c r="AL246" s="61" t="s">
        <v>190</v>
      </c>
    </row>
    <row r="247" ht="15.0" customHeight="1">
      <c r="A247" s="56" t="s">
        <v>498</v>
      </c>
      <c r="B247" s="56" t="s">
        <v>188</v>
      </c>
      <c r="C247" s="56">
        <v>64.0</v>
      </c>
      <c r="D247" s="56">
        <f>VLOOKUP(E247,'AWS Platforms Ratios'!$A$2:$B$25,2,FALSE)</f>
        <v>64</v>
      </c>
      <c r="E247" s="57" t="s">
        <v>189</v>
      </c>
      <c r="F247" s="56">
        <v>256.0</v>
      </c>
      <c r="G247" s="56">
        <v>256.0</v>
      </c>
      <c r="H247" s="57" t="s">
        <v>160</v>
      </c>
      <c r="I247" s="56" t="s">
        <v>85</v>
      </c>
      <c r="J247" s="56">
        <v>2.0</v>
      </c>
      <c r="K247" s="58" t="s">
        <v>73</v>
      </c>
      <c r="L247" s="58" t="s">
        <v>73</v>
      </c>
      <c r="M247" s="58" t="s">
        <v>73</v>
      </c>
      <c r="N247" s="58" t="s">
        <v>73</v>
      </c>
      <c r="O247" s="59">
        <f>($C247/$D247)*VLOOKUP($E247,'AWS Platforms Ratios'!$A$2:$O$25,7,FALSE)</f>
        <v>17.4192926</v>
      </c>
      <c r="P247" s="59">
        <f>($C247/$D247)*VLOOKUP($E247,'AWS Platforms Ratios'!$A$2:$O$25,8,FALSE)</f>
        <v>47.73906752</v>
      </c>
      <c r="Q247" s="59">
        <f>($C247/$D247)*VLOOKUP($E247,'AWS Platforms Ratios'!$A$2:$O$25,9,FALSE)</f>
        <v>112.8395498</v>
      </c>
      <c r="R247" s="59">
        <f>($C247/$D247)*VLOOKUP($E247,'AWS Platforms Ratios'!$A$2:$O$25,10,FALSE)</f>
        <v>152.7817524</v>
      </c>
      <c r="S247" s="59">
        <f>$F247*VLOOKUP($E247,'AWS Platforms Ratios'!$A$2:$O$25,11,FALSE)</f>
        <v>51.2</v>
      </c>
      <c r="T247" s="59">
        <f>$F247*VLOOKUP($E247,'AWS Platforms Ratios'!$A$2:$O$25,12,FALSE)</f>
        <v>76.8</v>
      </c>
      <c r="U247" s="59">
        <f>$F247*VLOOKUP($E247,'AWS Platforms Ratios'!$A$2:$O$25,13,FALSE)</f>
        <v>102.4</v>
      </c>
      <c r="V247" s="59">
        <f>$F247*VLOOKUP($E247,'AWS Platforms Ratios'!$A$2:$O$25,14,FALSE)</f>
        <v>153.6</v>
      </c>
      <c r="W247" s="60">
        <f>IF($K247&lt;&gt;"N/A",$M247*(VLOOKUP($L247,'GPU Specs &amp; Ratios'!$B$2:$I$8,5,FALSE)),0)</f>
        <v>0</v>
      </c>
      <c r="X247" s="60">
        <f>IF($K247&lt;&gt;"N/A",$M247*(VLOOKUP($L247,'GPU Specs &amp; Ratios'!$B$2:$I$8,6,FALSE)),0)</f>
        <v>0</v>
      </c>
      <c r="Y247" s="60">
        <f>IF($K247&lt;&gt;"N/A",$M247*(VLOOKUP($L247,'GPU Specs &amp; Ratios'!$B$2:$I$8,7,FALSE)),0)</f>
        <v>0</v>
      </c>
      <c r="Z247" s="60">
        <f>IF($K247&lt;&gt;"N/A",$M247*(VLOOKUP($L247,'GPU Specs &amp; Ratios'!$B$2:$I$8,8,FALSE)),0)</f>
        <v>0</v>
      </c>
      <c r="AA247" s="60">
        <f>(C247/D247)*VLOOKUP($E247,'AWS Platforms Ratios'!$A$2:$O$25,15,FALSE)</f>
        <v>30</v>
      </c>
      <c r="AB247" s="60">
        <f t="shared" ref="AB247:AE247" si="246">O247+S247+W247+$AA247</f>
        <v>98.6192926</v>
      </c>
      <c r="AC247" s="60">
        <f t="shared" si="246"/>
        <v>154.5390675</v>
      </c>
      <c r="AD247" s="60">
        <f t="shared" si="246"/>
        <v>245.2395498</v>
      </c>
      <c r="AE247" s="60">
        <f t="shared" si="246"/>
        <v>336.3817524</v>
      </c>
      <c r="AF247" s="60">
        <f>IF(G247&gt;'Scope 3 Ratios'!$B$5,(G247-'Scope 3 Ratios'!$B$5)*('Scope 3 Ratios'!$B$6/'Scope 3 Ratios'!$B$5),0)</f>
        <v>332.856</v>
      </c>
      <c r="AG247" s="60">
        <f>J247*IF(I247="SSD",'Scope 3 Ratios'!$B$9,'Scope 3 Ratios'!$B$8)</f>
        <v>200</v>
      </c>
      <c r="AH247" s="60">
        <f>IF(K247&lt;&gt;"N/A",K247*'Scope 3 Ratios'!$B$10,0)</f>
        <v>0</v>
      </c>
      <c r="AI247" s="60">
        <f>(VLOOKUP($E247,'AWS Platforms Ratios'!$A$2:$O$25,3,FALSE)-1)*'Scope 3 Ratios'!$B$7</f>
        <v>0</v>
      </c>
      <c r="AJ247" s="60">
        <f>'Scope 3 Ratios'!$B$2+AF247+AG247+AH247+AI247</f>
        <v>1532.856</v>
      </c>
      <c r="AK247" s="60">
        <f>AJ247*'Scope 3 Ratios'!$B$4*(C247/D247)</f>
        <v>44.35347222</v>
      </c>
      <c r="AL247" s="61" t="s">
        <v>190</v>
      </c>
    </row>
    <row r="248" ht="15.0" customHeight="1">
      <c r="A248" s="66" t="s">
        <v>499</v>
      </c>
      <c r="B248" s="56" t="s">
        <v>500</v>
      </c>
      <c r="C248" s="70">
        <v>2.0</v>
      </c>
      <c r="D248" s="70">
        <v>128.0</v>
      </c>
      <c r="E248" s="66" t="s">
        <v>501</v>
      </c>
      <c r="F248" s="66">
        <v>8.0</v>
      </c>
      <c r="G248" s="66">
        <v>512.0</v>
      </c>
      <c r="H248" s="70" t="s">
        <v>71</v>
      </c>
      <c r="I248" s="66" t="s">
        <v>72</v>
      </c>
      <c r="J248" s="66">
        <v>0.0</v>
      </c>
      <c r="K248" s="58" t="s">
        <v>73</v>
      </c>
      <c r="L248" s="58" t="s">
        <v>73</v>
      </c>
      <c r="M248" s="58" t="s">
        <v>73</v>
      </c>
      <c r="N248" s="58" t="s">
        <v>73</v>
      </c>
      <c r="O248" s="59">
        <f>($C248/$D248)*VLOOKUP($E248,'AWS Platforms Ratios'!$A$2:$O$25,7,FALSE)</f>
        <v>1.088705788</v>
      </c>
      <c r="P248" s="59">
        <f>($C248/$D248)*VLOOKUP($E248,'AWS Platforms Ratios'!$A$2:$O$25,8,FALSE)</f>
        <v>2.98369172</v>
      </c>
      <c r="Q248" s="59">
        <f>($C248/$D248)*VLOOKUP($E248,'AWS Platforms Ratios'!$A$2:$O$25,9,FALSE)</f>
        <v>7.052471865</v>
      </c>
      <c r="R248" s="59">
        <f>($C248/$D248)*VLOOKUP($E248,'AWS Platforms Ratios'!$A$2:$O$25,10,FALSE)</f>
        <v>9.548859526</v>
      </c>
      <c r="S248" s="59">
        <f>$F248*VLOOKUP($E248,'AWS Platforms Ratios'!$A$2:$O$25,11,FALSE)</f>
        <v>1.6</v>
      </c>
      <c r="T248" s="59">
        <f>$F248*VLOOKUP($E248,'AWS Platforms Ratios'!$A$2:$O$25,12,FALSE)</f>
        <v>2.4</v>
      </c>
      <c r="U248" s="59">
        <f>$F248*VLOOKUP($E248,'AWS Platforms Ratios'!$A$2:$O$25,13,FALSE)</f>
        <v>3.2</v>
      </c>
      <c r="V248" s="59">
        <f>$F248*VLOOKUP($E248,'AWS Platforms Ratios'!$A$2:$O$25,14,FALSE)</f>
        <v>4.8</v>
      </c>
      <c r="W248" s="60">
        <f>IF($K248&lt;&gt;"N/A",$M248*(VLOOKUP($L248,'GPU Specs &amp; Ratios'!$B$2:$I$8,5,FALSE)),0)</f>
        <v>0</v>
      </c>
      <c r="X248" s="60">
        <f>IF($K248&lt;&gt;"N/A",$M248*(VLOOKUP($L248,'GPU Specs &amp; Ratios'!$B$2:$I$8,6,FALSE)),0)</f>
        <v>0</v>
      </c>
      <c r="Y248" s="60">
        <f>IF($K248&lt;&gt;"N/A",$M248*(VLOOKUP($L248,'GPU Specs &amp; Ratios'!$B$2:$I$8,7,FALSE)),0)</f>
        <v>0</v>
      </c>
      <c r="Z248" s="60">
        <f>IF($K248&lt;&gt;"N/A",$M248*(VLOOKUP($L248,'GPU Specs &amp; Ratios'!$B$2:$I$8,8,FALSE)),0)</f>
        <v>0</v>
      </c>
      <c r="AA248" s="60">
        <f>(C248/D248)*VLOOKUP($E248,'AWS Platforms Ratios'!$A$2:$O$25,15,FALSE)</f>
        <v>1.875</v>
      </c>
      <c r="AB248" s="60">
        <f t="shared" ref="AB248:AE248" si="247">O248+S248+W248+$AA248</f>
        <v>4.563705788</v>
      </c>
      <c r="AC248" s="60">
        <f t="shared" si="247"/>
        <v>7.25869172</v>
      </c>
      <c r="AD248" s="60">
        <f t="shared" si="247"/>
        <v>12.12747186</v>
      </c>
      <c r="AE248" s="60">
        <f t="shared" si="247"/>
        <v>16.22385953</v>
      </c>
      <c r="AF248" s="60">
        <f>IF(G248&gt;'Scope 3 Ratios'!$B$5,(G248-'Scope 3 Ratios'!$B$5)*('Scope 3 Ratios'!$B$6/'Scope 3 Ratios'!$B$5),0)</f>
        <v>687.9024</v>
      </c>
      <c r="AG248" s="60">
        <f>J248*IF(I248="SSD",'Scope 3 Ratios'!$B$9,'Scope 3 Ratios'!$B$8)</f>
        <v>0</v>
      </c>
      <c r="AH248" s="60">
        <f>IF(K248&lt;&gt;"N/A",K248*'Scope 3 Ratios'!$B$10,0)</f>
        <v>0</v>
      </c>
      <c r="AI248" s="60">
        <f>(VLOOKUP($E248,'AWS Platforms Ratios'!$A$2:$O$25,3,FALSE)-1)*'Scope 3 Ratios'!$B$7</f>
        <v>100</v>
      </c>
      <c r="AJ248" s="60">
        <f>'Scope 3 Ratios'!$B$2+AF248+AG248+AH248+AI248</f>
        <v>1787.9024</v>
      </c>
      <c r="AK248" s="60">
        <f>AJ248*'Scope 3 Ratios'!$B$4*(C248/D248)</f>
        <v>0.80833261</v>
      </c>
      <c r="AL248" s="71" t="s">
        <v>502</v>
      </c>
    </row>
    <row r="249" ht="15.0" customHeight="1">
      <c r="A249" s="66" t="s">
        <v>503</v>
      </c>
      <c r="B249" s="56" t="s">
        <v>500</v>
      </c>
      <c r="C249" s="70">
        <v>4.0</v>
      </c>
      <c r="D249" s="70">
        <v>128.0</v>
      </c>
      <c r="E249" s="66" t="s">
        <v>501</v>
      </c>
      <c r="F249" s="66">
        <v>16.0</v>
      </c>
      <c r="G249" s="66">
        <v>512.0</v>
      </c>
      <c r="H249" s="70" t="s">
        <v>71</v>
      </c>
      <c r="I249" s="66" t="s">
        <v>72</v>
      </c>
      <c r="J249" s="66">
        <v>0.0</v>
      </c>
      <c r="K249" s="58" t="s">
        <v>73</v>
      </c>
      <c r="L249" s="58" t="s">
        <v>73</v>
      </c>
      <c r="M249" s="58" t="s">
        <v>73</v>
      </c>
      <c r="N249" s="58" t="s">
        <v>73</v>
      </c>
      <c r="O249" s="59">
        <f>($C249/$D249)*VLOOKUP($E249,'AWS Platforms Ratios'!$A$2:$O$25,7,FALSE)</f>
        <v>2.177411576</v>
      </c>
      <c r="P249" s="59">
        <f>($C249/$D249)*VLOOKUP($E249,'AWS Platforms Ratios'!$A$2:$O$25,8,FALSE)</f>
        <v>5.967383441</v>
      </c>
      <c r="Q249" s="59">
        <f>($C249/$D249)*VLOOKUP($E249,'AWS Platforms Ratios'!$A$2:$O$25,9,FALSE)</f>
        <v>14.10494373</v>
      </c>
      <c r="R249" s="59">
        <f>($C249/$D249)*VLOOKUP($E249,'AWS Platforms Ratios'!$A$2:$O$25,10,FALSE)</f>
        <v>19.09771905</v>
      </c>
      <c r="S249" s="59">
        <f>$F249*VLOOKUP($E249,'AWS Platforms Ratios'!$A$2:$O$25,11,FALSE)</f>
        <v>3.2</v>
      </c>
      <c r="T249" s="59">
        <f>$F249*VLOOKUP($E249,'AWS Platforms Ratios'!$A$2:$O$25,12,FALSE)</f>
        <v>4.8</v>
      </c>
      <c r="U249" s="59">
        <f>$F249*VLOOKUP($E249,'AWS Platforms Ratios'!$A$2:$O$25,13,FALSE)</f>
        <v>6.4</v>
      </c>
      <c r="V249" s="59">
        <f>$F249*VLOOKUP($E249,'AWS Platforms Ratios'!$A$2:$O$25,14,FALSE)</f>
        <v>9.6</v>
      </c>
      <c r="W249" s="60">
        <f>IF($K249&lt;&gt;"N/A",$M249*(VLOOKUP($L249,'GPU Specs &amp; Ratios'!$B$2:$I$8,5,FALSE)),0)</f>
        <v>0</v>
      </c>
      <c r="X249" s="60">
        <f>IF($K249&lt;&gt;"N/A",$M249*(VLOOKUP($L249,'GPU Specs &amp; Ratios'!$B$2:$I$8,6,FALSE)),0)</f>
        <v>0</v>
      </c>
      <c r="Y249" s="60">
        <f>IF($K249&lt;&gt;"N/A",$M249*(VLOOKUP($L249,'GPU Specs &amp; Ratios'!$B$2:$I$8,7,FALSE)),0)</f>
        <v>0</v>
      </c>
      <c r="Z249" s="60">
        <f>IF($K249&lt;&gt;"N/A",$M249*(VLOOKUP($L249,'GPU Specs &amp; Ratios'!$B$2:$I$8,8,FALSE)),0)</f>
        <v>0</v>
      </c>
      <c r="AA249" s="60">
        <f>(C249/D249)*VLOOKUP($E249,'AWS Platforms Ratios'!$A$2:$O$25,15,FALSE)</f>
        <v>3.75</v>
      </c>
      <c r="AB249" s="60">
        <f t="shared" ref="AB249:AE249" si="248">O249+S249+W249+$AA249</f>
        <v>9.127411576</v>
      </c>
      <c r="AC249" s="60">
        <f t="shared" si="248"/>
        <v>14.51738344</v>
      </c>
      <c r="AD249" s="60">
        <f t="shared" si="248"/>
        <v>24.25494373</v>
      </c>
      <c r="AE249" s="60">
        <f t="shared" si="248"/>
        <v>32.44771905</v>
      </c>
      <c r="AF249" s="60">
        <f>IF(G249&gt;'Scope 3 Ratios'!$B$5,(G249-'Scope 3 Ratios'!$B$5)*('Scope 3 Ratios'!$B$6/'Scope 3 Ratios'!$B$5),0)</f>
        <v>687.9024</v>
      </c>
      <c r="AG249" s="60">
        <f>J249*IF(I249="SSD",'Scope 3 Ratios'!$B$9,'Scope 3 Ratios'!$B$8)</f>
        <v>0</v>
      </c>
      <c r="AH249" s="60">
        <f>IF(K249&lt;&gt;"N/A",K249*'Scope 3 Ratios'!$B$10,0)</f>
        <v>0</v>
      </c>
      <c r="AI249" s="60">
        <f>(VLOOKUP($E249,'AWS Platforms Ratios'!$A$2:$O$25,3,FALSE)-1)*'Scope 3 Ratios'!$B$7</f>
        <v>100</v>
      </c>
      <c r="AJ249" s="60">
        <f>'Scope 3 Ratios'!$B$2+AF249+AG249+AH249+AI249</f>
        <v>1787.9024</v>
      </c>
      <c r="AK249" s="60">
        <f>AJ249*'Scope 3 Ratios'!$B$4*(C249/D249)</f>
        <v>1.61666522</v>
      </c>
      <c r="AL249" s="71" t="s">
        <v>502</v>
      </c>
    </row>
    <row r="250" ht="15.0" customHeight="1">
      <c r="A250" s="66" t="s">
        <v>504</v>
      </c>
      <c r="B250" s="56" t="s">
        <v>500</v>
      </c>
      <c r="C250" s="70">
        <v>8.0</v>
      </c>
      <c r="D250" s="70">
        <v>128.0</v>
      </c>
      <c r="E250" s="66" t="s">
        <v>501</v>
      </c>
      <c r="F250" s="66">
        <v>32.0</v>
      </c>
      <c r="G250" s="66">
        <v>512.0</v>
      </c>
      <c r="H250" s="70" t="s">
        <v>71</v>
      </c>
      <c r="I250" s="66" t="s">
        <v>72</v>
      </c>
      <c r="J250" s="66">
        <v>0.0</v>
      </c>
      <c r="K250" s="58" t="s">
        <v>73</v>
      </c>
      <c r="L250" s="58" t="s">
        <v>73</v>
      </c>
      <c r="M250" s="58" t="s">
        <v>73</v>
      </c>
      <c r="N250" s="58" t="s">
        <v>73</v>
      </c>
      <c r="O250" s="59">
        <f>($C250/$D250)*VLOOKUP($E250,'AWS Platforms Ratios'!$A$2:$O$25,7,FALSE)</f>
        <v>4.354823151</v>
      </c>
      <c r="P250" s="59">
        <f>($C250/$D250)*VLOOKUP($E250,'AWS Platforms Ratios'!$A$2:$O$25,8,FALSE)</f>
        <v>11.93476688</v>
      </c>
      <c r="Q250" s="59">
        <f>($C250/$D250)*VLOOKUP($E250,'AWS Platforms Ratios'!$A$2:$O$25,9,FALSE)</f>
        <v>28.20988746</v>
      </c>
      <c r="R250" s="59">
        <f>($C250/$D250)*VLOOKUP($E250,'AWS Platforms Ratios'!$A$2:$O$25,10,FALSE)</f>
        <v>38.1954381</v>
      </c>
      <c r="S250" s="59">
        <f>$F250*VLOOKUP($E250,'AWS Platforms Ratios'!$A$2:$O$25,11,FALSE)</f>
        <v>6.4</v>
      </c>
      <c r="T250" s="59">
        <f>$F250*VLOOKUP($E250,'AWS Platforms Ratios'!$A$2:$O$25,12,FALSE)</f>
        <v>9.6</v>
      </c>
      <c r="U250" s="59">
        <f>$F250*VLOOKUP($E250,'AWS Platforms Ratios'!$A$2:$O$25,13,FALSE)</f>
        <v>12.8</v>
      </c>
      <c r="V250" s="59">
        <f>$F250*VLOOKUP($E250,'AWS Platforms Ratios'!$A$2:$O$25,14,FALSE)</f>
        <v>19.2</v>
      </c>
      <c r="W250" s="60">
        <f>IF($K250&lt;&gt;"N/A",$M250*(VLOOKUP($L250,'GPU Specs &amp; Ratios'!$B$2:$I$8,5,FALSE)),0)</f>
        <v>0</v>
      </c>
      <c r="X250" s="60">
        <f>IF($K250&lt;&gt;"N/A",$M250*(VLOOKUP($L250,'GPU Specs &amp; Ratios'!$B$2:$I$8,6,FALSE)),0)</f>
        <v>0</v>
      </c>
      <c r="Y250" s="60">
        <f>IF($K250&lt;&gt;"N/A",$M250*(VLOOKUP($L250,'GPU Specs &amp; Ratios'!$B$2:$I$8,7,FALSE)),0)</f>
        <v>0</v>
      </c>
      <c r="Z250" s="60">
        <f>IF($K250&lt;&gt;"N/A",$M250*(VLOOKUP($L250,'GPU Specs &amp; Ratios'!$B$2:$I$8,8,FALSE)),0)</f>
        <v>0</v>
      </c>
      <c r="AA250" s="60">
        <f>(C250/D250)*VLOOKUP($E250,'AWS Platforms Ratios'!$A$2:$O$25,15,FALSE)</f>
        <v>7.5</v>
      </c>
      <c r="AB250" s="60">
        <f t="shared" ref="AB250:AE250" si="249">O250+S250+W250+$AA250</f>
        <v>18.25482315</v>
      </c>
      <c r="AC250" s="60">
        <f t="shared" si="249"/>
        <v>29.03476688</v>
      </c>
      <c r="AD250" s="60">
        <f t="shared" si="249"/>
        <v>48.50988746</v>
      </c>
      <c r="AE250" s="60">
        <f t="shared" si="249"/>
        <v>64.8954381</v>
      </c>
      <c r="AF250" s="60">
        <f>IF(G250&gt;'Scope 3 Ratios'!$B$5,(G250-'Scope 3 Ratios'!$B$5)*('Scope 3 Ratios'!$B$6/'Scope 3 Ratios'!$B$5),0)</f>
        <v>687.9024</v>
      </c>
      <c r="AG250" s="60">
        <f>J250*IF(I250="SSD",'Scope 3 Ratios'!$B$9,'Scope 3 Ratios'!$B$8)</f>
        <v>0</v>
      </c>
      <c r="AH250" s="60">
        <f>IF(K250&lt;&gt;"N/A",K250*'Scope 3 Ratios'!$B$10,0)</f>
        <v>0</v>
      </c>
      <c r="AI250" s="60">
        <f>(VLOOKUP($E250,'AWS Platforms Ratios'!$A$2:$O$25,3,FALSE)-1)*'Scope 3 Ratios'!$B$7</f>
        <v>100</v>
      </c>
      <c r="AJ250" s="60">
        <f>'Scope 3 Ratios'!$B$2+AF250+AG250+AH250+AI250</f>
        <v>1787.9024</v>
      </c>
      <c r="AK250" s="60">
        <f>AJ250*'Scope 3 Ratios'!$B$4*(C250/D250)</f>
        <v>3.23333044</v>
      </c>
      <c r="AL250" s="71" t="s">
        <v>502</v>
      </c>
    </row>
    <row r="251" ht="15.0" customHeight="1">
      <c r="A251" s="66" t="s">
        <v>505</v>
      </c>
      <c r="B251" s="56" t="s">
        <v>500</v>
      </c>
      <c r="C251" s="70">
        <v>16.0</v>
      </c>
      <c r="D251" s="70">
        <v>128.0</v>
      </c>
      <c r="E251" s="66" t="s">
        <v>501</v>
      </c>
      <c r="F251" s="66">
        <v>64.0</v>
      </c>
      <c r="G251" s="66">
        <v>512.0</v>
      </c>
      <c r="H251" s="70" t="s">
        <v>71</v>
      </c>
      <c r="I251" s="66" t="s">
        <v>72</v>
      </c>
      <c r="J251" s="66">
        <v>0.0</v>
      </c>
      <c r="K251" s="58" t="s">
        <v>73</v>
      </c>
      <c r="L251" s="58" t="s">
        <v>73</v>
      </c>
      <c r="M251" s="58" t="s">
        <v>73</v>
      </c>
      <c r="N251" s="58" t="s">
        <v>73</v>
      </c>
      <c r="O251" s="59">
        <f>($C251/$D251)*VLOOKUP($E251,'AWS Platforms Ratios'!$A$2:$O$25,7,FALSE)</f>
        <v>8.709646302</v>
      </c>
      <c r="P251" s="59">
        <f>($C251/$D251)*VLOOKUP($E251,'AWS Platforms Ratios'!$A$2:$O$25,8,FALSE)</f>
        <v>23.86953376</v>
      </c>
      <c r="Q251" s="59">
        <f>($C251/$D251)*VLOOKUP($E251,'AWS Platforms Ratios'!$A$2:$O$25,9,FALSE)</f>
        <v>56.41977492</v>
      </c>
      <c r="R251" s="59">
        <f>($C251/$D251)*VLOOKUP($E251,'AWS Platforms Ratios'!$A$2:$O$25,10,FALSE)</f>
        <v>76.39087621</v>
      </c>
      <c r="S251" s="59">
        <f>$F251*VLOOKUP($E251,'AWS Platforms Ratios'!$A$2:$O$25,11,FALSE)</f>
        <v>12.8</v>
      </c>
      <c r="T251" s="59">
        <f>$F251*VLOOKUP($E251,'AWS Platforms Ratios'!$A$2:$O$25,12,FALSE)</f>
        <v>19.2</v>
      </c>
      <c r="U251" s="59">
        <f>$F251*VLOOKUP($E251,'AWS Platforms Ratios'!$A$2:$O$25,13,FALSE)</f>
        <v>25.6</v>
      </c>
      <c r="V251" s="59">
        <f>$F251*VLOOKUP($E251,'AWS Platforms Ratios'!$A$2:$O$25,14,FALSE)</f>
        <v>38.4</v>
      </c>
      <c r="W251" s="60">
        <f>IF($K251&lt;&gt;"N/A",$M251*(VLOOKUP($L251,'GPU Specs &amp; Ratios'!$B$2:$I$8,5,FALSE)),0)</f>
        <v>0</v>
      </c>
      <c r="X251" s="60">
        <f>IF($K251&lt;&gt;"N/A",$M251*(VLOOKUP($L251,'GPU Specs &amp; Ratios'!$B$2:$I$8,6,FALSE)),0)</f>
        <v>0</v>
      </c>
      <c r="Y251" s="60">
        <f>IF($K251&lt;&gt;"N/A",$M251*(VLOOKUP($L251,'GPU Specs &amp; Ratios'!$B$2:$I$8,7,FALSE)),0)</f>
        <v>0</v>
      </c>
      <c r="Z251" s="60">
        <f>IF($K251&lt;&gt;"N/A",$M251*(VLOOKUP($L251,'GPU Specs &amp; Ratios'!$B$2:$I$8,8,FALSE)),0)</f>
        <v>0</v>
      </c>
      <c r="AA251" s="60">
        <f>(C251/D251)*VLOOKUP($E251,'AWS Platforms Ratios'!$A$2:$O$25,15,FALSE)</f>
        <v>15</v>
      </c>
      <c r="AB251" s="60">
        <f t="shared" ref="AB251:AE251" si="250">O251+S251+W251+$AA251</f>
        <v>36.5096463</v>
      </c>
      <c r="AC251" s="60">
        <f t="shared" si="250"/>
        <v>58.06953376</v>
      </c>
      <c r="AD251" s="60">
        <f t="shared" si="250"/>
        <v>97.01977492</v>
      </c>
      <c r="AE251" s="60">
        <f t="shared" si="250"/>
        <v>129.7908762</v>
      </c>
      <c r="AF251" s="60">
        <f>IF(G251&gt;'Scope 3 Ratios'!$B$5,(G251-'Scope 3 Ratios'!$B$5)*('Scope 3 Ratios'!$B$6/'Scope 3 Ratios'!$B$5),0)</f>
        <v>687.9024</v>
      </c>
      <c r="AG251" s="60">
        <f>J251*IF(I251="SSD",'Scope 3 Ratios'!$B$9,'Scope 3 Ratios'!$B$8)</f>
        <v>0</v>
      </c>
      <c r="AH251" s="60">
        <f>IF(K251&lt;&gt;"N/A",K251*'Scope 3 Ratios'!$B$10,0)</f>
        <v>0</v>
      </c>
      <c r="AI251" s="60">
        <f>(VLOOKUP($E251,'AWS Platforms Ratios'!$A$2:$O$25,3,FALSE)-1)*'Scope 3 Ratios'!$B$7</f>
        <v>100</v>
      </c>
      <c r="AJ251" s="60">
        <f>'Scope 3 Ratios'!$B$2+AF251+AG251+AH251+AI251</f>
        <v>1787.9024</v>
      </c>
      <c r="AK251" s="60">
        <f>AJ251*'Scope 3 Ratios'!$B$4*(C251/D251)</f>
        <v>6.46666088</v>
      </c>
      <c r="AL251" s="71" t="s">
        <v>502</v>
      </c>
    </row>
    <row r="252" ht="15.0" customHeight="1">
      <c r="A252" s="66" t="s">
        <v>506</v>
      </c>
      <c r="B252" s="56" t="s">
        <v>500</v>
      </c>
      <c r="C252" s="70">
        <v>32.0</v>
      </c>
      <c r="D252" s="70">
        <v>128.0</v>
      </c>
      <c r="E252" s="66" t="s">
        <v>501</v>
      </c>
      <c r="F252" s="66">
        <v>128.0</v>
      </c>
      <c r="G252" s="66">
        <v>512.0</v>
      </c>
      <c r="H252" s="70" t="s">
        <v>71</v>
      </c>
      <c r="I252" s="66" t="s">
        <v>72</v>
      </c>
      <c r="J252" s="66">
        <v>0.0</v>
      </c>
      <c r="K252" s="58" t="s">
        <v>73</v>
      </c>
      <c r="L252" s="58" t="s">
        <v>73</v>
      </c>
      <c r="M252" s="58" t="s">
        <v>73</v>
      </c>
      <c r="N252" s="58" t="s">
        <v>73</v>
      </c>
      <c r="O252" s="59">
        <f>($C252/$D252)*VLOOKUP($E252,'AWS Platforms Ratios'!$A$2:$O$25,7,FALSE)</f>
        <v>17.4192926</v>
      </c>
      <c r="P252" s="59">
        <f>($C252/$D252)*VLOOKUP($E252,'AWS Platforms Ratios'!$A$2:$O$25,8,FALSE)</f>
        <v>47.73906752</v>
      </c>
      <c r="Q252" s="59">
        <f>($C252/$D252)*VLOOKUP($E252,'AWS Platforms Ratios'!$A$2:$O$25,9,FALSE)</f>
        <v>112.8395498</v>
      </c>
      <c r="R252" s="59">
        <f>($C252/$D252)*VLOOKUP($E252,'AWS Platforms Ratios'!$A$2:$O$25,10,FALSE)</f>
        <v>152.7817524</v>
      </c>
      <c r="S252" s="59">
        <f>$F252*VLOOKUP($E252,'AWS Platforms Ratios'!$A$2:$O$25,11,FALSE)</f>
        <v>25.6</v>
      </c>
      <c r="T252" s="59">
        <f>$F252*VLOOKUP($E252,'AWS Platforms Ratios'!$A$2:$O$25,12,FALSE)</f>
        <v>38.4</v>
      </c>
      <c r="U252" s="59">
        <f>$F252*VLOOKUP($E252,'AWS Platforms Ratios'!$A$2:$O$25,13,FALSE)</f>
        <v>51.2</v>
      </c>
      <c r="V252" s="59">
        <f>$F252*VLOOKUP($E252,'AWS Platforms Ratios'!$A$2:$O$25,14,FALSE)</f>
        <v>76.8</v>
      </c>
      <c r="W252" s="60">
        <f>IF($K252&lt;&gt;"N/A",$M252*(VLOOKUP($L252,'GPU Specs &amp; Ratios'!$B$2:$I$8,5,FALSE)),0)</f>
        <v>0</v>
      </c>
      <c r="X252" s="60">
        <f>IF($K252&lt;&gt;"N/A",$M252*(VLOOKUP($L252,'GPU Specs &amp; Ratios'!$B$2:$I$8,6,FALSE)),0)</f>
        <v>0</v>
      </c>
      <c r="Y252" s="60">
        <f>IF($K252&lt;&gt;"N/A",$M252*(VLOOKUP($L252,'GPU Specs &amp; Ratios'!$B$2:$I$8,7,FALSE)),0)</f>
        <v>0</v>
      </c>
      <c r="Z252" s="60">
        <f>IF($K252&lt;&gt;"N/A",$M252*(VLOOKUP($L252,'GPU Specs &amp; Ratios'!$B$2:$I$8,8,FALSE)),0)</f>
        <v>0</v>
      </c>
      <c r="AA252" s="60">
        <f>(C252/D252)*VLOOKUP($E252,'AWS Platforms Ratios'!$A$2:$O$25,15,FALSE)</f>
        <v>30</v>
      </c>
      <c r="AB252" s="60">
        <f t="shared" ref="AB252:AE252" si="251">O252+S252+W252+$AA252</f>
        <v>73.0192926</v>
      </c>
      <c r="AC252" s="60">
        <f t="shared" si="251"/>
        <v>116.1390675</v>
      </c>
      <c r="AD252" s="60">
        <f t="shared" si="251"/>
        <v>194.0395498</v>
      </c>
      <c r="AE252" s="60">
        <f t="shared" si="251"/>
        <v>259.5817524</v>
      </c>
      <c r="AF252" s="60">
        <f>IF(G252&gt;'Scope 3 Ratios'!$B$5,(G252-'Scope 3 Ratios'!$B$5)*('Scope 3 Ratios'!$B$6/'Scope 3 Ratios'!$B$5),0)</f>
        <v>687.9024</v>
      </c>
      <c r="AG252" s="60">
        <f>J252*IF(I252="SSD",'Scope 3 Ratios'!$B$9,'Scope 3 Ratios'!$B$8)</f>
        <v>0</v>
      </c>
      <c r="AH252" s="60">
        <f>IF(K252&lt;&gt;"N/A",K252*'Scope 3 Ratios'!$B$10,0)</f>
        <v>0</v>
      </c>
      <c r="AI252" s="60">
        <f>(VLOOKUP($E252,'AWS Platforms Ratios'!$A$2:$O$25,3,FALSE)-1)*'Scope 3 Ratios'!$B$7</f>
        <v>100</v>
      </c>
      <c r="AJ252" s="60">
        <f>'Scope 3 Ratios'!$B$2+AF252+AG252+AH252+AI252</f>
        <v>1787.9024</v>
      </c>
      <c r="AK252" s="60">
        <f>AJ252*'Scope 3 Ratios'!$B$4*(C252/D252)</f>
        <v>12.93332176</v>
      </c>
      <c r="AL252" s="71" t="s">
        <v>502</v>
      </c>
    </row>
    <row r="253" ht="15.0" customHeight="1">
      <c r="A253" s="66" t="s">
        <v>507</v>
      </c>
      <c r="B253" s="56" t="s">
        <v>500</v>
      </c>
      <c r="C253" s="70">
        <v>48.0</v>
      </c>
      <c r="D253" s="70">
        <v>128.0</v>
      </c>
      <c r="E253" s="66" t="s">
        <v>501</v>
      </c>
      <c r="F253" s="66">
        <v>192.0</v>
      </c>
      <c r="G253" s="66">
        <v>512.0</v>
      </c>
      <c r="H253" s="70" t="s">
        <v>71</v>
      </c>
      <c r="I253" s="66" t="s">
        <v>72</v>
      </c>
      <c r="J253" s="66">
        <v>0.0</v>
      </c>
      <c r="K253" s="58" t="s">
        <v>73</v>
      </c>
      <c r="L253" s="58" t="s">
        <v>73</v>
      </c>
      <c r="M253" s="58" t="s">
        <v>73</v>
      </c>
      <c r="N253" s="58" t="s">
        <v>73</v>
      </c>
      <c r="O253" s="59">
        <f>($C253/$D253)*VLOOKUP($E253,'AWS Platforms Ratios'!$A$2:$O$25,7,FALSE)</f>
        <v>26.12893891</v>
      </c>
      <c r="P253" s="59">
        <f>($C253/$D253)*VLOOKUP($E253,'AWS Platforms Ratios'!$A$2:$O$25,8,FALSE)</f>
        <v>71.60860129</v>
      </c>
      <c r="Q253" s="59">
        <f>($C253/$D253)*VLOOKUP($E253,'AWS Platforms Ratios'!$A$2:$O$25,9,FALSE)</f>
        <v>169.2593248</v>
      </c>
      <c r="R253" s="59">
        <f>($C253/$D253)*VLOOKUP($E253,'AWS Platforms Ratios'!$A$2:$O$25,10,FALSE)</f>
        <v>229.1726286</v>
      </c>
      <c r="S253" s="59">
        <f>$F253*VLOOKUP($E253,'AWS Platforms Ratios'!$A$2:$O$25,11,FALSE)</f>
        <v>38.4</v>
      </c>
      <c r="T253" s="59">
        <f>$F253*VLOOKUP($E253,'AWS Platforms Ratios'!$A$2:$O$25,12,FALSE)</f>
        <v>57.6</v>
      </c>
      <c r="U253" s="59">
        <f>$F253*VLOOKUP($E253,'AWS Platforms Ratios'!$A$2:$O$25,13,FALSE)</f>
        <v>76.8</v>
      </c>
      <c r="V253" s="59">
        <f>$F253*VLOOKUP($E253,'AWS Platforms Ratios'!$A$2:$O$25,14,FALSE)</f>
        <v>115.2</v>
      </c>
      <c r="W253" s="60">
        <f>IF($K253&lt;&gt;"N/A",$M253*(VLOOKUP($L253,'GPU Specs &amp; Ratios'!$B$2:$I$8,5,FALSE)),0)</f>
        <v>0</v>
      </c>
      <c r="X253" s="60">
        <f>IF($K253&lt;&gt;"N/A",$M253*(VLOOKUP($L253,'GPU Specs &amp; Ratios'!$B$2:$I$8,6,FALSE)),0)</f>
        <v>0</v>
      </c>
      <c r="Y253" s="60">
        <f>IF($K253&lt;&gt;"N/A",$M253*(VLOOKUP($L253,'GPU Specs &amp; Ratios'!$B$2:$I$8,7,FALSE)),0)</f>
        <v>0</v>
      </c>
      <c r="Z253" s="60">
        <f>IF($K253&lt;&gt;"N/A",$M253*(VLOOKUP($L253,'GPU Specs &amp; Ratios'!$B$2:$I$8,8,FALSE)),0)</f>
        <v>0</v>
      </c>
      <c r="AA253" s="60">
        <f>(C253/D253)*VLOOKUP($E253,'AWS Platforms Ratios'!$A$2:$O$25,15,FALSE)</f>
        <v>45</v>
      </c>
      <c r="AB253" s="60">
        <f t="shared" ref="AB253:AE253" si="252">O253+S253+W253+$AA253</f>
        <v>109.5289389</v>
      </c>
      <c r="AC253" s="60">
        <f t="shared" si="252"/>
        <v>174.2086013</v>
      </c>
      <c r="AD253" s="60">
        <f t="shared" si="252"/>
        <v>291.0593248</v>
      </c>
      <c r="AE253" s="60">
        <f t="shared" si="252"/>
        <v>389.3726286</v>
      </c>
      <c r="AF253" s="60">
        <f>IF(G253&gt;'Scope 3 Ratios'!$B$5,(G253-'Scope 3 Ratios'!$B$5)*('Scope 3 Ratios'!$B$6/'Scope 3 Ratios'!$B$5),0)</f>
        <v>687.9024</v>
      </c>
      <c r="AG253" s="60">
        <f>J253*IF(I253="SSD",'Scope 3 Ratios'!$B$9,'Scope 3 Ratios'!$B$8)</f>
        <v>0</v>
      </c>
      <c r="AH253" s="60">
        <f>IF(K253&lt;&gt;"N/A",K253*'Scope 3 Ratios'!$B$10,0)</f>
        <v>0</v>
      </c>
      <c r="AI253" s="60">
        <f>(VLOOKUP($E253,'AWS Platforms Ratios'!$A$2:$O$25,3,FALSE)-1)*'Scope 3 Ratios'!$B$7</f>
        <v>100</v>
      </c>
      <c r="AJ253" s="60">
        <f>'Scope 3 Ratios'!$B$2+AF253+AG253+AH253+AI253</f>
        <v>1787.9024</v>
      </c>
      <c r="AK253" s="60">
        <f>AJ253*'Scope 3 Ratios'!$B$4*(C253/D253)</f>
        <v>19.39998264</v>
      </c>
      <c r="AL253" s="71" t="s">
        <v>502</v>
      </c>
    </row>
    <row r="254" ht="15.0" customHeight="1">
      <c r="A254" s="66" t="s">
        <v>508</v>
      </c>
      <c r="B254" s="56" t="s">
        <v>500</v>
      </c>
      <c r="C254" s="70">
        <v>64.0</v>
      </c>
      <c r="D254" s="70">
        <v>128.0</v>
      </c>
      <c r="E254" s="66" t="s">
        <v>501</v>
      </c>
      <c r="F254" s="66">
        <v>256.0</v>
      </c>
      <c r="G254" s="66">
        <v>512.0</v>
      </c>
      <c r="H254" s="70" t="s">
        <v>71</v>
      </c>
      <c r="I254" s="66" t="s">
        <v>72</v>
      </c>
      <c r="J254" s="66">
        <v>0.0</v>
      </c>
      <c r="K254" s="58" t="s">
        <v>73</v>
      </c>
      <c r="L254" s="58" t="s">
        <v>73</v>
      </c>
      <c r="M254" s="58" t="s">
        <v>73</v>
      </c>
      <c r="N254" s="58" t="s">
        <v>73</v>
      </c>
      <c r="O254" s="59">
        <f>($C254/$D254)*VLOOKUP($E254,'AWS Platforms Ratios'!$A$2:$O$25,7,FALSE)</f>
        <v>34.83858521</v>
      </c>
      <c r="P254" s="59">
        <f>($C254/$D254)*VLOOKUP($E254,'AWS Platforms Ratios'!$A$2:$O$25,8,FALSE)</f>
        <v>95.47813505</v>
      </c>
      <c r="Q254" s="59">
        <f>($C254/$D254)*VLOOKUP($E254,'AWS Platforms Ratios'!$A$2:$O$25,9,FALSE)</f>
        <v>225.6790997</v>
      </c>
      <c r="R254" s="59">
        <f>($C254/$D254)*VLOOKUP($E254,'AWS Platforms Ratios'!$A$2:$O$25,10,FALSE)</f>
        <v>305.5635048</v>
      </c>
      <c r="S254" s="59">
        <f>$F254*VLOOKUP($E254,'AWS Platforms Ratios'!$A$2:$O$25,11,FALSE)</f>
        <v>51.2</v>
      </c>
      <c r="T254" s="59">
        <f>$F254*VLOOKUP($E254,'AWS Platforms Ratios'!$A$2:$O$25,12,FALSE)</f>
        <v>76.8</v>
      </c>
      <c r="U254" s="59">
        <f>$F254*VLOOKUP($E254,'AWS Platforms Ratios'!$A$2:$O$25,13,FALSE)</f>
        <v>102.4</v>
      </c>
      <c r="V254" s="59">
        <f>$F254*VLOOKUP($E254,'AWS Platforms Ratios'!$A$2:$O$25,14,FALSE)</f>
        <v>153.6</v>
      </c>
      <c r="W254" s="60">
        <f>IF($K254&lt;&gt;"N/A",$M254*(VLOOKUP($L254,'GPU Specs &amp; Ratios'!$B$2:$I$8,5,FALSE)),0)</f>
        <v>0</v>
      </c>
      <c r="X254" s="60">
        <f>IF($K254&lt;&gt;"N/A",$M254*(VLOOKUP($L254,'GPU Specs &amp; Ratios'!$B$2:$I$8,6,FALSE)),0)</f>
        <v>0</v>
      </c>
      <c r="Y254" s="60">
        <f>IF($K254&lt;&gt;"N/A",$M254*(VLOOKUP($L254,'GPU Specs &amp; Ratios'!$B$2:$I$8,7,FALSE)),0)</f>
        <v>0</v>
      </c>
      <c r="Z254" s="60">
        <f>IF($K254&lt;&gt;"N/A",$M254*(VLOOKUP($L254,'GPU Specs &amp; Ratios'!$B$2:$I$8,8,FALSE)),0)</f>
        <v>0</v>
      </c>
      <c r="AA254" s="60">
        <f>(C254/D254)*VLOOKUP($E254,'AWS Platforms Ratios'!$A$2:$O$25,15,FALSE)</f>
        <v>60</v>
      </c>
      <c r="AB254" s="60">
        <f t="shared" ref="AB254:AE254" si="253">O254+S254+W254+$AA254</f>
        <v>146.0385852</v>
      </c>
      <c r="AC254" s="60">
        <f t="shared" si="253"/>
        <v>232.278135</v>
      </c>
      <c r="AD254" s="60">
        <f t="shared" si="253"/>
        <v>388.0790997</v>
      </c>
      <c r="AE254" s="60">
        <f t="shared" si="253"/>
        <v>519.1635048</v>
      </c>
      <c r="AF254" s="60">
        <f>IF(G254&gt;'Scope 3 Ratios'!$B$5,(G254-'Scope 3 Ratios'!$B$5)*('Scope 3 Ratios'!$B$6/'Scope 3 Ratios'!$B$5),0)</f>
        <v>687.9024</v>
      </c>
      <c r="AG254" s="60">
        <f>J254*IF(I254="SSD",'Scope 3 Ratios'!$B$9,'Scope 3 Ratios'!$B$8)</f>
        <v>0</v>
      </c>
      <c r="AH254" s="60">
        <f>IF(K254&lt;&gt;"N/A",K254*'Scope 3 Ratios'!$B$10,0)</f>
        <v>0</v>
      </c>
      <c r="AI254" s="60">
        <f>(VLOOKUP($E254,'AWS Platforms Ratios'!$A$2:$O$25,3,FALSE)-1)*'Scope 3 Ratios'!$B$7</f>
        <v>100</v>
      </c>
      <c r="AJ254" s="60">
        <f>'Scope 3 Ratios'!$B$2+AF254+AG254+AH254+AI254</f>
        <v>1787.9024</v>
      </c>
      <c r="AK254" s="60">
        <f>AJ254*'Scope 3 Ratios'!$B$4*(C254/D254)</f>
        <v>25.86664352</v>
      </c>
      <c r="AL254" s="71" t="s">
        <v>502</v>
      </c>
    </row>
    <row r="255" ht="15.0" customHeight="1">
      <c r="A255" s="66" t="s">
        <v>509</v>
      </c>
      <c r="B255" s="56" t="s">
        <v>500</v>
      </c>
      <c r="C255" s="70">
        <v>96.0</v>
      </c>
      <c r="D255" s="70">
        <v>128.0</v>
      </c>
      <c r="E255" s="66" t="s">
        <v>501</v>
      </c>
      <c r="F255" s="66">
        <v>384.0</v>
      </c>
      <c r="G255" s="66">
        <v>512.0</v>
      </c>
      <c r="H255" s="70" t="s">
        <v>71</v>
      </c>
      <c r="I255" s="66" t="s">
        <v>72</v>
      </c>
      <c r="J255" s="66">
        <v>0.0</v>
      </c>
      <c r="K255" s="58" t="s">
        <v>73</v>
      </c>
      <c r="L255" s="58" t="s">
        <v>73</v>
      </c>
      <c r="M255" s="58" t="s">
        <v>73</v>
      </c>
      <c r="N255" s="58" t="s">
        <v>73</v>
      </c>
      <c r="O255" s="59">
        <f>($C255/$D255)*VLOOKUP($E255,'AWS Platforms Ratios'!$A$2:$O$25,7,FALSE)</f>
        <v>52.25787781</v>
      </c>
      <c r="P255" s="59">
        <f>($C255/$D255)*VLOOKUP($E255,'AWS Platforms Ratios'!$A$2:$O$25,8,FALSE)</f>
        <v>143.2172026</v>
      </c>
      <c r="Q255" s="59">
        <f>($C255/$D255)*VLOOKUP($E255,'AWS Platforms Ratios'!$A$2:$O$25,9,FALSE)</f>
        <v>338.5186495</v>
      </c>
      <c r="R255" s="59">
        <f>($C255/$D255)*VLOOKUP($E255,'AWS Platforms Ratios'!$A$2:$O$25,10,FALSE)</f>
        <v>458.3452572</v>
      </c>
      <c r="S255" s="59">
        <f>$F255*VLOOKUP($E255,'AWS Platforms Ratios'!$A$2:$O$25,11,FALSE)</f>
        <v>76.8</v>
      </c>
      <c r="T255" s="59">
        <f>$F255*VLOOKUP($E255,'AWS Platforms Ratios'!$A$2:$O$25,12,FALSE)</f>
        <v>115.2</v>
      </c>
      <c r="U255" s="59">
        <f>$F255*VLOOKUP($E255,'AWS Platforms Ratios'!$A$2:$O$25,13,FALSE)</f>
        <v>153.6</v>
      </c>
      <c r="V255" s="59">
        <f>$F255*VLOOKUP($E255,'AWS Platforms Ratios'!$A$2:$O$25,14,FALSE)</f>
        <v>230.4</v>
      </c>
      <c r="W255" s="60">
        <f>IF($K255&lt;&gt;"N/A",$M255*(VLOOKUP($L255,'GPU Specs &amp; Ratios'!$B$2:$I$8,5,FALSE)),0)</f>
        <v>0</v>
      </c>
      <c r="X255" s="60">
        <f>IF($K255&lt;&gt;"N/A",$M255*(VLOOKUP($L255,'GPU Specs &amp; Ratios'!$B$2:$I$8,6,FALSE)),0)</f>
        <v>0</v>
      </c>
      <c r="Y255" s="60">
        <f>IF($K255&lt;&gt;"N/A",$M255*(VLOOKUP($L255,'GPU Specs &amp; Ratios'!$B$2:$I$8,7,FALSE)),0)</f>
        <v>0</v>
      </c>
      <c r="Z255" s="60">
        <f>IF($K255&lt;&gt;"N/A",$M255*(VLOOKUP($L255,'GPU Specs &amp; Ratios'!$B$2:$I$8,8,FALSE)),0)</f>
        <v>0</v>
      </c>
      <c r="AA255" s="60">
        <f>(C255/D255)*VLOOKUP($E255,'AWS Platforms Ratios'!$A$2:$O$25,15,FALSE)</f>
        <v>90</v>
      </c>
      <c r="AB255" s="60">
        <f t="shared" ref="AB255:AE255" si="254">O255+S255+W255+$AA255</f>
        <v>219.0578778</v>
      </c>
      <c r="AC255" s="60">
        <f t="shared" si="254"/>
        <v>348.4172026</v>
      </c>
      <c r="AD255" s="60">
        <f t="shared" si="254"/>
        <v>582.1186495</v>
      </c>
      <c r="AE255" s="60">
        <f t="shared" si="254"/>
        <v>778.7452572</v>
      </c>
      <c r="AF255" s="60">
        <f>IF(G255&gt;'Scope 3 Ratios'!$B$5,(G255-'Scope 3 Ratios'!$B$5)*('Scope 3 Ratios'!$B$6/'Scope 3 Ratios'!$B$5),0)</f>
        <v>687.9024</v>
      </c>
      <c r="AG255" s="60">
        <f>J255*IF(I255="SSD",'Scope 3 Ratios'!$B$9,'Scope 3 Ratios'!$B$8)</f>
        <v>0</v>
      </c>
      <c r="AH255" s="60">
        <f>IF(K255&lt;&gt;"N/A",K255*'Scope 3 Ratios'!$B$10,0)</f>
        <v>0</v>
      </c>
      <c r="AI255" s="60">
        <f>(VLOOKUP($E255,'AWS Platforms Ratios'!$A$2:$O$25,3,FALSE)-1)*'Scope 3 Ratios'!$B$7</f>
        <v>100</v>
      </c>
      <c r="AJ255" s="60">
        <f>'Scope 3 Ratios'!$B$2+AF255+AG255+AH255+AI255</f>
        <v>1787.9024</v>
      </c>
      <c r="AK255" s="60">
        <f>AJ255*'Scope 3 Ratios'!$B$4*(C255/D255)</f>
        <v>38.79996528</v>
      </c>
      <c r="AL255" s="71" t="s">
        <v>502</v>
      </c>
    </row>
    <row r="256" ht="15.0" customHeight="1">
      <c r="A256" s="66" t="s">
        <v>510</v>
      </c>
      <c r="B256" s="56" t="s">
        <v>500</v>
      </c>
      <c r="C256" s="70">
        <v>128.0</v>
      </c>
      <c r="D256" s="70">
        <v>128.0</v>
      </c>
      <c r="E256" s="66" t="s">
        <v>501</v>
      </c>
      <c r="F256" s="66">
        <v>512.0</v>
      </c>
      <c r="G256" s="66">
        <v>512.0</v>
      </c>
      <c r="H256" s="70" t="s">
        <v>71</v>
      </c>
      <c r="I256" s="66" t="s">
        <v>72</v>
      </c>
      <c r="J256" s="66">
        <v>0.0</v>
      </c>
      <c r="K256" s="58" t="s">
        <v>73</v>
      </c>
      <c r="L256" s="58" t="s">
        <v>73</v>
      </c>
      <c r="M256" s="58" t="s">
        <v>73</v>
      </c>
      <c r="N256" s="58" t="s">
        <v>73</v>
      </c>
      <c r="O256" s="59">
        <f>($C256/$D256)*VLOOKUP($E256,'AWS Platforms Ratios'!$A$2:$O$25,7,FALSE)</f>
        <v>69.67717042</v>
      </c>
      <c r="P256" s="59">
        <f>($C256/$D256)*VLOOKUP($E256,'AWS Platforms Ratios'!$A$2:$O$25,8,FALSE)</f>
        <v>190.9562701</v>
      </c>
      <c r="Q256" s="59">
        <f>($C256/$D256)*VLOOKUP($E256,'AWS Platforms Ratios'!$A$2:$O$25,9,FALSE)</f>
        <v>451.3581994</v>
      </c>
      <c r="R256" s="59">
        <f>($C256/$D256)*VLOOKUP($E256,'AWS Platforms Ratios'!$A$2:$O$25,10,FALSE)</f>
        <v>611.1270096</v>
      </c>
      <c r="S256" s="59">
        <f>$F256*VLOOKUP($E256,'AWS Platforms Ratios'!$A$2:$O$25,11,FALSE)</f>
        <v>102.4</v>
      </c>
      <c r="T256" s="59">
        <f>$F256*VLOOKUP($E256,'AWS Platforms Ratios'!$A$2:$O$25,12,FALSE)</f>
        <v>153.6</v>
      </c>
      <c r="U256" s="59">
        <f>$F256*VLOOKUP($E256,'AWS Platforms Ratios'!$A$2:$O$25,13,FALSE)</f>
        <v>204.8</v>
      </c>
      <c r="V256" s="59">
        <f>$F256*VLOOKUP($E256,'AWS Platforms Ratios'!$A$2:$O$25,14,FALSE)</f>
        <v>307.2</v>
      </c>
      <c r="W256" s="60">
        <f>IF($K256&lt;&gt;"N/A",$M256*(VLOOKUP($L256,'GPU Specs &amp; Ratios'!$B$2:$I$8,5,FALSE)),0)</f>
        <v>0</v>
      </c>
      <c r="X256" s="60">
        <f>IF($K256&lt;&gt;"N/A",$M256*(VLOOKUP($L256,'GPU Specs &amp; Ratios'!$B$2:$I$8,6,FALSE)),0)</f>
        <v>0</v>
      </c>
      <c r="Y256" s="60">
        <f>IF($K256&lt;&gt;"N/A",$M256*(VLOOKUP($L256,'GPU Specs &amp; Ratios'!$B$2:$I$8,7,FALSE)),0)</f>
        <v>0</v>
      </c>
      <c r="Z256" s="60">
        <f>IF($K256&lt;&gt;"N/A",$M256*(VLOOKUP($L256,'GPU Specs &amp; Ratios'!$B$2:$I$8,8,FALSE)),0)</f>
        <v>0</v>
      </c>
      <c r="AA256" s="60">
        <f>(C256/D256)*VLOOKUP($E256,'AWS Platforms Ratios'!$A$2:$O$25,15,FALSE)</f>
        <v>120</v>
      </c>
      <c r="AB256" s="60">
        <f t="shared" ref="AB256:AE256" si="255">O256+S256+W256+$AA256</f>
        <v>292.0771704</v>
      </c>
      <c r="AC256" s="60">
        <f t="shared" si="255"/>
        <v>464.5562701</v>
      </c>
      <c r="AD256" s="60">
        <f t="shared" si="255"/>
        <v>776.1581994</v>
      </c>
      <c r="AE256" s="60">
        <f t="shared" si="255"/>
        <v>1038.32701</v>
      </c>
      <c r="AF256" s="60">
        <f>IF(G256&gt;'Scope 3 Ratios'!$B$5,(G256-'Scope 3 Ratios'!$B$5)*('Scope 3 Ratios'!$B$6/'Scope 3 Ratios'!$B$5),0)</f>
        <v>687.9024</v>
      </c>
      <c r="AG256" s="60">
        <f>J256*IF(I256="SSD",'Scope 3 Ratios'!$B$9,'Scope 3 Ratios'!$B$8)</f>
        <v>0</v>
      </c>
      <c r="AH256" s="60">
        <f>IF(K256&lt;&gt;"N/A",K256*'Scope 3 Ratios'!$B$10,0)</f>
        <v>0</v>
      </c>
      <c r="AI256" s="60">
        <f>(VLOOKUP($E256,'AWS Platforms Ratios'!$A$2:$O$25,3,FALSE)-1)*'Scope 3 Ratios'!$B$7</f>
        <v>100</v>
      </c>
      <c r="AJ256" s="60">
        <f>'Scope 3 Ratios'!$B$2+AF256+AG256+AH256+AI256</f>
        <v>1787.9024</v>
      </c>
      <c r="AK256" s="60">
        <f>AJ256*'Scope 3 Ratios'!$B$4*(C256/D256)</f>
        <v>51.73328704</v>
      </c>
      <c r="AL256" s="71" t="s">
        <v>502</v>
      </c>
    </row>
    <row r="257" ht="15.0" customHeight="1">
      <c r="A257" s="63" t="s">
        <v>511</v>
      </c>
      <c r="B257" s="56" t="s">
        <v>512</v>
      </c>
      <c r="C257" s="63">
        <v>12.0</v>
      </c>
      <c r="D257" s="56">
        <f>VLOOKUP(E257,'AWS Platforms Ratios'!$A$2:$B$25,2,FALSE)</f>
        <v>12</v>
      </c>
      <c r="E257" s="63" t="s">
        <v>513</v>
      </c>
      <c r="F257" s="63">
        <v>32.0</v>
      </c>
      <c r="G257" s="63">
        <v>32.0</v>
      </c>
      <c r="H257" s="64" t="s">
        <v>73</v>
      </c>
      <c r="I257" s="63" t="s">
        <v>72</v>
      </c>
      <c r="J257" s="63">
        <v>0.0</v>
      </c>
      <c r="K257" s="58" t="s">
        <v>73</v>
      </c>
      <c r="L257" s="58" t="s">
        <v>73</v>
      </c>
      <c r="M257" s="58" t="s">
        <v>73</v>
      </c>
      <c r="N257" s="58" t="s">
        <v>73</v>
      </c>
      <c r="O257" s="59">
        <f>($C257/$D257)*VLOOKUP($E257,'AWS Platforms Ratios'!$A$2:$O$25,7,FALSE)</f>
        <v>7.548360129</v>
      </c>
      <c r="P257" s="59">
        <f>($C257/$D257)*VLOOKUP($E257,'AWS Platforms Ratios'!$A$2:$O$25,8,FALSE)</f>
        <v>20.68692926</v>
      </c>
      <c r="Q257" s="59">
        <f>($C257/$D257)*VLOOKUP($E257,'AWS Platforms Ratios'!$A$2:$O$25,9,FALSE)</f>
        <v>48.89713826</v>
      </c>
      <c r="R257" s="59">
        <f>($C257/$D257)*VLOOKUP($E257,'AWS Platforms Ratios'!$A$2:$O$25,10,FALSE)</f>
        <v>66.20542605</v>
      </c>
      <c r="S257" s="59">
        <f>$F257*VLOOKUP($E257,'AWS Platforms Ratios'!$A$2:$O$25,11,FALSE)</f>
        <v>6.4</v>
      </c>
      <c r="T257" s="59">
        <f>$F257*VLOOKUP($E257,'AWS Platforms Ratios'!$A$2:$O$25,12,FALSE)</f>
        <v>9.6</v>
      </c>
      <c r="U257" s="59">
        <f>$F257*VLOOKUP($E257,'AWS Platforms Ratios'!$A$2:$O$25,13,FALSE)</f>
        <v>12.8</v>
      </c>
      <c r="V257" s="59">
        <f>$F257*VLOOKUP($E257,'AWS Platforms Ratios'!$A$2:$O$25,14,FALSE)</f>
        <v>19.2</v>
      </c>
      <c r="W257" s="60">
        <f>IF($K257&lt;&gt;"N/A",$M257*(VLOOKUP($L257,'GPU Specs &amp; Ratios'!$B$2:$I$8,5,FALSE)),0)</f>
        <v>0</v>
      </c>
      <c r="X257" s="60">
        <f>IF($K257&lt;&gt;"N/A",$M257*(VLOOKUP($L257,'GPU Specs &amp; Ratios'!$B$2:$I$8,6,FALSE)),0)</f>
        <v>0</v>
      </c>
      <c r="Y257" s="60">
        <f>IF($K257&lt;&gt;"N/A",$M257*(VLOOKUP($L257,'GPU Specs &amp; Ratios'!$B$2:$I$8,7,FALSE)),0)</f>
        <v>0</v>
      </c>
      <c r="Z257" s="60">
        <f>IF($K257&lt;&gt;"N/A",$M257*(VLOOKUP($L257,'GPU Specs &amp; Ratios'!$B$2:$I$8,8,FALSE)),0)</f>
        <v>0</v>
      </c>
      <c r="AA257" s="60">
        <f>(C257/D257)*VLOOKUP($E257,'AWS Platforms Ratios'!$A$2:$O$25,15,FALSE)</f>
        <v>13</v>
      </c>
      <c r="AB257" s="60">
        <f t="shared" ref="AB257:AE257" si="256">O257+S257+W257+$AA257</f>
        <v>26.94836013</v>
      </c>
      <c r="AC257" s="60">
        <f t="shared" si="256"/>
        <v>43.28692926</v>
      </c>
      <c r="AD257" s="60">
        <f t="shared" si="256"/>
        <v>74.69713826</v>
      </c>
      <c r="AE257" s="60">
        <f t="shared" si="256"/>
        <v>98.40542605</v>
      </c>
      <c r="AF257" s="60">
        <f>IF(G257&gt;'Scope 3 Ratios'!$B$5,(G257-'Scope 3 Ratios'!$B$5)*('Scope 3 Ratios'!$B$6/'Scope 3 Ratios'!$B$5),0)</f>
        <v>22.1904</v>
      </c>
      <c r="AG257" s="60">
        <f>J257*IF(I257="SSD",'Scope 3 Ratios'!$B$9,'Scope 3 Ratios'!$B$8)</f>
        <v>0</v>
      </c>
      <c r="AH257" s="60">
        <f>IF(K257&lt;&gt;"N/A",K257*'Scope 3 Ratios'!$B$10,0)</f>
        <v>0</v>
      </c>
      <c r="AI257" s="60">
        <f>(VLOOKUP($E257,'AWS Platforms Ratios'!$A$2:$O$25,3,FALSE)-1)*'Scope 3 Ratios'!$B$7</f>
        <v>0</v>
      </c>
      <c r="AJ257" s="60">
        <f>'Scope 3 Ratios'!$B$2+AF257+AG257+AH257+AI257</f>
        <v>1022.1904</v>
      </c>
      <c r="AK257" s="60">
        <f>AJ257*'Scope 3 Ratios'!$B$4*(C257/D257)</f>
        <v>29.57726852</v>
      </c>
      <c r="AL257" s="65"/>
    </row>
    <row r="258" ht="15.0" customHeight="1">
      <c r="A258" s="63" t="s">
        <v>514</v>
      </c>
      <c r="B258" s="56" t="s">
        <v>410</v>
      </c>
      <c r="C258" s="63">
        <v>4.0</v>
      </c>
      <c r="D258" s="56">
        <f>VLOOKUP(E258,'AWS Platforms Ratios'!$A$2:$B$25,2,FALSE)</f>
        <v>72</v>
      </c>
      <c r="E258" s="63" t="s">
        <v>269</v>
      </c>
      <c r="F258" s="63">
        <v>61.0</v>
      </c>
      <c r="G258" s="63">
        <v>732.0</v>
      </c>
      <c r="H258" s="64" t="s">
        <v>73</v>
      </c>
      <c r="I258" s="63" t="s">
        <v>72</v>
      </c>
      <c r="J258" s="63">
        <v>0.0</v>
      </c>
      <c r="K258" s="58">
        <v>16.0</v>
      </c>
      <c r="L258" s="69" t="s">
        <v>515</v>
      </c>
      <c r="M258" s="72">
        <v>1.0</v>
      </c>
      <c r="N258" s="69">
        <v>24.0</v>
      </c>
      <c r="O258" s="59">
        <f>($C258/$D258)*VLOOKUP($E258,'AWS Platforms Ratios'!$A$2:$O$25,7,FALSE)</f>
        <v>1.943333333</v>
      </c>
      <c r="P258" s="59">
        <f>($C258/$D258)*VLOOKUP($E258,'AWS Platforms Ratios'!$A$2:$O$25,8,FALSE)</f>
        <v>5.547777778</v>
      </c>
      <c r="Q258" s="59">
        <f>($C258/$D258)*VLOOKUP($E258,'AWS Platforms Ratios'!$A$2:$O$25,9,FALSE)</f>
        <v>11.41055556</v>
      </c>
      <c r="R258" s="59">
        <f>($C258/$D258)*VLOOKUP($E258,'AWS Platforms Ratios'!$A$2:$O$25,10,FALSE)</f>
        <v>15.61847222</v>
      </c>
      <c r="S258" s="59">
        <f>$F258*VLOOKUP($E258,'AWS Platforms Ratios'!$A$2:$O$25,11,FALSE)</f>
        <v>12.2</v>
      </c>
      <c r="T258" s="59">
        <f>$F258*VLOOKUP($E258,'AWS Platforms Ratios'!$A$2:$O$25,12,FALSE)</f>
        <v>18.3</v>
      </c>
      <c r="U258" s="59">
        <f>$F258*VLOOKUP($E258,'AWS Platforms Ratios'!$A$2:$O$25,13,FALSE)</f>
        <v>24.4</v>
      </c>
      <c r="V258" s="59">
        <f>$F258*VLOOKUP($E258,'AWS Platforms Ratios'!$A$2:$O$25,14,FALSE)</f>
        <v>36.6</v>
      </c>
      <c r="W258" s="60">
        <f>IF($K258&lt;&gt;"N/A",$M258*(VLOOKUP($L258,'GPU Specs &amp; Ratios'!$B$2:$I$8,5,FALSE)),0)</f>
        <v>34.83858521</v>
      </c>
      <c r="X258" s="60">
        <f>IF($K258&lt;&gt;"N/A",$M258*(VLOOKUP($L258,'GPU Specs &amp; Ratios'!$B$2:$I$8,6,FALSE)),0)</f>
        <v>95.47813505</v>
      </c>
      <c r="Y258" s="60">
        <f>IF($K258&lt;&gt;"N/A",$M258*(VLOOKUP($L258,'GPU Specs &amp; Ratios'!$B$2:$I$8,7,FALSE)),0)</f>
        <v>225.6790997</v>
      </c>
      <c r="Z258" s="60">
        <f>IF($K258&lt;&gt;"N/A",$M258*(VLOOKUP($L258,'GPU Specs &amp; Ratios'!$B$2:$I$8,8,FALSE)),0)</f>
        <v>305.5635048</v>
      </c>
      <c r="AA258" s="60">
        <f>(C258/D258)*VLOOKUP($E258,'AWS Platforms Ratios'!$A$2:$O$25,15,FALSE)</f>
        <v>3.222222222</v>
      </c>
      <c r="AB258" s="60">
        <f t="shared" ref="AB258:AE258" si="257">O258+S258+W258+$AA258</f>
        <v>52.20414076</v>
      </c>
      <c r="AC258" s="60">
        <f t="shared" si="257"/>
        <v>122.548135</v>
      </c>
      <c r="AD258" s="60">
        <f t="shared" si="257"/>
        <v>264.7118775</v>
      </c>
      <c r="AE258" s="60">
        <f t="shared" si="257"/>
        <v>361.0041993</v>
      </c>
      <c r="AF258" s="60">
        <f>IF(G258&gt;'Scope 3 Ratios'!$B$5,(G258-'Scope 3 Ratios'!$B$5)*('Scope 3 Ratios'!$B$6/'Scope 3 Ratios'!$B$5),0)</f>
        <v>993.0204</v>
      </c>
      <c r="AG258" s="60">
        <f>J258*IF(I258="SSD",'Scope 3 Ratios'!$B$9,'Scope 3 Ratios'!$B$8)</f>
        <v>0</v>
      </c>
      <c r="AH258" s="60">
        <f>IF(K258&lt;&gt;"N/A",K258*'Scope 3 Ratios'!$B$10,0)</f>
        <v>2400</v>
      </c>
      <c r="AI258" s="60">
        <f>(VLOOKUP($E258,'AWS Platforms Ratios'!$A$2:$O$25,3,FALSE)-1)*'Scope 3 Ratios'!$B$7</f>
        <v>100</v>
      </c>
      <c r="AJ258" s="60">
        <f>'Scope 3 Ratios'!$B$2+AF258+AG258+AH258+AI258</f>
        <v>4493.0204</v>
      </c>
      <c r="AK258" s="60">
        <f>AJ258*'Scope 3 Ratios'!$B$4*(C258/D258)</f>
        <v>7.222576517</v>
      </c>
      <c r="AL258" s="63" t="s">
        <v>516</v>
      </c>
    </row>
    <row r="259" ht="15.0" customHeight="1">
      <c r="A259" s="63" t="s">
        <v>517</v>
      </c>
      <c r="B259" s="56" t="s">
        <v>410</v>
      </c>
      <c r="C259" s="63">
        <v>32.0</v>
      </c>
      <c r="D259" s="56">
        <f>VLOOKUP(E259,'AWS Platforms Ratios'!$A$2:$B$25,2,FALSE)</f>
        <v>72</v>
      </c>
      <c r="E259" s="63" t="s">
        <v>269</v>
      </c>
      <c r="F259" s="63">
        <v>488.0</v>
      </c>
      <c r="G259" s="63">
        <v>732.0</v>
      </c>
      <c r="H259" s="64" t="s">
        <v>73</v>
      </c>
      <c r="I259" s="63" t="s">
        <v>72</v>
      </c>
      <c r="J259" s="63">
        <v>0.0</v>
      </c>
      <c r="K259" s="58">
        <v>16.0</v>
      </c>
      <c r="L259" s="69" t="s">
        <v>515</v>
      </c>
      <c r="M259" s="72">
        <v>8.0</v>
      </c>
      <c r="N259" s="69">
        <f t="shared" ref="N259:N260" si="259">M259*24</f>
        <v>192</v>
      </c>
      <c r="O259" s="59">
        <f>($C259/$D259)*VLOOKUP($E259,'AWS Platforms Ratios'!$A$2:$O$25,7,FALSE)</f>
        <v>15.54666667</v>
      </c>
      <c r="P259" s="59">
        <f>($C259/$D259)*VLOOKUP($E259,'AWS Platforms Ratios'!$A$2:$O$25,8,FALSE)</f>
        <v>44.38222222</v>
      </c>
      <c r="Q259" s="59">
        <f>($C259/$D259)*VLOOKUP($E259,'AWS Platforms Ratios'!$A$2:$O$25,9,FALSE)</f>
        <v>91.28444444</v>
      </c>
      <c r="R259" s="59">
        <f>($C259/$D259)*VLOOKUP($E259,'AWS Platforms Ratios'!$A$2:$O$25,10,FALSE)</f>
        <v>124.9477778</v>
      </c>
      <c r="S259" s="59">
        <f>$F259*VLOOKUP($E259,'AWS Platforms Ratios'!$A$2:$O$25,11,FALSE)</f>
        <v>97.6</v>
      </c>
      <c r="T259" s="59">
        <f>$F259*VLOOKUP($E259,'AWS Platforms Ratios'!$A$2:$O$25,12,FALSE)</f>
        <v>146.4</v>
      </c>
      <c r="U259" s="59">
        <f>$F259*VLOOKUP($E259,'AWS Platforms Ratios'!$A$2:$O$25,13,FALSE)</f>
        <v>195.2</v>
      </c>
      <c r="V259" s="59">
        <f>$F259*VLOOKUP($E259,'AWS Platforms Ratios'!$A$2:$O$25,14,FALSE)</f>
        <v>292.8</v>
      </c>
      <c r="W259" s="60">
        <f>IF($K259&lt;&gt;"N/A",$M259*(VLOOKUP($L259,'GPU Specs &amp; Ratios'!$B$2:$I$8,5,FALSE)),0)</f>
        <v>278.7086817</v>
      </c>
      <c r="X259" s="60">
        <f>IF($K259&lt;&gt;"N/A",$M259*(VLOOKUP($L259,'GPU Specs &amp; Ratios'!$B$2:$I$8,6,FALSE)),0)</f>
        <v>763.8250804</v>
      </c>
      <c r="Y259" s="60">
        <f>IF($K259&lt;&gt;"N/A",$M259*(VLOOKUP($L259,'GPU Specs &amp; Ratios'!$B$2:$I$8,7,FALSE)),0)</f>
        <v>1805.432797</v>
      </c>
      <c r="Z259" s="60">
        <f>IF($K259&lt;&gt;"N/A",$M259*(VLOOKUP($L259,'GPU Specs &amp; Ratios'!$B$2:$I$8,8,FALSE)),0)</f>
        <v>2444.508039</v>
      </c>
      <c r="AA259" s="60">
        <f>(C259/D259)*VLOOKUP($E259,'AWS Platforms Ratios'!$A$2:$O$25,15,FALSE)</f>
        <v>25.77777778</v>
      </c>
      <c r="AB259" s="60">
        <f t="shared" ref="AB259:AE259" si="258">O259+S259+W259+$AA259</f>
        <v>417.6331261</v>
      </c>
      <c r="AC259" s="60">
        <f t="shared" si="258"/>
        <v>980.3850804</v>
      </c>
      <c r="AD259" s="60">
        <f t="shared" si="258"/>
        <v>2117.69502</v>
      </c>
      <c r="AE259" s="60">
        <f t="shared" si="258"/>
        <v>2888.033594</v>
      </c>
      <c r="AF259" s="60">
        <f>IF(G259&gt;'Scope 3 Ratios'!$B$5,(G259-'Scope 3 Ratios'!$B$5)*('Scope 3 Ratios'!$B$6/'Scope 3 Ratios'!$B$5),0)</f>
        <v>993.0204</v>
      </c>
      <c r="AG259" s="60">
        <f>J259*IF(I259="SSD",'Scope 3 Ratios'!$B$9,'Scope 3 Ratios'!$B$8)</f>
        <v>0</v>
      </c>
      <c r="AH259" s="60">
        <f>IF(K259&lt;&gt;"N/A",K259*'Scope 3 Ratios'!$B$10,0)</f>
        <v>2400</v>
      </c>
      <c r="AI259" s="60">
        <f>(VLOOKUP($E259,'AWS Platforms Ratios'!$A$2:$O$25,3,FALSE)-1)*'Scope 3 Ratios'!$B$7</f>
        <v>100</v>
      </c>
      <c r="AJ259" s="60">
        <f>'Scope 3 Ratios'!$B$2+AF259+AG259+AH259+AI259</f>
        <v>4493.0204</v>
      </c>
      <c r="AK259" s="60">
        <f>AJ259*'Scope 3 Ratios'!$B$4*(C259/D259)</f>
        <v>57.78061214</v>
      </c>
      <c r="AL259" s="63" t="s">
        <v>518</v>
      </c>
    </row>
    <row r="260" ht="15.0" customHeight="1">
      <c r="A260" s="63" t="s">
        <v>519</v>
      </c>
      <c r="B260" s="56" t="s">
        <v>410</v>
      </c>
      <c r="C260" s="63">
        <v>64.0</v>
      </c>
      <c r="D260" s="56">
        <f>VLOOKUP(E260,'AWS Platforms Ratios'!$A$2:$B$25,2,FALSE)</f>
        <v>72</v>
      </c>
      <c r="E260" s="63" t="s">
        <v>269</v>
      </c>
      <c r="F260" s="63">
        <v>732.0</v>
      </c>
      <c r="G260" s="63">
        <v>732.0</v>
      </c>
      <c r="H260" s="64" t="s">
        <v>73</v>
      </c>
      <c r="I260" s="63" t="s">
        <v>72</v>
      </c>
      <c r="J260" s="63">
        <v>0.0</v>
      </c>
      <c r="K260" s="58">
        <v>16.0</v>
      </c>
      <c r="L260" s="69" t="s">
        <v>515</v>
      </c>
      <c r="M260" s="72">
        <v>16.0</v>
      </c>
      <c r="N260" s="69">
        <f t="shared" si="259"/>
        <v>384</v>
      </c>
      <c r="O260" s="59">
        <f>($C260/$D260)*VLOOKUP($E260,'AWS Platforms Ratios'!$A$2:$O$25,7,FALSE)</f>
        <v>31.09333333</v>
      </c>
      <c r="P260" s="59">
        <f>($C260/$D260)*VLOOKUP($E260,'AWS Platforms Ratios'!$A$2:$O$25,8,FALSE)</f>
        <v>88.76444444</v>
      </c>
      <c r="Q260" s="59">
        <f>($C260/$D260)*VLOOKUP($E260,'AWS Platforms Ratios'!$A$2:$O$25,9,FALSE)</f>
        <v>182.5688889</v>
      </c>
      <c r="R260" s="59">
        <f>($C260/$D260)*VLOOKUP($E260,'AWS Platforms Ratios'!$A$2:$O$25,10,FALSE)</f>
        <v>249.8955556</v>
      </c>
      <c r="S260" s="59">
        <f>$F260*VLOOKUP($E260,'AWS Platforms Ratios'!$A$2:$O$25,11,FALSE)</f>
        <v>146.4</v>
      </c>
      <c r="T260" s="59">
        <f>$F260*VLOOKUP($E260,'AWS Platforms Ratios'!$A$2:$O$25,12,FALSE)</f>
        <v>219.6</v>
      </c>
      <c r="U260" s="59">
        <f>$F260*VLOOKUP($E260,'AWS Platforms Ratios'!$A$2:$O$25,13,FALSE)</f>
        <v>292.8</v>
      </c>
      <c r="V260" s="59">
        <f>$F260*VLOOKUP($E260,'AWS Platforms Ratios'!$A$2:$O$25,14,FALSE)</f>
        <v>439.2</v>
      </c>
      <c r="W260" s="60">
        <f>IF($K260&lt;&gt;"N/A",$M260*(VLOOKUP($L260,'GPU Specs &amp; Ratios'!$B$2:$I$8,5,FALSE)),0)</f>
        <v>557.4173633</v>
      </c>
      <c r="X260" s="60">
        <f>IF($K260&lt;&gt;"N/A",$M260*(VLOOKUP($L260,'GPU Specs &amp; Ratios'!$B$2:$I$8,6,FALSE)),0)</f>
        <v>1527.650161</v>
      </c>
      <c r="Y260" s="60">
        <f>IF($K260&lt;&gt;"N/A",$M260*(VLOOKUP($L260,'GPU Specs &amp; Ratios'!$B$2:$I$8,7,FALSE)),0)</f>
        <v>3610.865595</v>
      </c>
      <c r="Z260" s="60">
        <f>IF($K260&lt;&gt;"N/A",$M260*(VLOOKUP($L260,'GPU Specs &amp; Ratios'!$B$2:$I$8,8,FALSE)),0)</f>
        <v>4889.016077</v>
      </c>
      <c r="AA260" s="60">
        <f>(C260/D260)*VLOOKUP($E260,'AWS Platforms Ratios'!$A$2:$O$25,15,FALSE)</f>
        <v>51.55555556</v>
      </c>
      <c r="AB260" s="60">
        <f t="shared" ref="AB260:AE260" si="260">O260+S260+W260+$AA260</f>
        <v>786.4662522</v>
      </c>
      <c r="AC260" s="60">
        <f t="shared" si="260"/>
        <v>1887.570161</v>
      </c>
      <c r="AD260" s="60">
        <f t="shared" si="260"/>
        <v>4137.790039</v>
      </c>
      <c r="AE260" s="60">
        <f t="shared" si="260"/>
        <v>5629.667188</v>
      </c>
      <c r="AF260" s="60">
        <f>IF(G260&gt;'Scope 3 Ratios'!$B$5,(G260-'Scope 3 Ratios'!$B$5)*('Scope 3 Ratios'!$B$6/'Scope 3 Ratios'!$B$5),0)</f>
        <v>993.0204</v>
      </c>
      <c r="AG260" s="60">
        <f>J260*IF(I260="SSD",'Scope 3 Ratios'!$B$9,'Scope 3 Ratios'!$B$8)</f>
        <v>0</v>
      </c>
      <c r="AH260" s="60">
        <f>IF(K260&lt;&gt;"N/A",K260*'Scope 3 Ratios'!$B$10,0)</f>
        <v>2400</v>
      </c>
      <c r="AI260" s="60">
        <f>(VLOOKUP($E260,'AWS Platforms Ratios'!$A$2:$O$25,3,FALSE)-1)*'Scope 3 Ratios'!$B$7</f>
        <v>100</v>
      </c>
      <c r="AJ260" s="60">
        <f>'Scope 3 Ratios'!$B$2+AF260+AG260+AH260+AI260</f>
        <v>4493.0204</v>
      </c>
      <c r="AK260" s="60">
        <f>AJ260*'Scope 3 Ratios'!$B$4*(C260/D260)</f>
        <v>115.5612243</v>
      </c>
      <c r="AL260" s="63" t="s">
        <v>520</v>
      </c>
    </row>
    <row r="261" ht="15.0" customHeight="1">
      <c r="A261" s="63" t="s">
        <v>521</v>
      </c>
      <c r="B261" s="56" t="s">
        <v>258</v>
      </c>
      <c r="C261" s="63">
        <v>8.0</v>
      </c>
      <c r="D261" s="56">
        <f>VLOOKUP(E261,'AWS Platforms Ratios'!$A$2:$B$25,2,FALSE)</f>
        <v>72</v>
      </c>
      <c r="E261" s="63" t="s">
        <v>269</v>
      </c>
      <c r="F261" s="63">
        <v>61.0</v>
      </c>
      <c r="G261" s="63">
        <v>768.0</v>
      </c>
      <c r="H261" s="64" t="s">
        <v>73</v>
      </c>
      <c r="I261" s="63" t="s">
        <v>85</v>
      </c>
      <c r="J261" s="63">
        <v>2.0</v>
      </c>
      <c r="K261" s="58">
        <v>8.0</v>
      </c>
      <c r="L261" s="72" t="s">
        <v>522</v>
      </c>
      <c r="M261" s="72">
        <v>1.0</v>
      </c>
      <c r="N261" s="72">
        <v>16.0</v>
      </c>
      <c r="O261" s="59">
        <f>($C261/$D261)*VLOOKUP($E261,'AWS Platforms Ratios'!$A$2:$O$25,7,FALSE)</f>
        <v>3.886666667</v>
      </c>
      <c r="P261" s="59">
        <f>($C261/$D261)*VLOOKUP($E261,'AWS Platforms Ratios'!$A$2:$O$25,8,FALSE)</f>
        <v>11.09555556</v>
      </c>
      <c r="Q261" s="59">
        <f>($C261/$D261)*VLOOKUP($E261,'AWS Platforms Ratios'!$A$2:$O$25,9,FALSE)</f>
        <v>22.82111111</v>
      </c>
      <c r="R261" s="59">
        <f>($C261/$D261)*VLOOKUP($E261,'AWS Platforms Ratios'!$A$2:$O$25,10,FALSE)</f>
        <v>31.23694444</v>
      </c>
      <c r="S261" s="59">
        <f>$F261*VLOOKUP($E261,'AWS Platforms Ratios'!$A$2:$O$25,11,FALSE)</f>
        <v>12.2</v>
      </c>
      <c r="T261" s="59">
        <f>$F261*VLOOKUP($E261,'AWS Platforms Ratios'!$A$2:$O$25,12,FALSE)</f>
        <v>18.3</v>
      </c>
      <c r="U261" s="59">
        <f>$F261*VLOOKUP($E261,'AWS Platforms Ratios'!$A$2:$O$25,13,FALSE)</f>
        <v>24.4</v>
      </c>
      <c r="V261" s="59">
        <f>$F261*VLOOKUP($E261,'AWS Platforms Ratios'!$A$2:$O$25,14,FALSE)</f>
        <v>36.6</v>
      </c>
      <c r="W261" s="60">
        <f>IF($K261&lt;&gt;"N/A",$M261*(VLOOKUP($L261,'GPU Specs &amp; Ratios'!$B$2:$I$8,5,FALSE)),0)</f>
        <v>34.83858521</v>
      </c>
      <c r="X261" s="60">
        <f>IF($K261&lt;&gt;"N/A",$M261*(VLOOKUP($L261,'GPU Specs &amp; Ratios'!$B$2:$I$8,6,FALSE)),0)</f>
        <v>95.47813505</v>
      </c>
      <c r="Y261" s="60">
        <f>IF($K261&lt;&gt;"N/A",$M261*(VLOOKUP($L261,'GPU Specs &amp; Ratios'!$B$2:$I$8,7,FALSE)),0)</f>
        <v>225.6790997</v>
      </c>
      <c r="Z261" s="60">
        <f>IF($K261&lt;&gt;"N/A",$M261*(VLOOKUP($L261,'GPU Specs &amp; Ratios'!$B$2:$I$8,8,FALSE)),0)</f>
        <v>305.5635048</v>
      </c>
      <c r="AA261" s="60">
        <f>(C261/D261)*VLOOKUP($E261,'AWS Platforms Ratios'!$A$2:$O$25,15,FALSE)</f>
        <v>6.444444444</v>
      </c>
      <c r="AB261" s="60">
        <f t="shared" ref="AB261:AE261" si="261">O261+S261+W261+$AA261</f>
        <v>57.36969632</v>
      </c>
      <c r="AC261" s="60">
        <f t="shared" si="261"/>
        <v>131.318135</v>
      </c>
      <c r="AD261" s="60">
        <f t="shared" si="261"/>
        <v>279.3446552</v>
      </c>
      <c r="AE261" s="60">
        <f t="shared" si="261"/>
        <v>379.8448937</v>
      </c>
      <c r="AF261" s="60">
        <f>IF(G261&gt;'Scope 3 Ratios'!$B$5,(G261-'Scope 3 Ratios'!$B$5)*('Scope 3 Ratios'!$B$6/'Scope 3 Ratios'!$B$5),0)</f>
        <v>1042.9488</v>
      </c>
      <c r="AG261" s="60">
        <f>J261*IF(I261="SSD",'Scope 3 Ratios'!$B$9,'Scope 3 Ratios'!$B$8)</f>
        <v>200</v>
      </c>
      <c r="AH261" s="60">
        <f>IF(K261&lt;&gt;"N/A",K261*'Scope 3 Ratios'!$B$10,0)</f>
        <v>1200</v>
      </c>
      <c r="AI261" s="60">
        <f>(VLOOKUP($E261,'AWS Platforms Ratios'!$A$2:$O$25,3,FALSE)-1)*'Scope 3 Ratios'!$B$7</f>
        <v>100</v>
      </c>
      <c r="AJ261" s="60">
        <f>'Scope 3 Ratios'!$B$2+AF261+AG261+AH261+AI261</f>
        <v>3542.9488</v>
      </c>
      <c r="AK261" s="60">
        <f>AJ261*'Scope 3 Ratios'!$B$4*(C261/D261)</f>
        <v>11.39065329</v>
      </c>
      <c r="AL261" s="63" t="s">
        <v>523</v>
      </c>
    </row>
    <row r="262" ht="15.0" customHeight="1">
      <c r="A262" s="63" t="s">
        <v>524</v>
      </c>
      <c r="B262" s="56" t="s">
        <v>258</v>
      </c>
      <c r="C262" s="63">
        <v>32.0</v>
      </c>
      <c r="D262" s="56">
        <f>VLOOKUP(E262,'AWS Platforms Ratios'!$A$2:$B$25,2,FALSE)</f>
        <v>72</v>
      </c>
      <c r="E262" s="63" t="s">
        <v>269</v>
      </c>
      <c r="F262" s="63">
        <v>244.0</v>
      </c>
      <c r="G262" s="63">
        <v>768.0</v>
      </c>
      <c r="H262" s="64" t="s">
        <v>73</v>
      </c>
      <c r="I262" s="63" t="s">
        <v>85</v>
      </c>
      <c r="J262" s="63">
        <v>2.0</v>
      </c>
      <c r="K262" s="58">
        <v>8.0</v>
      </c>
      <c r="L262" s="72" t="s">
        <v>522</v>
      </c>
      <c r="M262" s="72">
        <v>4.0</v>
      </c>
      <c r="N262" s="72">
        <v>64.0</v>
      </c>
      <c r="O262" s="59">
        <f>($C262/$D262)*VLOOKUP($E262,'AWS Platforms Ratios'!$A$2:$O$25,7,FALSE)</f>
        <v>15.54666667</v>
      </c>
      <c r="P262" s="59">
        <f>($C262/$D262)*VLOOKUP($E262,'AWS Platforms Ratios'!$A$2:$O$25,8,FALSE)</f>
        <v>44.38222222</v>
      </c>
      <c r="Q262" s="59">
        <f>($C262/$D262)*VLOOKUP($E262,'AWS Platforms Ratios'!$A$2:$O$25,9,FALSE)</f>
        <v>91.28444444</v>
      </c>
      <c r="R262" s="59">
        <f>($C262/$D262)*VLOOKUP($E262,'AWS Platforms Ratios'!$A$2:$O$25,10,FALSE)</f>
        <v>124.9477778</v>
      </c>
      <c r="S262" s="59">
        <f>$F262*VLOOKUP($E262,'AWS Platforms Ratios'!$A$2:$O$25,11,FALSE)</f>
        <v>48.8</v>
      </c>
      <c r="T262" s="59">
        <f>$F262*VLOOKUP($E262,'AWS Platforms Ratios'!$A$2:$O$25,12,FALSE)</f>
        <v>73.2</v>
      </c>
      <c r="U262" s="59">
        <f>$F262*VLOOKUP($E262,'AWS Platforms Ratios'!$A$2:$O$25,13,FALSE)</f>
        <v>97.6</v>
      </c>
      <c r="V262" s="59">
        <f>$F262*VLOOKUP($E262,'AWS Platforms Ratios'!$A$2:$O$25,14,FALSE)</f>
        <v>146.4</v>
      </c>
      <c r="W262" s="60">
        <f>IF($K262&lt;&gt;"N/A",$M262*(VLOOKUP($L262,'GPU Specs &amp; Ratios'!$B$2:$I$8,5,FALSE)),0)</f>
        <v>139.3543408</v>
      </c>
      <c r="X262" s="60">
        <f>IF($K262&lt;&gt;"N/A",$M262*(VLOOKUP($L262,'GPU Specs &amp; Ratios'!$B$2:$I$8,6,FALSE)),0)</f>
        <v>381.9125402</v>
      </c>
      <c r="Y262" s="60">
        <f>IF($K262&lt;&gt;"N/A",$M262*(VLOOKUP($L262,'GPU Specs &amp; Ratios'!$B$2:$I$8,7,FALSE)),0)</f>
        <v>902.7163987</v>
      </c>
      <c r="Z262" s="60">
        <f>IF($K262&lt;&gt;"N/A",$M262*(VLOOKUP($L262,'GPU Specs &amp; Ratios'!$B$2:$I$8,8,FALSE)),0)</f>
        <v>1222.254019</v>
      </c>
      <c r="AA262" s="60">
        <f>(C262/D262)*VLOOKUP($E262,'AWS Platforms Ratios'!$A$2:$O$25,15,FALSE)</f>
        <v>25.77777778</v>
      </c>
      <c r="AB262" s="60">
        <f t="shared" ref="AB262:AE262" si="262">O262+S262+W262+$AA262</f>
        <v>229.4787853</v>
      </c>
      <c r="AC262" s="60">
        <f t="shared" si="262"/>
        <v>525.2725402</v>
      </c>
      <c r="AD262" s="60">
        <f t="shared" si="262"/>
        <v>1117.378621</v>
      </c>
      <c r="AE262" s="60">
        <f t="shared" si="262"/>
        <v>1519.379575</v>
      </c>
      <c r="AF262" s="60">
        <f>IF(G262&gt;'Scope 3 Ratios'!$B$5,(G262-'Scope 3 Ratios'!$B$5)*('Scope 3 Ratios'!$B$6/'Scope 3 Ratios'!$B$5),0)</f>
        <v>1042.9488</v>
      </c>
      <c r="AG262" s="60">
        <f>J262*IF(I262="SSD",'Scope 3 Ratios'!$B$9,'Scope 3 Ratios'!$B$8)</f>
        <v>200</v>
      </c>
      <c r="AH262" s="60">
        <f>IF(K262&lt;&gt;"N/A",K262*'Scope 3 Ratios'!$B$10,0)</f>
        <v>1200</v>
      </c>
      <c r="AI262" s="60">
        <f>(VLOOKUP($E262,'AWS Platforms Ratios'!$A$2:$O$25,3,FALSE)-1)*'Scope 3 Ratios'!$B$7</f>
        <v>100</v>
      </c>
      <c r="AJ262" s="60">
        <f>'Scope 3 Ratios'!$B$2+AF262+AG262+AH262+AI262</f>
        <v>3542.9488</v>
      </c>
      <c r="AK262" s="60">
        <f>AJ262*'Scope 3 Ratios'!$B$4*(C262/D262)</f>
        <v>45.56261317</v>
      </c>
      <c r="AL262" s="63" t="s">
        <v>525</v>
      </c>
    </row>
    <row r="263" ht="15.0" customHeight="1">
      <c r="A263" s="63" t="s">
        <v>526</v>
      </c>
      <c r="B263" s="56" t="s">
        <v>258</v>
      </c>
      <c r="C263" s="63">
        <v>64.0</v>
      </c>
      <c r="D263" s="56">
        <f>VLOOKUP(E263,'AWS Platforms Ratios'!$A$2:$B$25,2,FALSE)</f>
        <v>72</v>
      </c>
      <c r="E263" s="63" t="s">
        <v>269</v>
      </c>
      <c r="F263" s="63">
        <v>488.0</v>
      </c>
      <c r="G263" s="63">
        <v>768.0</v>
      </c>
      <c r="H263" s="64" t="s">
        <v>73</v>
      </c>
      <c r="I263" s="63" t="s">
        <v>85</v>
      </c>
      <c r="J263" s="63">
        <v>2.0</v>
      </c>
      <c r="K263" s="58">
        <v>8.0</v>
      </c>
      <c r="L263" s="72" t="s">
        <v>522</v>
      </c>
      <c r="M263" s="72">
        <v>8.0</v>
      </c>
      <c r="N263" s="72">
        <v>128.0</v>
      </c>
      <c r="O263" s="59">
        <f>($C263/$D263)*VLOOKUP($E263,'AWS Platforms Ratios'!$A$2:$O$25,7,FALSE)</f>
        <v>31.09333333</v>
      </c>
      <c r="P263" s="59">
        <f>($C263/$D263)*VLOOKUP($E263,'AWS Platforms Ratios'!$A$2:$O$25,8,FALSE)</f>
        <v>88.76444444</v>
      </c>
      <c r="Q263" s="59">
        <f>($C263/$D263)*VLOOKUP($E263,'AWS Platforms Ratios'!$A$2:$O$25,9,FALSE)</f>
        <v>182.5688889</v>
      </c>
      <c r="R263" s="59">
        <f>($C263/$D263)*VLOOKUP($E263,'AWS Platforms Ratios'!$A$2:$O$25,10,FALSE)</f>
        <v>249.8955556</v>
      </c>
      <c r="S263" s="59">
        <f>$F263*VLOOKUP($E263,'AWS Platforms Ratios'!$A$2:$O$25,11,FALSE)</f>
        <v>97.6</v>
      </c>
      <c r="T263" s="59">
        <f>$F263*VLOOKUP($E263,'AWS Platforms Ratios'!$A$2:$O$25,12,FALSE)</f>
        <v>146.4</v>
      </c>
      <c r="U263" s="59">
        <f>$F263*VLOOKUP($E263,'AWS Platforms Ratios'!$A$2:$O$25,13,FALSE)</f>
        <v>195.2</v>
      </c>
      <c r="V263" s="59">
        <f>$F263*VLOOKUP($E263,'AWS Platforms Ratios'!$A$2:$O$25,14,FALSE)</f>
        <v>292.8</v>
      </c>
      <c r="W263" s="60">
        <f>IF($K263&lt;&gt;"N/A",$M263*(VLOOKUP($L263,'GPU Specs &amp; Ratios'!$B$2:$I$8,5,FALSE)),0)</f>
        <v>278.7086817</v>
      </c>
      <c r="X263" s="60">
        <f>IF($K263&lt;&gt;"N/A",$M263*(VLOOKUP($L263,'GPU Specs &amp; Ratios'!$B$2:$I$8,6,FALSE)),0)</f>
        <v>763.8250804</v>
      </c>
      <c r="Y263" s="60">
        <f>IF($K263&lt;&gt;"N/A",$M263*(VLOOKUP($L263,'GPU Specs &amp; Ratios'!$B$2:$I$8,7,FALSE)),0)</f>
        <v>1805.432797</v>
      </c>
      <c r="Z263" s="60">
        <f>IF($K263&lt;&gt;"N/A",$M263*(VLOOKUP($L263,'GPU Specs &amp; Ratios'!$B$2:$I$8,8,FALSE)),0)</f>
        <v>2444.508039</v>
      </c>
      <c r="AA263" s="60">
        <f>(C263/D263)*VLOOKUP($E263,'AWS Platforms Ratios'!$A$2:$O$25,15,FALSE)</f>
        <v>51.55555556</v>
      </c>
      <c r="AB263" s="60">
        <f t="shared" ref="AB263:AE263" si="263">O263+S263+W263+$AA263</f>
        <v>458.9575706</v>
      </c>
      <c r="AC263" s="60">
        <f t="shared" si="263"/>
        <v>1050.54508</v>
      </c>
      <c r="AD263" s="60">
        <f t="shared" si="263"/>
        <v>2234.757242</v>
      </c>
      <c r="AE263" s="60">
        <f t="shared" si="263"/>
        <v>3038.75915</v>
      </c>
      <c r="AF263" s="60">
        <f>IF(G263&gt;'Scope 3 Ratios'!$B$5,(G263-'Scope 3 Ratios'!$B$5)*('Scope 3 Ratios'!$B$6/'Scope 3 Ratios'!$B$5),0)</f>
        <v>1042.9488</v>
      </c>
      <c r="AG263" s="60">
        <f>J263*IF(I263="SSD",'Scope 3 Ratios'!$B$9,'Scope 3 Ratios'!$B$8)</f>
        <v>200</v>
      </c>
      <c r="AH263" s="60">
        <f>IF(K263&lt;&gt;"N/A",K263*'Scope 3 Ratios'!$B$10,0)</f>
        <v>1200</v>
      </c>
      <c r="AI263" s="60">
        <f>(VLOOKUP($E263,'AWS Platforms Ratios'!$A$2:$O$25,3,FALSE)-1)*'Scope 3 Ratios'!$B$7</f>
        <v>100</v>
      </c>
      <c r="AJ263" s="60">
        <f>'Scope 3 Ratios'!$B$2+AF263+AG263+AH263+AI263</f>
        <v>3542.9488</v>
      </c>
      <c r="AK263" s="60">
        <f>AJ263*'Scope 3 Ratios'!$B$4*(C263/D263)</f>
        <v>91.12522634</v>
      </c>
      <c r="AL263" s="63" t="s">
        <v>527</v>
      </c>
    </row>
    <row r="264" ht="15.0" customHeight="1">
      <c r="A264" s="63" t="s">
        <v>528</v>
      </c>
      <c r="B264" s="56" t="s">
        <v>529</v>
      </c>
      <c r="C264" s="63">
        <v>96.0</v>
      </c>
      <c r="D264" s="56">
        <f>VLOOKUP(E264,'AWS Platforms Ratios'!$A$2:$B$25,2,FALSE)</f>
        <v>96</v>
      </c>
      <c r="E264" s="63" t="s">
        <v>350</v>
      </c>
      <c r="F264" s="63">
        <v>768.0</v>
      </c>
      <c r="G264" s="63">
        <v>768.0</v>
      </c>
      <c r="H264" s="57" t="s">
        <v>156</v>
      </c>
      <c r="I264" s="63" t="s">
        <v>85</v>
      </c>
      <c r="J264" s="63">
        <v>2.0</v>
      </c>
      <c r="K264" s="58">
        <v>8.0</v>
      </c>
      <c r="L264" s="72" t="s">
        <v>522</v>
      </c>
      <c r="M264" s="72">
        <v>8.0</v>
      </c>
      <c r="N264" s="72">
        <v>256.0</v>
      </c>
      <c r="O264" s="59">
        <f>($C264/$D264)*VLOOKUP($E264,'AWS Platforms Ratios'!$A$2:$O$25,7,FALSE)</f>
        <v>57.88</v>
      </c>
      <c r="P264" s="59">
        <f>($C264/$D264)*VLOOKUP($E264,'AWS Platforms Ratios'!$A$2:$O$25,8,FALSE)</f>
        <v>146.63</v>
      </c>
      <c r="Q264" s="59">
        <f>($C264/$D264)*VLOOKUP($E264,'AWS Platforms Ratios'!$A$2:$O$25,9,FALSE)</f>
        <v>343.7</v>
      </c>
      <c r="R264" s="59">
        <f>($C264/$D264)*VLOOKUP($E264,'AWS Platforms Ratios'!$A$2:$O$25,10,FALSE)</f>
        <v>477.975</v>
      </c>
      <c r="S264" s="59">
        <f>$F264*VLOOKUP($E264,'AWS Platforms Ratios'!$A$2:$O$25,11,FALSE)</f>
        <v>115.62</v>
      </c>
      <c r="T264" s="59">
        <f>$F264*VLOOKUP($E264,'AWS Platforms Ratios'!$A$2:$O$25,12,FALSE)</f>
        <v>184.78</v>
      </c>
      <c r="U264" s="59">
        <f>$F264*VLOOKUP($E264,'AWS Platforms Ratios'!$A$2:$O$25,13,FALSE)</f>
        <v>476.2</v>
      </c>
      <c r="V264" s="59">
        <f>$F264*VLOOKUP($E264,'AWS Platforms Ratios'!$A$2:$O$25,14,FALSE)</f>
        <v>767.62</v>
      </c>
      <c r="W264" s="60">
        <f>IF($K264&lt;&gt;"N/A",$M264*(VLOOKUP($L264,'GPU Specs &amp; Ratios'!$B$2:$I$8,5,FALSE)),0)</f>
        <v>278.7086817</v>
      </c>
      <c r="X264" s="60">
        <f>IF($K264&lt;&gt;"N/A",$M264*(VLOOKUP($L264,'GPU Specs &amp; Ratios'!$B$2:$I$8,6,FALSE)),0)</f>
        <v>763.8250804</v>
      </c>
      <c r="Y264" s="60">
        <f>IF($K264&lt;&gt;"N/A",$M264*(VLOOKUP($L264,'GPU Specs &amp; Ratios'!$B$2:$I$8,7,FALSE)),0)</f>
        <v>1805.432797</v>
      </c>
      <c r="Z264" s="60">
        <f>IF($K264&lt;&gt;"N/A",$M264*(VLOOKUP($L264,'GPU Specs &amp; Ratios'!$B$2:$I$8,8,FALSE)),0)</f>
        <v>2444.508039</v>
      </c>
      <c r="AA264" s="60">
        <f>(C264/D264)*VLOOKUP($E264,'AWS Platforms Ratios'!$A$2:$O$25,15,FALSE)</f>
        <v>96</v>
      </c>
      <c r="AB264" s="60">
        <f t="shared" ref="AB264:AE264" si="264">O264+S264+W264+$AA264</f>
        <v>548.2086817</v>
      </c>
      <c r="AC264" s="60">
        <f t="shared" si="264"/>
        <v>1191.23508</v>
      </c>
      <c r="AD264" s="60">
        <f t="shared" si="264"/>
        <v>2721.332797</v>
      </c>
      <c r="AE264" s="60">
        <f t="shared" si="264"/>
        <v>3786.103039</v>
      </c>
      <c r="AF264" s="60">
        <f>IF(G264&gt;'Scope 3 Ratios'!$B$5,(G264-'Scope 3 Ratios'!$B$5)*('Scope 3 Ratios'!$B$6/'Scope 3 Ratios'!$B$5),0)</f>
        <v>1042.9488</v>
      </c>
      <c r="AG264" s="60">
        <f>J264*IF(I264="SSD",'Scope 3 Ratios'!$B$9,'Scope 3 Ratios'!$B$8)</f>
        <v>200</v>
      </c>
      <c r="AH264" s="60">
        <f>IF(K264&lt;&gt;"N/A",K264*'Scope 3 Ratios'!$B$10,0)</f>
        <v>1200</v>
      </c>
      <c r="AI264" s="60">
        <f>(VLOOKUP($E264,'AWS Platforms Ratios'!$A$2:$O$25,3,FALSE)-1)*'Scope 3 Ratios'!$B$7</f>
        <v>100</v>
      </c>
      <c r="AJ264" s="60">
        <f>'Scope 3 Ratios'!$B$2+AF264+AG264+AH264+AI264</f>
        <v>3542.9488</v>
      </c>
      <c r="AK264" s="60">
        <f>AJ264*'Scope 3 Ratios'!$B$4*(C264/D264)</f>
        <v>102.5158796</v>
      </c>
      <c r="AL264" s="63" t="s">
        <v>527</v>
      </c>
    </row>
    <row r="265" ht="15.0" customHeight="1">
      <c r="A265" s="63" t="s">
        <v>530</v>
      </c>
      <c r="B265" s="56" t="s">
        <v>512</v>
      </c>
      <c r="C265" s="63">
        <v>96.0</v>
      </c>
      <c r="D265" s="56">
        <f>VLOOKUP(E265,'AWS Platforms Ratios'!$A$2:$B$25,2,FALSE)</f>
        <v>96</v>
      </c>
      <c r="E265" s="63" t="s">
        <v>129</v>
      </c>
      <c r="F265" s="63">
        <v>1152.0</v>
      </c>
      <c r="G265" s="63">
        <v>1152.0</v>
      </c>
      <c r="H265" s="57" t="s">
        <v>531</v>
      </c>
      <c r="I265" s="63" t="s">
        <v>85</v>
      </c>
      <c r="J265" s="63">
        <v>8.0</v>
      </c>
      <c r="K265" s="58">
        <v>8.0</v>
      </c>
      <c r="L265" s="72" t="s">
        <v>532</v>
      </c>
      <c r="M265" s="72">
        <v>8.0</v>
      </c>
      <c r="N265" s="69">
        <f>M265*40</f>
        <v>320</v>
      </c>
      <c r="O265" s="59">
        <f>($C265/$D265)*VLOOKUP($E265,'AWS Platforms Ratios'!$A$2:$O$25,7,FALSE)</f>
        <v>57.93</v>
      </c>
      <c r="P265" s="59">
        <f>($C265/$D265)*VLOOKUP($E265,'AWS Platforms Ratios'!$A$2:$O$25,8,FALSE)</f>
        <v>175.53</v>
      </c>
      <c r="Q265" s="59">
        <f>($C265/$D265)*VLOOKUP($E265,'AWS Platforms Ratios'!$A$2:$O$25,9,FALSE)</f>
        <v>448.31</v>
      </c>
      <c r="R265" s="59">
        <f>($C265/$D265)*VLOOKUP($E265,'AWS Platforms Ratios'!$A$2:$O$25,10,FALSE)</f>
        <v>626.755</v>
      </c>
      <c r="S265" s="59">
        <f>$F265*VLOOKUP($E265,'AWS Platforms Ratios'!$A$2:$O$25,11,FALSE)</f>
        <v>219.3</v>
      </c>
      <c r="T265" s="59">
        <f>$F265*VLOOKUP($E265,'AWS Platforms Ratios'!$A$2:$O$25,12,FALSE)</f>
        <v>397.56</v>
      </c>
      <c r="U265" s="59">
        <f>$F265*VLOOKUP($E265,'AWS Platforms Ratios'!$A$2:$O$25,13,FALSE)</f>
        <v>830.22</v>
      </c>
      <c r="V265" s="59">
        <f>$F265*VLOOKUP($E265,'AWS Platforms Ratios'!$A$2:$O$25,14,FALSE)</f>
        <v>1262.88</v>
      </c>
      <c r="W265" s="60">
        <f>IF($K265&lt;&gt;"N/A",$M265*(VLOOKUP($L265,'GPU Specs &amp; Ratios'!$B$2:$I$8,5,FALSE)),0)</f>
        <v>371.6115756</v>
      </c>
      <c r="X265" s="60">
        <f>IF($K265&lt;&gt;"N/A",$M265*(VLOOKUP($L265,'GPU Specs &amp; Ratios'!$B$2:$I$8,6,FALSE)),0)</f>
        <v>1018.433441</v>
      </c>
      <c r="Y265" s="60">
        <f>IF($K265&lt;&gt;"N/A",$M265*(VLOOKUP($L265,'GPU Specs &amp; Ratios'!$B$2:$I$8,7,FALSE)),0)</f>
        <v>2407.24373</v>
      </c>
      <c r="Z265" s="60">
        <f>IF($K265&lt;&gt;"N/A",$M265*(VLOOKUP($L265,'GPU Specs &amp; Ratios'!$B$2:$I$8,8,FALSE)),0)</f>
        <v>3259.344051</v>
      </c>
      <c r="AA265" s="60">
        <f>(C265/D265)*VLOOKUP($E265,'AWS Platforms Ratios'!$A$2:$O$25,15,FALSE)</f>
        <v>96</v>
      </c>
      <c r="AB265" s="60">
        <f t="shared" ref="AB265:AE265" si="265">O265+S265+W265+$AA265</f>
        <v>744.8415756</v>
      </c>
      <c r="AC265" s="60">
        <f t="shared" si="265"/>
        <v>1687.523441</v>
      </c>
      <c r="AD265" s="60">
        <f t="shared" si="265"/>
        <v>3781.77373</v>
      </c>
      <c r="AE265" s="60">
        <f t="shared" si="265"/>
        <v>5244.979051</v>
      </c>
      <c r="AF265" s="60">
        <f>IF(G265&gt;'Scope 3 Ratios'!$B$5,(G265-'Scope 3 Ratios'!$B$5)*('Scope 3 Ratios'!$B$6/'Scope 3 Ratios'!$B$5),0)</f>
        <v>1575.5184</v>
      </c>
      <c r="AG265" s="60">
        <f>J265*IF(I265="SSD",'Scope 3 Ratios'!$B$9,'Scope 3 Ratios'!$B$8)</f>
        <v>800</v>
      </c>
      <c r="AH265" s="60">
        <f>IF(K265&lt;&gt;"N/A",K265*'Scope 3 Ratios'!$B$10,0)</f>
        <v>1200</v>
      </c>
      <c r="AI265" s="60">
        <f>(VLOOKUP($E265,'AWS Platforms Ratios'!$A$2:$O$25,3,FALSE)-1)*'Scope 3 Ratios'!$B$7</f>
        <v>100</v>
      </c>
      <c r="AJ265" s="60">
        <f>'Scope 3 Ratios'!$B$2+AF265+AG265+AH265+AI265</f>
        <v>4675.5184</v>
      </c>
      <c r="AK265" s="60">
        <f>AJ265*'Scope 3 Ratios'!$B$4*(C265/D265)</f>
        <v>135.2869907</v>
      </c>
      <c r="AL265" s="63" t="s">
        <v>533</v>
      </c>
    </row>
    <row r="266" ht="15.0" customHeight="1">
      <c r="A266" s="56" t="s">
        <v>534</v>
      </c>
      <c r="B266" s="56" t="s">
        <v>188</v>
      </c>
      <c r="C266" s="56">
        <v>12.0</v>
      </c>
      <c r="D266" s="56">
        <f>VLOOKUP(E266,'AWS Platforms Ratios'!$A$2:$B$25,2,FALSE)</f>
        <v>48</v>
      </c>
      <c r="E266" s="57" t="s">
        <v>225</v>
      </c>
      <c r="F266" s="56">
        <v>96.0</v>
      </c>
      <c r="G266" s="56">
        <v>384.0</v>
      </c>
      <c r="H266" s="57" t="s">
        <v>535</v>
      </c>
      <c r="I266" s="56" t="s">
        <v>536</v>
      </c>
      <c r="J266" s="70">
        <v>10.0</v>
      </c>
      <c r="K266" s="58" t="s">
        <v>73</v>
      </c>
      <c r="L266" s="58" t="s">
        <v>73</v>
      </c>
      <c r="M266" s="58" t="s">
        <v>73</v>
      </c>
      <c r="N266" s="58" t="s">
        <v>73</v>
      </c>
      <c r="O266" s="59">
        <f>($C266/$D266)*VLOOKUP($E266,'AWS Platforms Ratios'!$A$2:$O$25,7,FALSE)</f>
        <v>7.237241379</v>
      </c>
      <c r="P266" s="59">
        <f>($C266/$D266)*VLOOKUP($E266,'AWS Platforms Ratios'!$A$2:$O$25,8,FALSE)</f>
        <v>20.66068966</v>
      </c>
      <c r="Q266" s="59">
        <f>($C266/$D266)*VLOOKUP($E266,'AWS Platforms Ratios'!$A$2:$O$25,9,FALSE)</f>
        <v>42.49448276</v>
      </c>
      <c r="R266" s="59">
        <f>($C266/$D266)*VLOOKUP($E266,'AWS Platforms Ratios'!$A$2:$O$25,10,FALSE)</f>
        <v>58.16534483</v>
      </c>
      <c r="S266" s="59">
        <f>$F266*VLOOKUP($E266,'AWS Platforms Ratios'!$A$2:$O$25,11,FALSE)</f>
        <v>19.2</v>
      </c>
      <c r="T266" s="59">
        <f>$F266*VLOOKUP($E266,'AWS Platforms Ratios'!$A$2:$O$25,12,FALSE)</f>
        <v>28.8</v>
      </c>
      <c r="U266" s="59">
        <f>$F266*VLOOKUP($E266,'AWS Platforms Ratios'!$A$2:$O$25,13,FALSE)</f>
        <v>38.4</v>
      </c>
      <c r="V266" s="59">
        <f>$F266*VLOOKUP($E266,'AWS Platforms Ratios'!$A$2:$O$25,14,FALSE)</f>
        <v>57.6</v>
      </c>
      <c r="W266" s="60">
        <f>IF($K266&lt;&gt;"N/A",$M266*(VLOOKUP($L266,'GPU Specs &amp; Ratios'!$B$2:$I$8,5,FALSE)),0)</f>
        <v>0</v>
      </c>
      <c r="X266" s="60">
        <f>IF($K266&lt;&gt;"N/A",$M266*(VLOOKUP($L266,'GPU Specs &amp; Ratios'!$B$2:$I$8,6,FALSE)),0)</f>
        <v>0</v>
      </c>
      <c r="Y266" s="60">
        <f>IF($K266&lt;&gt;"N/A",$M266*(VLOOKUP($L266,'GPU Specs &amp; Ratios'!$B$2:$I$8,7,FALSE)),0)</f>
        <v>0</v>
      </c>
      <c r="Z266" s="60">
        <f>IF($K266&lt;&gt;"N/A",$M266*(VLOOKUP($L266,'GPU Specs &amp; Ratios'!$B$2:$I$8,8,FALSE)),0)</f>
        <v>0</v>
      </c>
      <c r="AA266" s="60">
        <f>(C266/D266)*VLOOKUP($E266,'AWS Platforms Ratios'!$A$2:$O$25,15,FALSE)</f>
        <v>12</v>
      </c>
      <c r="AB266" s="60">
        <f t="shared" ref="AB266:AE266" si="266">O266+S266+W266+$AA266</f>
        <v>38.43724138</v>
      </c>
      <c r="AC266" s="60">
        <f t="shared" si="266"/>
        <v>61.46068966</v>
      </c>
      <c r="AD266" s="60">
        <f t="shared" si="266"/>
        <v>92.89448276</v>
      </c>
      <c r="AE266" s="60">
        <f t="shared" si="266"/>
        <v>127.7653448</v>
      </c>
      <c r="AF266" s="60">
        <f>IF(G266&gt;'Scope 3 Ratios'!$B$5,(G266-'Scope 3 Ratios'!$B$5)*('Scope 3 Ratios'!$B$6/'Scope 3 Ratios'!$B$5),0)</f>
        <v>510.3792</v>
      </c>
      <c r="AG266" s="60">
        <f>J266*IF(I266="SSD",'Scope 3 Ratios'!$B$9,'Scope 3 Ratios'!$B$8)</f>
        <v>500</v>
      </c>
      <c r="AH266" s="60">
        <f>IF(K266&lt;&gt;"N/A",K266*'Scope 3 Ratios'!$B$10,0)</f>
        <v>0</v>
      </c>
      <c r="AI266" s="60">
        <f>(VLOOKUP($E266,'AWS Platforms Ratios'!$A$2:$O$25,3,FALSE)-1)*'Scope 3 Ratios'!$B$7</f>
        <v>100</v>
      </c>
      <c r="AJ266" s="60">
        <f>'Scope 3 Ratios'!$B$2+AF266+AG266+AH266+AI266</f>
        <v>2110.3792</v>
      </c>
      <c r="AK266" s="60">
        <f>AJ266*'Scope 3 Ratios'!$B$4*(C266/D266)</f>
        <v>15.26605324</v>
      </c>
      <c r="AL266" s="68" t="s">
        <v>537</v>
      </c>
    </row>
    <row r="267" ht="15.0" customHeight="1">
      <c r="A267" s="56" t="s">
        <v>538</v>
      </c>
      <c r="B267" s="56" t="s">
        <v>188</v>
      </c>
      <c r="C267" s="56">
        <v>48.0</v>
      </c>
      <c r="D267" s="56">
        <f>VLOOKUP(E267,'AWS Platforms Ratios'!$A$2:$B$25,2,FALSE)</f>
        <v>48</v>
      </c>
      <c r="E267" s="57" t="s">
        <v>225</v>
      </c>
      <c r="F267" s="56">
        <v>384.0</v>
      </c>
      <c r="G267" s="56">
        <v>384.0</v>
      </c>
      <c r="H267" s="57" t="s">
        <v>535</v>
      </c>
      <c r="I267" s="56" t="s">
        <v>536</v>
      </c>
      <c r="J267" s="70">
        <v>10.0</v>
      </c>
      <c r="K267" s="58" t="s">
        <v>73</v>
      </c>
      <c r="L267" s="58" t="s">
        <v>73</v>
      </c>
      <c r="M267" s="58" t="s">
        <v>73</v>
      </c>
      <c r="N267" s="58" t="s">
        <v>73</v>
      </c>
      <c r="O267" s="59">
        <f>($C267/$D267)*VLOOKUP($E267,'AWS Platforms Ratios'!$A$2:$O$25,7,FALSE)</f>
        <v>28.94896552</v>
      </c>
      <c r="P267" s="59">
        <f>($C267/$D267)*VLOOKUP($E267,'AWS Platforms Ratios'!$A$2:$O$25,8,FALSE)</f>
        <v>82.64275862</v>
      </c>
      <c r="Q267" s="59">
        <f>($C267/$D267)*VLOOKUP($E267,'AWS Platforms Ratios'!$A$2:$O$25,9,FALSE)</f>
        <v>169.977931</v>
      </c>
      <c r="R267" s="59">
        <f>($C267/$D267)*VLOOKUP($E267,'AWS Platforms Ratios'!$A$2:$O$25,10,FALSE)</f>
        <v>232.6613793</v>
      </c>
      <c r="S267" s="59">
        <f>$F267*VLOOKUP($E267,'AWS Platforms Ratios'!$A$2:$O$25,11,FALSE)</f>
        <v>76.8</v>
      </c>
      <c r="T267" s="59">
        <f>$F267*VLOOKUP($E267,'AWS Platforms Ratios'!$A$2:$O$25,12,FALSE)</f>
        <v>115.2</v>
      </c>
      <c r="U267" s="59">
        <f>$F267*VLOOKUP($E267,'AWS Platforms Ratios'!$A$2:$O$25,13,FALSE)</f>
        <v>153.6</v>
      </c>
      <c r="V267" s="59">
        <f>$F267*VLOOKUP($E267,'AWS Platforms Ratios'!$A$2:$O$25,14,FALSE)</f>
        <v>230.4</v>
      </c>
      <c r="W267" s="60">
        <f>IF($K267&lt;&gt;"N/A",$M267*(VLOOKUP($L267,'GPU Specs &amp; Ratios'!$B$2:$I$8,5,FALSE)),0)</f>
        <v>0</v>
      </c>
      <c r="X267" s="60">
        <f>IF($K267&lt;&gt;"N/A",$M267*(VLOOKUP($L267,'GPU Specs &amp; Ratios'!$B$2:$I$8,6,FALSE)),0)</f>
        <v>0</v>
      </c>
      <c r="Y267" s="60">
        <f>IF($K267&lt;&gt;"N/A",$M267*(VLOOKUP($L267,'GPU Specs &amp; Ratios'!$B$2:$I$8,7,FALSE)),0)</f>
        <v>0</v>
      </c>
      <c r="Z267" s="60">
        <f>IF($K267&lt;&gt;"N/A",$M267*(VLOOKUP($L267,'GPU Specs &amp; Ratios'!$B$2:$I$8,8,FALSE)),0)</f>
        <v>0</v>
      </c>
      <c r="AA267" s="60">
        <f>(C267/D267)*VLOOKUP($E267,'AWS Platforms Ratios'!$A$2:$O$25,15,FALSE)</f>
        <v>48</v>
      </c>
      <c r="AB267" s="60">
        <f t="shared" ref="AB267:AE267" si="267">O267+S267+W267+$AA267</f>
        <v>153.7489655</v>
      </c>
      <c r="AC267" s="60">
        <f t="shared" si="267"/>
        <v>245.8427586</v>
      </c>
      <c r="AD267" s="60">
        <f t="shared" si="267"/>
        <v>371.577931</v>
      </c>
      <c r="AE267" s="60">
        <f t="shared" si="267"/>
        <v>511.0613793</v>
      </c>
      <c r="AF267" s="60">
        <f>IF(G267&gt;'Scope 3 Ratios'!$B$5,(G267-'Scope 3 Ratios'!$B$5)*('Scope 3 Ratios'!$B$6/'Scope 3 Ratios'!$B$5),0)</f>
        <v>510.3792</v>
      </c>
      <c r="AG267" s="60">
        <f>J267*IF(I267="SSD",'Scope 3 Ratios'!$B$9,'Scope 3 Ratios'!$B$8)</f>
        <v>500</v>
      </c>
      <c r="AH267" s="60">
        <f>IF(K267&lt;&gt;"N/A",K267*'Scope 3 Ratios'!$B$10,0)</f>
        <v>0</v>
      </c>
      <c r="AI267" s="60">
        <f>(VLOOKUP($E267,'AWS Platforms Ratios'!$A$2:$O$25,3,FALSE)-1)*'Scope 3 Ratios'!$B$7</f>
        <v>100</v>
      </c>
      <c r="AJ267" s="60">
        <f>'Scope 3 Ratios'!$B$2+AF267+AG267+AH267+AI267</f>
        <v>2110.3792</v>
      </c>
      <c r="AK267" s="60">
        <f>AJ267*'Scope 3 Ratios'!$B$4*(C267/D267)</f>
        <v>61.06421296</v>
      </c>
      <c r="AL267" s="68" t="s">
        <v>537</v>
      </c>
    </row>
    <row r="268" ht="15.0" customHeight="1">
      <c r="A268" s="56" t="s">
        <v>539</v>
      </c>
      <c r="B268" s="56" t="s">
        <v>540</v>
      </c>
      <c r="C268" s="56">
        <v>2.0</v>
      </c>
      <c r="D268" s="56">
        <f>VLOOKUP(E268,'AWS Platforms Ratios'!$A$2:$B$25,2,FALSE)</f>
        <v>40</v>
      </c>
      <c r="E268" s="57" t="s">
        <v>259</v>
      </c>
      <c r="F268" s="56">
        <v>15.25</v>
      </c>
      <c r="G268" s="56">
        <v>244.0</v>
      </c>
      <c r="H268" s="57" t="s">
        <v>399</v>
      </c>
      <c r="I268" s="56" t="s">
        <v>85</v>
      </c>
      <c r="J268" s="56">
        <v>2.0</v>
      </c>
      <c r="K268" s="58" t="s">
        <v>73</v>
      </c>
      <c r="L268" s="58" t="s">
        <v>73</v>
      </c>
      <c r="M268" s="58" t="s">
        <v>73</v>
      </c>
      <c r="N268" s="58" t="s">
        <v>73</v>
      </c>
      <c r="O268" s="59">
        <f>($C268/$D268)*VLOOKUP($E268,'AWS Platforms Ratios'!$A$2:$O$25,7,FALSE)</f>
        <v>1.387137931</v>
      </c>
      <c r="P268" s="59">
        <f>($C268/$D268)*VLOOKUP($E268,'AWS Platforms Ratios'!$A$2:$O$25,8,FALSE)</f>
        <v>3.959965517</v>
      </c>
      <c r="Q268" s="59">
        <f>($C268/$D268)*VLOOKUP($E268,'AWS Platforms Ratios'!$A$2:$O$25,9,FALSE)</f>
        <v>8.144775862</v>
      </c>
      <c r="R268" s="59">
        <f>($C268/$D268)*VLOOKUP($E268,'AWS Platforms Ratios'!$A$2:$O$25,10,FALSE)</f>
        <v>11.14835776</v>
      </c>
      <c r="S268" s="59">
        <f>$F268*VLOOKUP($E268,'AWS Platforms Ratios'!$A$2:$O$25,11,FALSE)</f>
        <v>3.05</v>
      </c>
      <c r="T268" s="59">
        <f>$F268*VLOOKUP($E268,'AWS Platforms Ratios'!$A$2:$O$25,12,FALSE)</f>
        <v>4.575</v>
      </c>
      <c r="U268" s="59">
        <f>$F268*VLOOKUP($E268,'AWS Platforms Ratios'!$A$2:$O$25,13,FALSE)</f>
        <v>6.1</v>
      </c>
      <c r="V268" s="59">
        <f>$F268*VLOOKUP($E268,'AWS Platforms Ratios'!$A$2:$O$25,14,FALSE)</f>
        <v>9.15</v>
      </c>
      <c r="W268" s="60">
        <f>IF($K268&lt;&gt;"N/A",$M268*(VLOOKUP($L268,'GPU Specs &amp; Ratios'!$B$2:$I$8,5,FALSE)),0)</f>
        <v>0</v>
      </c>
      <c r="X268" s="60">
        <f>IF($K268&lt;&gt;"N/A",$M268*(VLOOKUP($L268,'GPU Specs &amp; Ratios'!$B$2:$I$8,6,FALSE)),0)</f>
        <v>0</v>
      </c>
      <c r="Y268" s="60">
        <f>IF($K268&lt;&gt;"N/A",$M268*(VLOOKUP($L268,'GPU Specs &amp; Ratios'!$B$2:$I$8,7,FALSE)),0)</f>
        <v>0</v>
      </c>
      <c r="Z268" s="60">
        <f>IF($K268&lt;&gt;"N/A",$M268*(VLOOKUP($L268,'GPU Specs &amp; Ratios'!$B$2:$I$8,8,FALSE)),0)</f>
        <v>0</v>
      </c>
      <c r="AA268" s="60">
        <f>(C268/D268)*VLOOKUP($E268,'AWS Platforms Ratios'!$A$2:$O$25,15,FALSE)</f>
        <v>2.3</v>
      </c>
      <c r="AB268" s="60">
        <f t="shared" ref="AB268:AE268" si="268">O268+S268+W268+$AA268</f>
        <v>6.737137931</v>
      </c>
      <c r="AC268" s="60">
        <f t="shared" si="268"/>
        <v>10.83496552</v>
      </c>
      <c r="AD268" s="60">
        <f t="shared" si="268"/>
        <v>16.54477586</v>
      </c>
      <c r="AE268" s="60">
        <f t="shared" si="268"/>
        <v>22.59835776</v>
      </c>
      <c r="AF268" s="60">
        <f>IF(G268&gt;'Scope 3 Ratios'!$B$5,(G268-'Scope 3 Ratios'!$B$5)*('Scope 3 Ratios'!$B$6/'Scope 3 Ratios'!$B$5),0)</f>
        <v>316.2132</v>
      </c>
      <c r="AG268" s="60">
        <f>J268*IF(I268="SSD",'Scope 3 Ratios'!$B$9,'Scope 3 Ratios'!$B$8)</f>
        <v>200</v>
      </c>
      <c r="AH268" s="60">
        <f>IF(K268&lt;&gt;"N/A",K268*'Scope 3 Ratios'!$B$10,0)</f>
        <v>0</v>
      </c>
      <c r="AI268" s="60">
        <f>(VLOOKUP($E268,'AWS Platforms Ratios'!$A$2:$O$25,3,FALSE)-1)*'Scope 3 Ratios'!$B$7</f>
        <v>100</v>
      </c>
      <c r="AJ268" s="60">
        <f>'Scope 3 Ratios'!$B$2+AF268+AG268+AH268+AI268</f>
        <v>1616.2132</v>
      </c>
      <c r="AK268" s="60">
        <f>AJ268*'Scope 3 Ratios'!$B$4*(C268/D268)</f>
        <v>2.338271412</v>
      </c>
      <c r="AL268" s="61" t="s">
        <v>541</v>
      </c>
    </row>
    <row r="269" ht="15.0" customHeight="1">
      <c r="A269" s="56" t="s">
        <v>542</v>
      </c>
      <c r="B269" s="56" t="s">
        <v>540</v>
      </c>
      <c r="C269" s="56">
        <v>4.0</v>
      </c>
      <c r="D269" s="56">
        <f>VLOOKUP(E269,'AWS Platforms Ratios'!$A$2:$B$25,2,FALSE)</f>
        <v>40</v>
      </c>
      <c r="E269" s="57" t="s">
        <v>259</v>
      </c>
      <c r="F269" s="56">
        <v>30.5</v>
      </c>
      <c r="G269" s="56">
        <v>244.0</v>
      </c>
      <c r="H269" s="57" t="s">
        <v>543</v>
      </c>
      <c r="I269" s="56" t="s">
        <v>85</v>
      </c>
      <c r="J269" s="56">
        <v>2.0</v>
      </c>
      <c r="K269" s="58" t="s">
        <v>73</v>
      </c>
      <c r="L269" s="58" t="s">
        <v>73</v>
      </c>
      <c r="M269" s="58" t="s">
        <v>73</v>
      </c>
      <c r="N269" s="58" t="s">
        <v>73</v>
      </c>
      <c r="O269" s="59">
        <f>($C269/$D269)*VLOOKUP($E269,'AWS Platforms Ratios'!$A$2:$O$25,7,FALSE)</f>
        <v>2.774275862</v>
      </c>
      <c r="P269" s="59">
        <f>($C269/$D269)*VLOOKUP($E269,'AWS Platforms Ratios'!$A$2:$O$25,8,FALSE)</f>
        <v>7.919931034</v>
      </c>
      <c r="Q269" s="59">
        <f>($C269/$D269)*VLOOKUP($E269,'AWS Platforms Ratios'!$A$2:$O$25,9,FALSE)</f>
        <v>16.28955172</v>
      </c>
      <c r="R269" s="59">
        <f>($C269/$D269)*VLOOKUP($E269,'AWS Platforms Ratios'!$A$2:$O$25,10,FALSE)</f>
        <v>22.29671552</v>
      </c>
      <c r="S269" s="59">
        <f>$F269*VLOOKUP($E269,'AWS Platforms Ratios'!$A$2:$O$25,11,FALSE)</f>
        <v>6.1</v>
      </c>
      <c r="T269" s="59">
        <f>$F269*VLOOKUP($E269,'AWS Platforms Ratios'!$A$2:$O$25,12,FALSE)</f>
        <v>9.15</v>
      </c>
      <c r="U269" s="59">
        <f>$F269*VLOOKUP($E269,'AWS Platforms Ratios'!$A$2:$O$25,13,FALSE)</f>
        <v>12.2</v>
      </c>
      <c r="V269" s="59">
        <f>$F269*VLOOKUP($E269,'AWS Platforms Ratios'!$A$2:$O$25,14,FALSE)</f>
        <v>18.3</v>
      </c>
      <c r="W269" s="60">
        <f>IF($K269&lt;&gt;"N/A",$M269*(VLOOKUP($L269,'GPU Specs &amp; Ratios'!$B$2:$I$8,5,FALSE)),0)</f>
        <v>0</v>
      </c>
      <c r="X269" s="60">
        <f>IF($K269&lt;&gt;"N/A",$M269*(VLOOKUP($L269,'GPU Specs &amp; Ratios'!$B$2:$I$8,6,FALSE)),0)</f>
        <v>0</v>
      </c>
      <c r="Y269" s="60">
        <f>IF($K269&lt;&gt;"N/A",$M269*(VLOOKUP($L269,'GPU Specs &amp; Ratios'!$B$2:$I$8,7,FALSE)),0)</f>
        <v>0</v>
      </c>
      <c r="Z269" s="60">
        <f>IF($K269&lt;&gt;"N/A",$M269*(VLOOKUP($L269,'GPU Specs &amp; Ratios'!$B$2:$I$8,8,FALSE)),0)</f>
        <v>0</v>
      </c>
      <c r="AA269" s="60">
        <f>(C269/D269)*VLOOKUP($E269,'AWS Platforms Ratios'!$A$2:$O$25,15,FALSE)</f>
        <v>4.6</v>
      </c>
      <c r="AB269" s="60">
        <f t="shared" ref="AB269:AE269" si="269">O269+S269+W269+$AA269</f>
        <v>13.47427586</v>
      </c>
      <c r="AC269" s="60">
        <f t="shared" si="269"/>
        <v>21.66993103</v>
      </c>
      <c r="AD269" s="60">
        <f t="shared" si="269"/>
        <v>33.08955172</v>
      </c>
      <c r="AE269" s="60">
        <f t="shared" si="269"/>
        <v>45.19671552</v>
      </c>
      <c r="AF269" s="60">
        <f>IF(G269&gt;'Scope 3 Ratios'!$B$5,(G269-'Scope 3 Ratios'!$B$5)*('Scope 3 Ratios'!$B$6/'Scope 3 Ratios'!$B$5),0)</f>
        <v>316.2132</v>
      </c>
      <c r="AG269" s="60">
        <f>J269*IF(I269="SSD",'Scope 3 Ratios'!$B$9,'Scope 3 Ratios'!$B$8)</f>
        <v>200</v>
      </c>
      <c r="AH269" s="60">
        <f>IF(K269&lt;&gt;"N/A",K269*'Scope 3 Ratios'!$B$10,0)</f>
        <v>0</v>
      </c>
      <c r="AI269" s="60">
        <f>(VLOOKUP($E269,'AWS Platforms Ratios'!$A$2:$O$25,3,FALSE)-1)*'Scope 3 Ratios'!$B$7</f>
        <v>100</v>
      </c>
      <c r="AJ269" s="60">
        <f>'Scope 3 Ratios'!$B$2+AF269+AG269+AH269+AI269</f>
        <v>1616.2132</v>
      </c>
      <c r="AK269" s="60">
        <f>AJ269*'Scope 3 Ratios'!$B$4*(C269/D269)</f>
        <v>4.676542824</v>
      </c>
      <c r="AL269" s="61" t="s">
        <v>541</v>
      </c>
    </row>
    <row r="270" ht="15.0" customHeight="1">
      <c r="A270" s="56" t="s">
        <v>544</v>
      </c>
      <c r="B270" s="56" t="s">
        <v>540</v>
      </c>
      <c r="C270" s="56">
        <v>8.0</v>
      </c>
      <c r="D270" s="56">
        <f>VLOOKUP(E270,'AWS Platforms Ratios'!$A$2:$B$25,2,FALSE)</f>
        <v>40</v>
      </c>
      <c r="E270" s="57" t="s">
        <v>259</v>
      </c>
      <c r="F270" s="56">
        <v>61.0</v>
      </c>
      <c r="G270" s="56">
        <v>244.0</v>
      </c>
      <c r="H270" s="57" t="s">
        <v>377</v>
      </c>
      <c r="I270" s="56" t="s">
        <v>85</v>
      </c>
      <c r="J270" s="56">
        <v>2.0</v>
      </c>
      <c r="K270" s="58" t="s">
        <v>73</v>
      </c>
      <c r="L270" s="58" t="s">
        <v>73</v>
      </c>
      <c r="M270" s="58" t="s">
        <v>73</v>
      </c>
      <c r="N270" s="58" t="s">
        <v>73</v>
      </c>
      <c r="O270" s="59">
        <f>($C270/$D270)*VLOOKUP($E270,'AWS Platforms Ratios'!$A$2:$O$25,7,FALSE)</f>
        <v>5.548551724</v>
      </c>
      <c r="P270" s="59">
        <f>($C270/$D270)*VLOOKUP($E270,'AWS Platforms Ratios'!$A$2:$O$25,8,FALSE)</f>
        <v>15.83986207</v>
      </c>
      <c r="Q270" s="59">
        <f>($C270/$D270)*VLOOKUP($E270,'AWS Platforms Ratios'!$A$2:$O$25,9,FALSE)</f>
        <v>32.57910345</v>
      </c>
      <c r="R270" s="59">
        <f>($C270/$D270)*VLOOKUP($E270,'AWS Platforms Ratios'!$A$2:$O$25,10,FALSE)</f>
        <v>44.59343103</v>
      </c>
      <c r="S270" s="59">
        <f>$F270*VLOOKUP($E270,'AWS Platforms Ratios'!$A$2:$O$25,11,FALSE)</f>
        <v>12.2</v>
      </c>
      <c r="T270" s="59">
        <f>$F270*VLOOKUP($E270,'AWS Platforms Ratios'!$A$2:$O$25,12,FALSE)</f>
        <v>18.3</v>
      </c>
      <c r="U270" s="59">
        <f>$F270*VLOOKUP($E270,'AWS Platforms Ratios'!$A$2:$O$25,13,FALSE)</f>
        <v>24.4</v>
      </c>
      <c r="V270" s="59">
        <f>$F270*VLOOKUP($E270,'AWS Platforms Ratios'!$A$2:$O$25,14,FALSE)</f>
        <v>36.6</v>
      </c>
      <c r="W270" s="60">
        <f>IF($K270&lt;&gt;"N/A",$M270*(VLOOKUP($L270,'GPU Specs &amp; Ratios'!$B$2:$I$8,5,FALSE)),0)</f>
        <v>0</v>
      </c>
      <c r="X270" s="60">
        <f>IF($K270&lt;&gt;"N/A",$M270*(VLOOKUP($L270,'GPU Specs &amp; Ratios'!$B$2:$I$8,6,FALSE)),0)</f>
        <v>0</v>
      </c>
      <c r="Y270" s="60">
        <f>IF($K270&lt;&gt;"N/A",$M270*(VLOOKUP($L270,'GPU Specs &amp; Ratios'!$B$2:$I$8,7,FALSE)),0)</f>
        <v>0</v>
      </c>
      <c r="Z270" s="60">
        <f>IF($K270&lt;&gt;"N/A",$M270*(VLOOKUP($L270,'GPU Specs &amp; Ratios'!$B$2:$I$8,8,FALSE)),0)</f>
        <v>0</v>
      </c>
      <c r="AA270" s="60">
        <f>(C270/D270)*VLOOKUP($E270,'AWS Platforms Ratios'!$A$2:$O$25,15,FALSE)</f>
        <v>9.2</v>
      </c>
      <c r="AB270" s="60">
        <f t="shared" ref="AB270:AE270" si="270">O270+S270+W270+$AA270</f>
        <v>26.94855172</v>
      </c>
      <c r="AC270" s="60">
        <f t="shared" si="270"/>
        <v>43.33986207</v>
      </c>
      <c r="AD270" s="60">
        <f t="shared" si="270"/>
        <v>66.17910345</v>
      </c>
      <c r="AE270" s="60">
        <f t="shared" si="270"/>
        <v>90.39343103</v>
      </c>
      <c r="AF270" s="60">
        <f>IF(G270&gt;'Scope 3 Ratios'!$B$5,(G270-'Scope 3 Ratios'!$B$5)*('Scope 3 Ratios'!$B$6/'Scope 3 Ratios'!$B$5),0)</f>
        <v>316.2132</v>
      </c>
      <c r="AG270" s="60">
        <f>J270*IF(I270="SSD",'Scope 3 Ratios'!$B$9,'Scope 3 Ratios'!$B$8)</f>
        <v>200</v>
      </c>
      <c r="AH270" s="60">
        <f>IF(K270&lt;&gt;"N/A",K270*'Scope 3 Ratios'!$B$10,0)</f>
        <v>0</v>
      </c>
      <c r="AI270" s="60">
        <f>(VLOOKUP($E270,'AWS Platforms Ratios'!$A$2:$O$25,3,FALSE)-1)*'Scope 3 Ratios'!$B$7</f>
        <v>100</v>
      </c>
      <c r="AJ270" s="60">
        <f>'Scope 3 Ratios'!$B$2+AF270+AG270+AH270+AI270</f>
        <v>1616.2132</v>
      </c>
      <c r="AK270" s="60">
        <f>AJ270*'Scope 3 Ratios'!$B$4*(C270/D270)</f>
        <v>9.353085648</v>
      </c>
      <c r="AL270" s="61" t="s">
        <v>541</v>
      </c>
    </row>
    <row r="271" ht="15.0" customHeight="1">
      <c r="A271" s="56" t="s">
        <v>545</v>
      </c>
      <c r="B271" s="56" t="s">
        <v>540</v>
      </c>
      <c r="C271" s="56">
        <v>16.0</v>
      </c>
      <c r="D271" s="56">
        <f>VLOOKUP(E271,'AWS Platforms Ratios'!$A$2:$B$25,2,FALSE)</f>
        <v>40</v>
      </c>
      <c r="E271" s="57" t="s">
        <v>259</v>
      </c>
      <c r="F271" s="56">
        <v>122.0</v>
      </c>
      <c r="G271" s="56">
        <v>244.0</v>
      </c>
      <c r="H271" s="57" t="s">
        <v>546</v>
      </c>
      <c r="I271" s="56" t="s">
        <v>85</v>
      </c>
      <c r="J271" s="56">
        <v>2.0</v>
      </c>
      <c r="K271" s="58" t="s">
        <v>73</v>
      </c>
      <c r="L271" s="58" t="s">
        <v>73</v>
      </c>
      <c r="M271" s="58" t="s">
        <v>73</v>
      </c>
      <c r="N271" s="58" t="s">
        <v>73</v>
      </c>
      <c r="O271" s="59">
        <f>($C271/$D271)*VLOOKUP($E271,'AWS Platforms Ratios'!$A$2:$O$25,7,FALSE)</f>
        <v>11.09710345</v>
      </c>
      <c r="P271" s="59">
        <f>($C271/$D271)*VLOOKUP($E271,'AWS Platforms Ratios'!$A$2:$O$25,8,FALSE)</f>
        <v>31.67972414</v>
      </c>
      <c r="Q271" s="59">
        <f>($C271/$D271)*VLOOKUP($E271,'AWS Platforms Ratios'!$A$2:$O$25,9,FALSE)</f>
        <v>65.1582069</v>
      </c>
      <c r="R271" s="59">
        <f>($C271/$D271)*VLOOKUP($E271,'AWS Platforms Ratios'!$A$2:$O$25,10,FALSE)</f>
        <v>89.18686207</v>
      </c>
      <c r="S271" s="59">
        <f>$F271*VLOOKUP($E271,'AWS Platforms Ratios'!$A$2:$O$25,11,FALSE)</f>
        <v>24.4</v>
      </c>
      <c r="T271" s="59">
        <f>$F271*VLOOKUP($E271,'AWS Platforms Ratios'!$A$2:$O$25,12,FALSE)</f>
        <v>36.6</v>
      </c>
      <c r="U271" s="59">
        <f>$F271*VLOOKUP($E271,'AWS Platforms Ratios'!$A$2:$O$25,13,FALSE)</f>
        <v>48.8</v>
      </c>
      <c r="V271" s="59">
        <f>$F271*VLOOKUP($E271,'AWS Platforms Ratios'!$A$2:$O$25,14,FALSE)</f>
        <v>73.2</v>
      </c>
      <c r="W271" s="60">
        <f>IF($K271&lt;&gt;"N/A",$M271*(VLOOKUP($L271,'GPU Specs &amp; Ratios'!$B$2:$I$8,5,FALSE)),0)</f>
        <v>0</v>
      </c>
      <c r="X271" s="60">
        <f>IF($K271&lt;&gt;"N/A",$M271*(VLOOKUP($L271,'GPU Specs &amp; Ratios'!$B$2:$I$8,6,FALSE)),0)</f>
        <v>0</v>
      </c>
      <c r="Y271" s="60">
        <f>IF($K271&lt;&gt;"N/A",$M271*(VLOOKUP($L271,'GPU Specs &amp; Ratios'!$B$2:$I$8,7,FALSE)),0)</f>
        <v>0</v>
      </c>
      <c r="Z271" s="60">
        <f>IF($K271&lt;&gt;"N/A",$M271*(VLOOKUP($L271,'GPU Specs &amp; Ratios'!$B$2:$I$8,8,FALSE)),0)</f>
        <v>0</v>
      </c>
      <c r="AA271" s="60">
        <f>(C271/D271)*VLOOKUP($E271,'AWS Platforms Ratios'!$A$2:$O$25,15,FALSE)</f>
        <v>18.4</v>
      </c>
      <c r="AB271" s="60">
        <f t="shared" ref="AB271:AE271" si="271">O271+S271+W271+$AA271</f>
        <v>53.89710345</v>
      </c>
      <c r="AC271" s="60">
        <f t="shared" si="271"/>
        <v>86.67972414</v>
      </c>
      <c r="AD271" s="60">
        <f t="shared" si="271"/>
        <v>132.3582069</v>
      </c>
      <c r="AE271" s="60">
        <f t="shared" si="271"/>
        <v>180.7868621</v>
      </c>
      <c r="AF271" s="60">
        <f>IF(G271&gt;'Scope 3 Ratios'!$B$5,(G271-'Scope 3 Ratios'!$B$5)*('Scope 3 Ratios'!$B$6/'Scope 3 Ratios'!$B$5),0)</f>
        <v>316.2132</v>
      </c>
      <c r="AG271" s="60">
        <f>J271*IF(I271="SSD",'Scope 3 Ratios'!$B$9,'Scope 3 Ratios'!$B$8)</f>
        <v>200</v>
      </c>
      <c r="AH271" s="60">
        <f>IF(K271&lt;&gt;"N/A",K271*'Scope 3 Ratios'!$B$10,0)</f>
        <v>0</v>
      </c>
      <c r="AI271" s="60">
        <f>(VLOOKUP($E271,'AWS Platforms Ratios'!$A$2:$O$25,3,FALSE)-1)*'Scope 3 Ratios'!$B$7</f>
        <v>100</v>
      </c>
      <c r="AJ271" s="60">
        <f>'Scope 3 Ratios'!$B$2+AF271+AG271+AH271+AI271</f>
        <v>1616.2132</v>
      </c>
      <c r="AK271" s="60">
        <f>AJ271*'Scope 3 Ratios'!$B$4*(C271/D271)</f>
        <v>18.7061713</v>
      </c>
      <c r="AL271" s="61" t="s">
        <v>541</v>
      </c>
    </row>
    <row r="272" ht="15.0" customHeight="1">
      <c r="A272" s="56" t="s">
        <v>547</v>
      </c>
      <c r="B272" s="56" t="s">
        <v>540</v>
      </c>
      <c r="C272" s="56">
        <v>32.0</v>
      </c>
      <c r="D272" s="56">
        <f>VLOOKUP(E272,'AWS Platforms Ratios'!$A$2:$B$25,2,FALSE)</f>
        <v>40</v>
      </c>
      <c r="E272" s="57" t="s">
        <v>259</v>
      </c>
      <c r="F272" s="56">
        <v>244.0</v>
      </c>
      <c r="G272" s="56">
        <v>244.0</v>
      </c>
      <c r="H272" s="57" t="s">
        <v>109</v>
      </c>
      <c r="I272" s="56" t="s">
        <v>85</v>
      </c>
      <c r="J272" s="56">
        <v>2.0</v>
      </c>
      <c r="K272" s="58" t="s">
        <v>73</v>
      </c>
      <c r="L272" s="58" t="s">
        <v>73</v>
      </c>
      <c r="M272" s="58" t="s">
        <v>73</v>
      </c>
      <c r="N272" s="58" t="s">
        <v>73</v>
      </c>
      <c r="O272" s="59">
        <f>($C272/$D272)*VLOOKUP($E272,'AWS Platforms Ratios'!$A$2:$O$25,7,FALSE)</f>
        <v>22.1942069</v>
      </c>
      <c r="P272" s="59">
        <f>($C272/$D272)*VLOOKUP($E272,'AWS Platforms Ratios'!$A$2:$O$25,8,FALSE)</f>
        <v>63.35944828</v>
      </c>
      <c r="Q272" s="59">
        <f>($C272/$D272)*VLOOKUP($E272,'AWS Platforms Ratios'!$A$2:$O$25,9,FALSE)</f>
        <v>130.3164138</v>
      </c>
      <c r="R272" s="59">
        <f>($C272/$D272)*VLOOKUP($E272,'AWS Platforms Ratios'!$A$2:$O$25,10,FALSE)</f>
        <v>178.3737241</v>
      </c>
      <c r="S272" s="59">
        <f>$F272*VLOOKUP($E272,'AWS Platforms Ratios'!$A$2:$O$25,11,FALSE)</f>
        <v>48.8</v>
      </c>
      <c r="T272" s="59">
        <f>$F272*VLOOKUP($E272,'AWS Platforms Ratios'!$A$2:$O$25,12,FALSE)</f>
        <v>73.2</v>
      </c>
      <c r="U272" s="59">
        <f>$F272*VLOOKUP($E272,'AWS Platforms Ratios'!$A$2:$O$25,13,FALSE)</f>
        <v>97.6</v>
      </c>
      <c r="V272" s="59">
        <f>$F272*VLOOKUP($E272,'AWS Platforms Ratios'!$A$2:$O$25,14,FALSE)</f>
        <v>146.4</v>
      </c>
      <c r="W272" s="60">
        <f>IF($K272&lt;&gt;"N/A",$M272*(VLOOKUP($L272,'GPU Specs &amp; Ratios'!$B$2:$I$8,5,FALSE)),0)</f>
        <v>0</v>
      </c>
      <c r="X272" s="60">
        <f>IF($K272&lt;&gt;"N/A",$M272*(VLOOKUP($L272,'GPU Specs &amp; Ratios'!$B$2:$I$8,6,FALSE)),0)</f>
        <v>0</v>
      </c>
      <c r="Y272" s="60">
        <f>IF($K272&lt;&gt;"N/A",$M272*(VLOOKUP($L272,'GPU Specs &amp; Ratios'!$B$2:$I$8,7,FALSE)),0)</f>
        <v>0</v>
      </c>
      <c r="Z272" s="60">
        <f>IF($K272&lt;&gt;"N/A",$M272*(VLOOKUP($L272,'GPU Specs &amp; Ratios'!$B$2:$I$8,8,FALSE)),0)</f>
        <v>0</v>
      </c>
      <c r="AA272" s="60">
        <f>(C272/D272)*VLOOKUP($E272,'AWS Platforms Ratios'!$A$2:$O$25,15,FALSE)</f>
        <v>36.8</v>
      </c>
      <c r="AB272" s="60">
        <f t="shared" ref="AB272:AE272" si="272">O272+S272+W272+$AA272</f>
        <v>107.7942069</v>
      </c>
      <c r="AC272" s="60">
        <f t="shared" si="272"/>
        <v>173.3594483</v>
      </c>
      <c r="AD272" s="60">
        <f t="shared" si="272"/>
        <v>264.7164138</v>
      </c>
      <c r="AE272" s="60">
        <f t="shared" si="272"/>
        <v>361.5737241</v>
      </c>
      <c r="AF272" s="60">
        <f>IF(G272&gt;'Scope 3 Ratios'!$B$5,(G272-'Scope 3 Ratios'!$B$5)*('Scope 3 Ratios'!$B$6/'Scope 3 Ratios'!$B$5),0)</f>
        <v>316.2132</v>
      </c>
      <c r="AG272" s="60">
        <f>J272*IF(I272="SSD",'Scope 3 Ratios'!$B$9,'Scope 3 Ratios'!$B$8)</f>
        <v>200</v>
      </c>
      <c r="AH272" s="60">
        <f>IF(K272&lt;&gt;"N/A",K272*'Scope 3 Ratios'!$B$10,0)</f>
        <v>0</v>
      </c>
      <c r="AI272" s="60">
        <f>(VLOOKUP($E272,'AWS Platforms Ratios'!$A$2:$O$25,3,FALSE)-1)*'Scope 3 Ratios'!$B$7</f>
        <v>100</v>
      </c>
      <c r="AJ272" s="60">
        <f>'Scope 3 Ratios'!$B$2+AF272+AG272+AH272+AI272</f>
        <v>1616.2132</v>
      </c>
      <c r="AK272" s="60">
        <f>AJ272*'Scope 3 Ratios'!$B$4*(C272/D272)</f>
        <v>37.41234259</v>
      </c>
      <c r="AL272" s="61" t="s">
        <v>541</v>
      </c>
    </row>
    <row r="273" ht="15.0" customHeight="1">
      <c r="A273" s="56" t="s">
        <v>548</v>
      </c>
      <c r="B273" s="56" t="s">
        <v>119</v>
      </c>
      <c r="C273" s="56">
        <v>2.0</v>
      </c>
      <c r="D273" s="56">
        <f>VLOOKUP(E273,'AWS Platforms Ratios'!$A$2:$B$25,2,FALSE)</f>
        <v>72</v>
      </c>
      <c r="E273" s="57" t="s">
        <v>269</v>
      </c>
      <c r="F273" s="56">
        <v>15.25</v>
      </c>
      <c r="G273" s="56">
        <v>488.0</v>
      </c>
      <c r="H273" s="57" t="s">
        <v>71</v>
      </c>
      <c r="I273" s="56" t="s">
        <v>72</v>
      </c>
      <c r="J273" s="56">
        <v>0.0</v>
      </c>
      <c r="K273" s="58" t="s">
        <v>73</v>
      </c>
      <c r="L273" s="58" t="s">
        <v>73</v>
      </c>
      <c r="M273" s="58" t="s">
        <v>73</v>
      </c>
      <c r="N273" s="58" t="s">
        <v>73</v>
      </c>
      <c r="O273" s="59">
        <f>($C273/$D273)*VLOOKUP($E273,'AWS Platforms Ratios'!$A$2:$O$25,7,FALSE)</f>
        <v>0.9716666667</v>
      </c>
      <c r="P273" s="59">
        <f>($C273/$D273)*VLOOKUP($E273,'AWS Platforms Ratios'!$A$2:$O$25,8,FALSE)</f>
        <v>2.773888889</v>
      </c>
      <c r="Q273" s="59">
        <f>($C273/$D273)*VLOOKUP($E273,'AWS Platforms Ratios'!$A$2:$O$25,9,FALSE)</f>
        <v>5.705277778</v>
      </c>
      <c r="R273" s="59">
        <f>($C273/$D273)*VLOOKUP($E273,'AWS Platforms Ratios'!$A$2:$O$25,10,FALSE)</f>
        <v>7.809236111</v>
      </c>
      <c r="S273" s="59">
        <f>$F273*VLOOKUP($E273,'AWS Platforms Ratios'!$A$2:$O$25,11,FALSE)</f>
        <v>3.05</v>
      </c>
      <c r="T273" s="59">
        <f>$F273*VLOOKUP($E273,'AWS Platforms Ratios'!$A$2:$O$25,12,FALSE)</f>
        <v>4.575</v>
      </c>
      <c r="U273" s="59">
        <f>$F273*VLOOKUP($E273,'AWS Platforms Ratios'!$A$2:$O$25,13,FALSE)</f>
        <v>6.1</v>
      </c>
      <c r="V273" s="59">
        <f>$F273*VLOOKUP($E273,'AWS Platforms Ratios'!$A$2:$O$25,14,FALSE)</f>
        <v>9.15</v>
      </c>
      <c r="W273" s="60">
        <f>IF($K273&lt;&gt;"N/A",$M273*(VLOOKUP($L273,'GPU Specs &amp; Ratios'!$B$2:$I$8,5,FALSE)),0)</f>
        <v>0</v>
      </c>
      <c r="X273" s="60">
        <f>IF($K273&lt;&gt;"N/A",$M273*(VLOOKUP($L273,'GPU Specs &amp; Ratios'!$B$2:$I$8,6,FALSE)),0)</f>
        <v>0</v>
      </c>
      <c r="Y273" s="60">
        <f>IF($K273&lt;&gt;"N/A",$M273*(VLOOKUP($L273,'GPU Specs &amp; Ratios'!$B$2:$I$8,7,FALSE)),0)</f>
        <v>0</v>
      </c>
      <c r="Z273" s="60">
        <f>IF($K273&lt;&gt;"N/A",$M273*(VLOOKUP($L273,'GPU Specs &amp; Ratios'!$B$2:$I$8,8,FALSE)),0)</f>
        <v>0</v>
      </c>
      <c r="AA273" s="60">
        <f>(C273/D273)*VLOOKUP($E273,'AWS Platforms Ratios'!$A$2:$O$25,15,FALSE)</f>
        <v>1.611111111</v>
      </c>
      <c r="AB273" s="60">
        <f t="shared" ref="AB273:AE273" si="273">O273+S273+W273+$AA273</f>
        <v>5.632777778</v>
      </c>
      <c r="AC273" s="60">
        <f t="shared" si="273"/>
        <v>8.96</v>
      </c>
      <c r="AD273" s="60">
        <f t="shared" si="273"/>
        <v>13.41638889</v>
      </c>
      <c r="AE273" s="60">
        <f t="shared" si="273"/>
        <v>18.57034722</v>
      </c>
      <c r="AF273" s="60">
        <f>IF(G273&gt;'Scope 3 Ratios'!$B$5,(G273-'Scope 3 Ratios'!$B$5)*('Scope 3 Ratios'!$B$6/'Scope 3 Ratios'!$B$5),0)</f>
        <v>654.6168</v>
      </c>
      <c r="AG273" s="60">
        <f>J273*IF(I273="SSD",'Scope 3 Ratios'!$B$9,'Scope 3 Ratios'!$B$8)</f>
        <v>0</v>
      </c>
      <c r="AH273" s="60">
        <f>IF(K273&lt;&gt;"N/A",K273*'Scope 3 Ratios'!$B$10,0)</f>
        <v>0</v>
      </c>
      <c r="AI273" s="60">
        <f>(VLOOKUP($E273,'AWS Platforms Ratios'!$A$2:$O$25,3,FALSE)-1)*'Scope 3 Ratios'!$B$7</f>
        <v>100</v>
      </c>
      <c r="AJ273" s="60">
        <f>'Scope 3 Ratios'!$B$2+AF273+AG273+AH273+AI273</f>
        <v>1754.6168</v>
      </c>
      <c r="AK273" s="60">
        <f>AJ273*'Scope 3 Ratios'!$B$4*(C273/D273)</f>
        <v>1.410282279</v>
      </c>
      <c r="AL273" s="61" t="s">
        <v>549</v>
      </c>
    </row>
    <row r="274" ht="15.0" customHeight="1">
      <c r="A274" s="56" t="s">
        <v>550</v>
      </c>
      <c r="B274" s="56" t="s">
        <v>119</v>
      </c>
      <c r="C274" s="56">
        <v>4.0</v>
      </c>
      <c r="D274" s="56">
        <f>VLOOKUP(E274,'AWS Platforms Ratios'!$A$2:$B$25,2,FALSE)</f>
        <v>72</v>
      </c>
      <c r="E274" s="57" t="s">
        <v>269</v>
      </c>
      <c r="F274" s="56">
        <v>30.5</v>
      </c>
      <c r="G274" s="56">
        <v>488.0</v>
      </c>
      <c r="H274" s="57" t="s">
        <v>71</v>
      </c>
      <c r="I274" s="56" t="s">
        <v>72</v>
      </c>
      <c r="J274" s="56">
        <v>0.0</v>
      </c>
      <c r="K274" s="58" t="s">
        <v>73</v>
      </c>
      <c r="L274" s="58" t="s">
        <v>73</v>
      </c>
      <c r="M274" s="58" t="s">
        <v>73</v>
      </c>
      <c r="N274" s="58" t="s">
        <v>73</v>
      </c>
      <c r="O274" s="59">
        <f>($C274/$D274)*VLOOKUP($E274,'AWS Platforms Ratios'!$A$2:$O$25,7,FALSE)</f>
        <v>1.943333333</v>
      </c>
      <c r="P274" s="59">
        <f>($C274/$D274)*VLOOKUP($E274,'AWS Platforms Ratios'!$A$2:$O$25,8,FALSE)</f>
        <v>5.547777778</v>
      </c>
      <c r="Q274" s="59">
        <f>($C274/$D274)*VLOOKUP($E274,'AWS Platforms Ratios'!$A$2:$O$25,9,FALSE)</f>
        <v>11.41055556</v>
      </c>
      <c r="R274" s="59">
        <f>($C274/$D274)*VLOOKUP($E274,'AWS Platforms Ratios'!$A$2:$O$25,10,FALSE)</f>
        <v>15.61847222</v>
      </c>
      <c r="S274" s="59">
        <f>$F274*VLOOKUP($E274,'AWS Platforms Ratios'!$A$2:$O$25,11,FALSE)</f>
        <v>6.1</v>
      </c>
      <c r="T274" s="59">
        <f>$F274*VLOOKUP($E274,'AWS Platforms Ratios'!$A$2:$O$25,12,FALSE)</f>
        <v>9.15</v>
      </c>
      <c r="U274" s="59">
        <f>$F274*VLOOKUP($E274,'AWS Platforms Ratios'!$A$2:$O$25,13,FALSE)</f>
        <v>12.2</v>
      </c>
      <c r="V274" s="59">
        <f>$F274*VLOOKUP($E274,'AWS Platforms Ratios'!$A$2:$O$25,14,FALSE)</f>
        <v>18.3</v>
      </c>
      <c r="W274" s="60">
        <f>IF($K274&lt;&gt;"N/A",$M274*(VLOOKUP($L274,'GPU Specs &amp; Ratios'!$B$2:$I$8,5,FALSE)),0)</f>
        <v>0</v>
      </c>
      <c r="X274" s="60">
        <f>IF($K274&lt;&gt;"N/A",$M274*(VLOOKUP($L274,'GPU Specs &amp; Ratios'!$B$2:$I$8,6,FALSE)),0)</f>
        <v>0</v>
      </c>
      <c r="Y274" s="60">
        <f>IF($K274&lt;&gt;"N/A",$M274*(VLOOKUP($L274,'GPU Specs &amp; Ratios'!$B$2:$I$8,7,FALSE)),0)</f>
        <v>0</v>
      </c>
      <c r="Z274" s="60">
        <f>IF($K274&lt;&gt;"N/A",$M274*(VLOOKUP($L274,'GPU Specs &amp; Ratios'!$B$2:$I$8,8,FALSE)),0)</f>
        <v>0</v>
      </c>
      <c r="AA274" s="60">
        <f>(C274/D274)*VLOOKUP($E274,'AWS Platforms Ratios'!$A$2:$O$25,15,FALSE)</f>
        <v>3.222222222</v>
      </c>
      <c r="AB274" s="60">
        <f t="shared" ref="AB274:AE274" si="274">O274+S274+W274+$AA274</f>
        <v>11.26555556</v>
      </c>
      <c r="AC274" s="60">
        <f t="shared" si="274"/>
        <v>17.92</v>
      </c>
      <c r="AD274" s="60">
        <f t="shared" si="274"/>
        <v>26.83277778</v>
      </c>
      <c r="AE274" s="60">
        <f t="shared" si="274"/>
        <v>37.14069444</v>
      </c>
      <c r="AF274" s="60">
        <f>IF(G274&gt;'Scope 3 Ratios'!$B$5,(G274-'Scope 3 Ratios'!$B$5)*('Scope 3 Ratios'!$B$6/'Scope 3 Ratios'!$B$5),0)</f>
        <v>654.6168</v>
      </c>
      <c r="AG274" s="60">
        <f>J274*IF(I274="SSD",'Scope 3 Ratios'!$B$9,'Scope 3 Ratios'!$B$8)</f>
        <v>0</v>
      </c>
      <c r="AH274" s="60">
        <f>IF(K274&lt;&gt;"N/A",K274*'Scope 3 Ratios'!$B$10,0)</f>
        <v>0</v>
      </c>
      <c r="AI274" s="60">
        <f>(VLOOKUP($E274,'AWS Platforms Ratios'!$A$2:$O$25,3,FALSE)-1)*'Scope 3 Ratios'!$B$7</f>
        <v>100</v>
      </c>
      <c r="AJ274" s="60">
        <f>'Scope 3 Ratios'!$B$2+AF274+AG274+AH274+AI274</f>
        <v>1754.6168</v>
      </c>
      <c r="AK274" s="60">
        <f>AJ274*'Scope 3 Ratios'!$B$4*(C274/D274)</f>
        <v>2.820564558</v>
      </c>
      <c r="AL274" s="61" t="s">
        <v>549</v>
      </c>
    </row>
    <row r="275" ht="15.0" customHeight="1">
      <c r="A275" s="56" t="s">
        <v>551</v>
      </c>
      <c r="B275" s="56" t="s">
        <v>119</v>
      </c>
      <c r="C275" s="56">
        <v>8.0</v>
      </c>
      <c r="D275" s="56">
        <f>VLOOKUP(E275,'AWS Platforms Ratios'!$A$2:$B$25,2,FALSE)</f>
        <v>72</v>
      </c>
      <c r="E275" s="57" t="s">
        <v>269</v>
      </c>
      <c r="F275" s="56">
        <v>61.0</v>
      </c>
      <c r="G275" s="56">
        <v>488.0</v>
      </c>
      <c r="H275" s="57" t="s">
        <v>71</v>
      </c>
      <c r="I275" s="56" t="s">
        <v>72</v>
      </c>
      <c r="J275" s="56">
        <v>0.0</v>
      </c>
      <c r="K275" s="58" t="s">
        <v>73</v>
      </c>
      <c r="L275" s="58" t="s">
        <v>73</v>
      </c>
      <c r="M275" s="58" t="s">
        <v>73</v>
      </c>
      <c r="N275" s="58" t="s">
        <v>73</v>
      </c>
      <c r="O275" s="59">
        <f>($C275/$D275)*VLOOKUP($E275,'AWS Platforms Ratios'!$A$2:$O$25,7,FALSE)</f>
        <v>3.886666667</v>
      </c>
      <c r="P275" s="59">
        <f>($C275/$D275)*VLOOKUP($E275,'AWS Platforms Ratios'!$A$2:$O$25,8,FALSE)</f>
        <v>11.09555556</v>
      </c>
      <c r="Q275" s="59">
        <f>($C275/$D275)*VLOOKUP($E275,'AWS Platforms Ratios'!$A$2:$O$25,9,FALSE)</f>
        <v>22.82111111</v>
      </c>
      <c r="R275" s="59">
        <f>($C275/$D275)*VLOOKUP($E275,'AWS Platforms Ratios'!$A$2:$O$25,10,FALSE)</f>
        <v>31.23694444</v>
      </c>
      <c r="S275" s="59">
        <f>$F275*VLOOKUP($E275,'AWS Platforms Ratios'!$A$2:$O$25,11,FALSE)</f>
        <v>12.2</v>
      </c>
      <c r="T275" s="59">
        <f>$F275*VLOOKUP($E275,'AWS Platforms Ratios'!$A$2:$O$25,12,FALSE)</f>
        <v>18.3</v>
      </c>
      <c r="U275" s="59">
        <f>$F275*VLOOKUP($E275,'AWS Platforms Ratios'!$A$2:$O$25,13,FALSE)</f>
        <v>24.4</v>
      </c>
      <c r="V275" s="59">
        <f>$F275*VLOOKUP($E275,'AWS Platforms Ratios'!$A$2:$O$25,14,FALSE)</f>
        <v>36.6</v>
      </c>
      <c r="W275" s="60">
        <f>IF($K275&lt;&gt;"N/A",$M275*(VLOOKUP($L275,'GPU Specs &amp; Ratios'!$B$2:$I$8,5,FALSE)),0)</f>
        <v>0</v>
      </c>
      <c r="X275" s="60">
        <f>IF($K275&lt;&gt;"N/A",$M275*(VLOOKUP($L275,'GPU Specs &amp; Ratios'!$B$2:$I$8,6,FALSE)),0)</f>
        <v>0</v>
      </c>
      <c r="Y275" s="60">
        <f>IF($K275&lt;&gt;"N/A",$M275*(VLOOKUP($L275,'GPU Specs &amp; Ratios'!$B$2:$I$8,7,FALSE)),0)</f>
        <v>0</v>
      </c>
      <c r="Z275" s="60">
        <f>IF($K275&lt;&gt;"N/A",$M275*(VLOOKUP($L275,'GPU Specs &amp; Ratios'!$B$2:$I$8,8,FALSE)),0)</f>
        <v>0</v>
      </c>
      <c r="AA275" s="60">
        <f>(C275/D275)*VLOOKUP($E275,'AWS Platforms Ratios'!$A$2:$O$25,15,FALSE)</f>
        <v>6.444444444</v>
      </c>
      <c r="AB275" s="60">
        <f t="shared" ref="AB275:AE275" si="275">O275+S275+W275+$AA275</f>
        <v>22.53111111</v>
      </c>
      <c r="AC275" s="60">
        <f t="shared" si="275"/>
        <v>35.84</v>
      </c>
      <c r="AD275" s="60">
        <f t="shared" si="275"/>
        <v>53.66555556</v>
      </c>
      <c r="AE275" s="60">
        <f t="shared" si="275"/>
        <v>74.28138889</v>
      </c>
      <c r="AF275" s="60">
        <f>IF(G275&gt;'Scope 3 Ratios'!$B$5,(G275-'Scope 3 Ratios'!$B$5)*('Scope 3 Ratios'!$B$6/'Scope 3 Ratios'!$B$5),0)</f>
        <v>654.6168</v>
      </c>
      <c r="AG275" s="60">
        <f>J275*IF(I275="SSD",'Scope 3 Ratios'!$B$9,'Scope 3 Ratios'!$B$8)</f>
        <v>0</v>
      </c>
      <c r="AH275" s="60">
        <f>IF(K275&lt;&gt;"N/A",K275*'Scope 3 Ratios'!$B$10,0)</f>
        <v>0</v>
      </c>
      <c r="AI275" s="60">
        <f>(VLOOKUP($E275,'AWS Platforms Ratios'!$A$2:$O$25,3,FALSE)-1)*'Scope 3 Ratios'!$B$7</f>
        <v>100</v>
      </c>
      <c r="AJ275" s="60">
        <f>'Scope 3 Ratios'!$B$2+AF275+AG275+AH275+AI275</f>
        <v>1754.6168</v>
      </c>
      <c r="AK275" s="60">
        <f>AJ275*'Scope 3 Ratios'!$B$4*(C275/D275)</f>
        <v>5.641129115</v>
      </c>
      <c r="AL275" s="61" t="s">
        <v>549</v>
      </c>
    </row>
    <row r="276" ht="15.0" customHeight="1">
      <c r="A276" s="56" t="s">
        <v>552</v>
      </c>
      <c r="B276" s="56" t="s">
        <v>119</v>
      </c>
      <c r="C276" s="56">
        <v>16.0</v>
      </c>
      <c r="D276" s="56">
        <f>VLOOKUP(E276,'AWS Platforms Ratios'!$A$2:$B$25,2,FALSE)</f>
        <v>72</v>
      </c>
      <c r="E276" s="57" t="s">
        <v>269</v>
      </c>
      <c r="F276" s="56">
        <v>122.0</v>
      </c>
      <c r="G276" s="56">
        <v>488.0</v>
      </c>
      <c r="H276" s="57" t="s">
        <v>71</v>
      </c>
      <c r="I276" s="56" t="s">
        <v>72</v>
      </c>
      <c r="J276" s="56">
        <v>0.0</v>
      </c>
      <c r="K276" s="58" t="s">
        <v>73</v>
      </c>
      <c r="L276" s="58" t="s">
        <v>73</v>
      </c>
      <c r="M276" s="58" t="s">
        <v>73</v>
      </c>
      <c r="N276" s="58" t="s">
        <v>73</v>
      </c>
      <c r="O276" s="59">
        <f>($C276/$D276)*VLOOKUP($E276,'AWS Platforms Ratios'!$A$2:$O$25,7,FALSE)</f>
        <v>7.773333333</v>
      </c>
      <c r="P276" s="59">
        <f>($C276/$D276)*VLOOKUP($E276,'AWS Platforms Ratios'!$A$2:$O$25,8,FALSE)</f>
        <v>22.19111111</v>
      </c>
      <c r="Q276" s="59">
        <f>($C276/$D276)*VLOOKUP($E276,'AWS Platforms Ratios'!$A$2:$O$25,9,FALSE)</f>
        <v>45.64222222</v>
      </c>
      <c r="R276" s="59">
        <f>($C276/$D276)*VLOOKUP($E276,'AWS Platforms Ratios'!$A$2:$O$25,10,FALSE)</f>
        <v>62.47388889</v>
      </c>
      <c r="S276" s="59">
        <f>$F276*VLOOKUP($E276,'AWS Platforms Ratios'!$A$2:$O$25,11,FALSE)</f>
        <v>24.4</v>
      </c>
      <c r="T276" s="59">
        <f>$F276*VLOOKUP($E276,'AWS Platforms Ratios'!$A$2:$O$25,12,FALSE)</f>
        <v>36.6</v>
      </c>
      <c r="U276" s="59">
        <f>$F276*VLOOKUP($E276,'AWS Platforms Ratios'!$A$2:$O$25,13,FALSE)</f>
        <v>48.8</v>
      </c>
      <c r="V276" s="59">
        <f>$F276*VLOOKUP($E276,'AWS Platforms Ratios'!$A$2:$O$25,14,FALSE)</f>
        <v>73.2</v>
      </c>
      <c r="W276" s="60">
        <f>IF($K276&lt;&gt;"N/A",$M276*(VLOOKUP($L276,'GPU Specs &amp; Ratios'!$B$2:$I$8,5,FALSE)),0)</f>
        <v>0</v>
      </c>
      <c r="X276" s="60">
        <f>IF($K276&lt;&gt;"N/A",$M276*(VLOOKUP($L276,'GPU Specs &amp; Ratios'!$B$2:$I$8,6,FALSE)),0)</f>
        <v>0</v>
      </c>
      <c r="Y276" s="60">
        <f>IF($K276&lt;&gt;"N/A",$M276*(VLOOKUP($L276,'GPU Specs &amp; Ratios'!$B$2:$I$8,7,FALSE)),0)</f>
        <v>0</v>
      </c>
      <c r="Z276" s="60">
        <f>IF($K276&lt;&gt;"N/A",$M276*(VLOOKUP($L276,'GPU Specs &amp; Ratios'!$B$2:$I$8,8,FALSE)),0)</f>
        <v>0</v>
      </c>
      <c r="AA276" s="60">
        <f>(C276/D276)*VLOOKUP($E276,'AWS Platforms Ratios'!$A$2:$O$25,15,FALSE)</f>
        <v>12.88888889</v>
      </c>
      <c r="AB276" s="60">
        <f t="shared" ref="AB276:AE276" si="276">O276+S276+W276+$AA276</f>
        <v>45.06222222</v>
      </c>
      <c r="AC276" s="60">
        <f t="shared" si="276"/>
        <v>71.68</v>
      </c>
      <c r="AD276" s="60">
        <f t="shared" si="276"/>
        <v>107.3311111</v>
      </c>
      <c r="AE276" s="60">
        <f t="shared" si="276"/>
        <v>148.5627778</v>
      </c>
      <c r="AF276" s="60">
        <f>IF(G276&gt;'Scope 3 Ratios'!$B$5,(G276-'Scope 3 Ratios'!$B$5)*('Scope 3 Ratios'!$B$6/'Scope 3 Ratios'!$B$5),0)</f>
        <v>654.6168</v>
      </c>
      <c r="AG276" s="60">
        <f>J276*IF(I276="SSD",'Scope 3 Ratios'!$B$9,'Scope 3 Ratios'!$B$8)</f>
        <v>0</v>
      </c>
      <c r="AH276" s="60">
        <f>IF(K276&lt;&gt;"N/A",K276*'Scope 3 Ratios'!$B$10,0)</f>
        <v>0</v>
      </c>
      <c r="AI276" s="60">
        <f>(VLOOKUP($E276,'AWS Platforms Ratios'!$A$2:$O$25,3,FALSE)-1)*'Scope 3 Ratios'!$B$7</f>
        <v>100</v>
      </c>
      <c r="AJ276" s="60">
        <f>'Scope 3 Ratios'!$B$2+AF276+AG276+AH276+AI276</f>
        <v>1754.6168</v>
      </c>
      <c r="AK276" s="60">
        <f>AJ276*'Scope 3 Ratios'!$B$4*(C276/D276)</f>
        <v>11.28225823</v>
      </c>
      <c r="AL276" s="61" t="s">
        <v>549</v>
      </c>
    </row>
    <row r="277" ht="15.0" customHeight="1">
      <c r="A277" s="56" t="s">
        <v>553</v>
      </c>
      <c r="B277" s="56" t="s">
        <v>119</v>
      </c>
      <c r="C277" s="56">
        <v>32.0</v>
      </c>
      <c r="D277" s="56">
        <f>VLOOKUP(E277,'AWS Platforms Ratios'!$A$2:$B$25,2,FALSE)</f>
        <v>72</v>
      </c>
      <c r="E277" s="57" t="s">
        <v>269</v>
      </c>
      <c r="F277" s="56">
        <v>244.0</v>
      </c>
      <c r="G277" s="56">
        <v>488.0</v>
      </c>
      <c r="H277" s="57" t="s">
        <v>71</v>
      </c>
      <c r="I277" s="56" t="s">
        <v>72</v>
      </c>
      <c r="J277" s="56">
        <v>0.0</v>
      </c>
      <c r="K277" s="58" t="s">
        <v>73</v>
      </c>
      <c r="L277" s="58" t="s">
        <v>73</v>
      </c>
      <c r="M277" s="58" t="s">
        <v>73</v>
      </c>
      <c r="N277" s="58" t="s">
        <v>73</v>
      </c>
      <c r="O277" s="59">
        <f>($C277/$D277)*VLOOKUP($E277,'AWS Platforms Ratios'!$A$2:$O$25,7,FALSE)</f>
        <v>15.54666667</v>
      </c>
      <c r="P277" s="59">
        <f>($C277/$D277)*VLOOKUP($E277,'AWS Platforms Ratios'!$A$2:$O$25,8,FALSE)</f>
        <v>44.38222222</v>
      </c>
      <c r="Q277" s="59">
        <f>($C277/$D277)*VLOOKUP($E277,'AWS Platforms Ratios'!$A$2:$O$25,9,FALSE)</f>
        <v>91.28444444</v>
      </c>
      <c r="R277" s="59">
        <f>($C277/$D277)*VLOOKUP($E277,'AWS Platforms Ratios'!$A$2:$O$25,10,FALSE)</f>
        <v>124.9477778</v>
      </c>
      <c r="S277" s="59">
        <f>$F277*VLOOKUP($E277,'AWS Platforms Ratios'!$A$2:$O$25,11,FALSE)</f>
        <v>48.8</v>
      </c>
      <c r="T277" s="59">
        <f>$F277*VLOOKUP($E277,'AWS Platforms Ratios'!$A$2:$O$25,12,FALSE)</f>
        <v>73.2</v>
      </c>
      <c r="U277" s="59">
        <f>$F277*VLOOKUP($E277,'AWS Platforms Ratios'!$A$2:$O$25,13,FALSE)</f>
        <v>97.6</v>
      </c>
      <c r="V277" s="59">
        <f>$F277*VLOOKUP($E277,'AWS Platforms Ratios'!$A$2:$O$25,14,FALSE)</f>
        <v>146.4</v>
      </c>
      <c r="W277" s="60">
        <f>IF($K277&lt;&gt;"N/A",$M277*(VLOOKUP($L277,'GPU Specs &amp; Ratios'!$B$2:$I$8,5,FALSE)),0)</f>
        <v>0</v>
      </c>
      <c r="X277" s="60">
        <f>IF($K277&lt;&gt;"N/A",$M277*(VLOOKUP($L277,'GPU Specs &amp; Ratios'!$B$2:$I$8,6,FALSE)),0)</f>
        <v>0</v>
      </c>
      <c r="Y277" s="60">
        <f>IF($K277&lt;&gt;"N/A",$M277*(VLOOKUP($L277,'GPU Specs &amp; Ratios'!$B$2:$I$8,7,FALSE)),0)</f>
        <v>0</v>
      </c>
      <c r="Z277" s="60">
        <f>IF($K277&lt;&gt;"N/A",$M277*(VLOOKUP($L277,'GPU Specs &amp; Ratios'!$B$2:$I$8,8,FALSE)),0)</f>
        <v>0</v>
      </c>
      <c r="AA277" s="60">
        <f>(C277/D277)*VLOOKUP($E277,'AWS Platforms Ratios'!$A$2:$O$25,15,FALSE)</f>
        <v>25.77777778</v>
      </c>
      <c r="AB277" s="60">
        <f t="shared" ref="AB277:AE277" si="277">O277+S277+W277+$AA277</f>
        <v>90.12444444</v>
      </c>
      <c r="AC277" s="60">
        <f t="shared" si="277"/>
        <v>143.36</v>
      </c>
      <c r="AD277" s="60">
        <f t="shared" si="277"/>
        <v>214.6622222</v>
      </c>
      <c r="AE277" s="60">
        <f t="shared" si="277"/>
        <v>297.1255556</v>
      </c>
      <c r="AF277" s="60">
        <f>IF(G277&gt;'Scope 3 Ratios'!$B$5,(G277-'Scope 3 Ratios'!$B$5)*('Scope 3 Ratios'!$B$6/'Scope 3 Ratios'!$B$5),0)</f>
        <v>654.6168</v>
      </c>
      <c r="AG277" s="60">
        <f>J277*IF(I277="SSD",'Scope 3 Ratios'!$B$9,'Scope 3 Ratios'!$B$8)</f>
        <v>0</v>
      </c>
      <c r="AH277" s="60">
        <f>IF(K277&lt;&gt;"N/A",K277*'Scope 3 Ratios'!$B$10,0)</f>
        <v>0</v>
      </c>
      <c r="AI277" s="60">
        <f>(VLOOKUP($E277,'AWS Platforms Ratios'!$A$2:$O$25,3,FALSE)-1)*'Scope 3 Ratios'!$B$7</f>
        <v>100</v>
      </c>
      <c r="AJ277" s="60">
        <f>'Scope 3 Ratios'!$B$2+AF277+AG277+AH277+AI277</f>
        <v>1754.6168</v>
      </c>
      <c r="AK277" s="60">
        <f>AJ277*'Scope 3 Ratios'!$B$4*(C277/D277)</f>
        <v>22.56451646</v>
      </c>
      <c r="AL277" s="61" t="s">
        <v>549</v>
      </c>
    </row>
    <row r="278" ht="15.0" customHeight="1">
      <c r="A278" s="56" t="s">
        <v>554</v>
      </c>
      <c r="B278" s="56" t="s">
        <v>119</v>
      </c>
      <c r="C278" s="56">
        <v>64.0</v>
      </c>
      <c r="D278" s="56">
        <f>VLOOKUP(E278,'AWS Platforms Ratios'!$A$2:$B$25,2,FALSE)</f>
        <v>72</v>
      </c>
      <c r="E278" s="57" t="s">
        <v>269</v>
      </c>
      <c r="F278" s="56">
        <v>488.0</v>
      </c>
      <c r="G278" s="56">
        <v>488.0</v>
      </c>
      <c r="H278" s="57" t="s">
        <v>71</v>
      </c>
      <c r="I278" s="56" t="s">
        <v>72</v>
      </c>
      <c r="J278" s="56">
        <v>0.0</v>
      </c>
      <c r="K278" s="58" t="s">
        <v>73</v>
      </c>
      <c r="L278" s="58" t="s">
        <v>73</v>
      </c>
      <c r="M278" s="58" t="s">
        <v>73</v>
      </c>
      <c r="N278" s="58" t="s">
        <v>73</v>
      </c>
      <c r="O278" s="59">
        <f>($C278/$D278)*VLOOKUP($E278,'AWS Platforms Ratios'!$A$2:$O$25,7,FALSE)</f>
        <v>31.09333333</v>
      </c>
      <c r="P278" s="59">
        <f>($C278/$D278)*VLOOKUP($E278,'AWS Platforms Ratios'!$A$2:$O$25,8,FALSE)</f>
        <v>88.76444444</v>
      </c>
      <c r="Q278" s="59">
        <f>($C278/$D278)*VLOOKUP($E278,'AWS Platforms Ratios'!$A$2:$O$25,9,FALSE)</f>
        <v>182.5688889</v>
      </c>
      <c r="R278" s="59">
        <f>($C278/$D278)*VLOOKUP($E278,'AWS Platforms Ratios'!$A$2:$O$25,10,FALSE)</f>
        <v>249.8955556</v>
      </c>
      <c r="S278" s="59">
        <f>$F278*VLOOKUP($E278,'AWS Platforms Ratios'!$A$2:$O$25,11,FALSE)</f>
        <v>97.6</v>
      </c>
      <c r="T278" s="59">
        <f>$F278*VLOOKUP($E278,'AWS Platforms Ratios'!$A$2:$O$25,12,FALSE)</f>
        <v>146.4</v>
      </c>
      <c r="U278" s="59">
        <f>$F278*VLOOKUP($E278,'AWS Platforms Ratios'!$A$2:$O$25,13,FALSE)</f>
        <v>195.2</v>
      </c>
      <c r="V278" s="59">
        <f>$F278*VLOOKUP($E278,'AWS Platforms Ratios'!$A$2:$O$25,14,FALSE)</f>
        <v>292.8</v>
      </c>
      <c r="W278" s="60">
        <f>IF($K278&lt;&gt;"N/A",$M278*(VLOOKUP($L278,'GPU Specs &amp; Ratios'!$B$2:$I$8,5,FALSE)),0)</f>
        <v>0</v>
      </c>
      <c r="X278" s="60">
        <f>IF($K278&lt;&gt;"N/A",$M278*(VLOOKUP($L278,'GPU Specs &amp; Ratios'!$B$2:$I$8,6,FALSE)),0)</f>
        <v>0</v>
      </c>
      <c r="Y278" s="60">
        <f>IF($K278&lt;&gt;"N/A",$M278*(VLOOKUP($L278,'GPU Specs &amp; Ratios'!$B$2:$I$8,7,FALSE)),0)</f>
        <v>0</v>
      </c>
      <c r="Z278" s="60">
        <f>IF($K278&lt;&gt;"N/A",$M278*(VLOOKUP($L278,'GPU Specs &amp; Ratios'!$B$2:$I$8,8,FALSE)),0)</f>
        <v>0</v>
      </c>
      <c r="AA278" s="60">
        <f>(C278/D278)*VLOOKUP($E278,'AWS Platforms Ratios'!$A$2:$O$25,15,FALSE)</f>
        <v>51.55555556</v>
      </c>
      <c r="AB278" s="60">
        <f t="shared" ref="AB278:AE278" si="278">O278+S278+W278+$AA278</f>
        <v>180.2488889</v>
      </c>
      <c r="AC278" s="60">
        <f t="shared" si="278"/>
        <v>286.72</v>
      </c>
      <c r="AD278" s="60">
        <f t="shared" si="278"/>
        <v>429.3244444</v>
      </c>
      <c r="AE278" s="60">
        <f t="shared" si="278"/>
        <v>594.2511111</v>
      </c>
      <c r="AF278" s="60">
        <f>IF(G278&gt;'Scope 3 Ratios'!$B$5,(G278-'Scope 3 Ratios'!$B$5)*('Scope 3 Ratios'!$B$6/'Scope 3 Ratios'!$B$5),0)</f>
        <v>654.6168</v>
      </c>
      <c r="AG278" s="60">
        <f>J278*IF(I278="SSD",'Scope 3 Ratios'!$B$9,'Scope 3 Ratios'!$B$8)</f>
        <v>0</v>
      </c>
      <c r="AH278" s="60">
        <f>IF(K278&lt;&gt;"N/A",K278*'Scope 3 Ratios'!$B$10,0)</f>
        <v>0</v>
      </c>
      <c r="AI278" s="60">
        <f>(VLOOKUP($E278,'AWS Platforms Ratios'!$A$2:$O$25,3,FALSE)-1)*'Scope 3 Ratios'!$B$7</f>
        <v>100</v>
      </c>
      <c r="AJ278" s="60">
        <f>'Scope 3 Ratios'!$B$2+AF278+AG278+AH278+AI278</f>
        <v>1754.6168</v>
      </c>
      <c r="AK278" s="60">
        <f>AJ278*'Scope 3 Ratios'!$B$4*(C278/D278)</f>
        <v>45.12903292</v>
      </c>
      <c r="AL278" s="61" t="s">
        <v>549</v>
      </c>
    </row>
    <row r="279" ht="15.0" customHeight="1">
      <c r="A279" s="56" t="s">
        <v>555</v>
      </c>
      <c r="B279" s="56" t="s">
        <v>556</v>
      </c>
      <c r="C279" s="56">
        <v>2.0</v>
      </c>
      <c r="D279" s="56">
        <f>VLOOKUP(E279,'AWS Platforms Ratios'!$A$2:$B$25,2,FALSE)</f>
        <v>96</v>
      </c>
      <c r="E279" s="57" t="s">
        <v>350</v>
      </c>
      <c r="F279" s="56">
        <v>16.0</v>
      </c>
      <c r="G279" s="56">
        <v>768.0</v>
      </c>
      <c r="H279" s="57" t="s">
        <v>71</v>
      </c>
      <c r="I279" s="56" t="s">
        <v>72</v>
      </c>
      <c r="J279" s="56">
        <v>0.0</v>
      </c>
      <c r="K279" s="58" t="s">
        <v>73</v>
      </c>
      <c r="L279" s="58" t="s">
        <v>73</v>
      </c>
      <c r="M279" s="58" t="s">
        <v>73</v>
      </c>
      <c r="N279" s="58" t="s">
        <v>73</v>
      </c>
      <c r="O279" s="59">
        <f>($C279/$D279)*VLOOKUP($E279,'AWS Platforms Ratios'!$A$2:$O$25,7,FALSE)</f>
        <v>1.205833333</v>
      </c>
      <c r="P279" s="59">
        <f>($C279/$D279)*VLOOKUP($E279,'AWS Platforms Ratios'!$A$2:$O$25,8,FALSE)</f>
        <v>3.054791667</v>
      </c>
      <c r="Q279" s="59">
        <f>($C279/$D279)*VLOOKUP($E279,'AWS Platforms Ratios'!$A$2:$O$25,9,FALSE)</f>
        <v>7.160416667</v>
      </c>
      <c r="R279" s="59">
        <f>($C279/$D279)*VLOOKUP($E279,'AWS Platforms Ratios'!$A$2:$O$25,10,FALSE)</f>
        <v>9.9578125</v>
      </c>
      <c r="S279" s="59">
        <f>$F279*VLOOKUP($E279,'AWS Platforms Ratios'!$A$2:$O$25,11,FALSE)</f>
        <v>2.40875</v>
      </c>
      <c r="T279" s="59">
        <f>$F279*VLOOKUP($E279,'AWS Platforms Ratios'!$A$2:$O$25,12,FALSE)</f>
        <v>3.849583333</v>
      </c>
      <c r="U279" s="59">
        <f>$F279*VLOOKUP($E279,'AWS Platforms Ratios'!$A$2:$O$25,13,FALSE)</f>
        <v>9.920833333</v>
      </c>
      <c r="V279" s="59">
        <f>$F279*VLOOKUP($E279,'AWS Platforms Ratios'!$A$2:$O$25,14,FALSE)</f>
        <v>15.99208333</v>
      </c>
      <c r="W279" s="60">
        <f>IF($K279&lt;&gt;"N/A",$M279*(VLOOKUP($L279,'GPU Specs &amp; Ratios'!$B$2:$I$8,5,FALSE)),0)</f>
        <v>0</v>
      </c>
      <c r="X279" s="60">
        <f>IF($K279&lt;&gt;"N/A",$M279*(VLOOKUP($L279,'GPU Specs &amp; Ratios'!$B$2:$I$8,6,FALSE)),0)</f>
        <v>0</v>
      </c>
      <c r="Y279" s="60">
        <f>IF($K279&lt;&gt;"N/A",$M279*(VLOOKUP($L279,'GPU Specs &amp; Ratios'!$B$2:$I$8,7,FALSE)),0)</f>
        <v>0</v>
      </c>
      <c r="Z279" s="60">
        <f>IF($K279&lt;&gt;"N/A",$M279*(VLOOKUP($L279,'GPU Specs &amp; Ratios'!$B$2:$I$8,8,FALSE)),0)</f>
        <v>0</v>
      </c>
      <c r="AA279" s="60">
        <f>(C279/D279)*VLOOKUP($E279,'AWS Platforms Ratios'!$A$2:$O$25,15,FALSE)</f>
        <v>2</v>
      </c>
      <c r="AB279" s="60">
        <f t="shared" ref="AB279:AE279" si="279">O279+S279+W279+$AA279</f>
        <v>5.614583333</v>
      </c>
      <c r="AC279" s="60">
        <f t="shared" si="279"/>
        <v>8.904375</v>
      </c>
      <c r="AD279" s="60">
        <f t="shared" si="279"/>
        <v>19.08125</v>
      </c>
      <c r="AE279" s="60">
        <f t="shared" si="279"/>
        <v>27.94989583</v>
      </c>
      <c r="AF279" s="60">
        <f>IF(G279&gt;'Scope 3 Ratios'!$B$5,(G279-'Scope 3 Ratios'!$B$5)*('Scope 3 Ratios'!$B$6/'Scope 3 Ratios'!$B$5),0)</f>
        <v>1042.9488</v>
      </c>
      <c r="AG279" s="60">
        <f>J279*IF(I279="SSD",'Scope 3 Ratios'!$B$9,'Scope 3 Ratios'!$B$8)</f>
        <v>0</v>
      </c>
      <c r="AH279" s="60">
        <f>IF(K279&lt;&gt;"N/A",K279*'Scope 3 Ratios'!$B$10,0)</f>
        <v>0</v>
      </c>
      <c r="AI279" s="60">
        <f>(VLOOKUP($E279,'AWS Platforms Ratios'!$A$2:$O$25,3,FALSE)-1)*'Scope 3 Ratios'!$B$7</f>
        <v>100</v>
      </c>
      <c r="AJ279" s="60">
        <f>'Scope 3 Ratios'!$B$2+AF279+AG279+AH279+AI279</f>
        <v>2142.9488</v>
      </c>
      <c r="AK279" s="60">
        <f>AJ279*'Scope 3 Ratios'!$B$4*(C279/D279)</f>
        <v>1.291804591</v>
      </c>
      <c r="AL279" s="61" t="s">
        <v>557</v>
      </c>
    </row>
    <row r="280" ht="15.0" customHeight="1">
      <c r="A280" s="56" t="s">
        <v>558</v>
      </c>
      <c r="B280" s="56" t="s">
        <v>556</v>
      </c>
      <c r="C280" s="56">
        <v>4.0</v>
      </c>
      <c r="D280" s="56">
        <f>VLOOKUP(E280,'AWS Platforms Ratios'!$A$2:$B$25,2,FALSE)</f>
        <v>96</v>
      </c>
      <c r="E280" s="57" t="s">
        <v>350</v>
      </c>
      <c r="F280" s="56">
        <v>32.0</v>
      </c>
      <c r="G280" s="56">
        <v>768.0</v>
      </c>
      <c r="H280" s="57" t="s">
        <v>71</v>
      </c>
      <c r="I280" s="56" t="s">
        <v>72</v>
      </c>
      <c r="J280" s="56">
        <v>0.0</v>
      </c>
      <c r="K280" s="58" t="s">
        <v>73</v>
      </c>
      <c r="L280" s="58" t="s">
        <v>73</v>
      </c>
      <c r="M280" s="58" t="s">
        <v>73</v>
      </c>
      <c r="N280" s="58" t="s">
        <v>73</v>
      </c>
      <c r="O280" s="59">
        <f>($C280/$D280)*VLOOKUP($E280,'AWS Platforms Ratios'!$A$2:$O$25,7,FALSE)</f>
        <v>2.411666667</v>
      </c>
      <c r="P280" s="59">
        <f>($C280/$D280)*VLOOKUP($E280,'AWS Platforms Ratios'!$A$2:$O$25,8,FALSE)</f>
        <v>6.109583333</v>
      </c>
      <c r="Q280" s="59">
        <f>($C280/$D280)*VLOOKUP($E280,'AWS Platforms Ratios'!$A$2:$O$25,9,FALSE)</f>
        <v>14.32083333</v>
      </c>
      <c r="R280" s="59">
        <f>($C280/$D280)*VLOOKUP($E280,'AWS Platforms Ratios'!$A$2:$O$25,10,FALSE)</f>
        <v>19.915625</v>
      </c>
      <c r="S280" s="59">
        <f>$F280*VLOOKUP($E280,'AWS Platforms Ratios'!$A$2:$O$25,11,FALSE)</f>
        <v>4.8175</v>
      </c>
      <c r="T280" s="59">
        <f>$F280*VLOOKUP($E280,'AWS Platforms Ratios'!$A$2:$O$25,12,FALSE)</f>
        <v>7.699166667</v>
      </c>
      <c r="U280" s="59">
        <f>$F280*VLOOKUP($E280,'AWS Platforms Ratios'!$A$2:$O$25,13,FALSE)</f>
        <v>19.84166667</v>
      </c>
      <c r="V280" s="59">
        <f>$F280*VLOOKUP($E280,'AWS Platforms Ratios'!$A$2:$O$25,14,FALSE)</f>
        <v>31.98416667</v>
      </c>
      <c r="W280" s="60">
        <f>IF($K280&lt;&gt;"N/A",$M280*(VLOOKUP($L280,'GPU Specs &amp; Ratios'!$B$2:$I$8,5,FALSE)),0)</f>
        <v>0</v>
      </c>
      <c r="X280" s="60">
        <f>IF($K280&lt;&gt;"N/A",$M280*(VLOOKUP($L280,'GPU Specs &amp; Ratios'!$B$2:$I$8,6,FALSE)),0)</f>
        <v>0</v>
      </c>
      <c r="Y280" s="60">
        <f>IF($K280&lt;&gt;"N/A",$M280*(VLOOKUP($L280,'GPU Specs &amp; Ratios'!$B$2:$I$8,7,FALSE)),0)</f>
        <v>0</v>
      </c>
      <c r="Z280" s="60">
        <f>IF($K280&lt;&gt;"N/A",$M280*(VLOOKUP($L280,'GPU Specs &amp; Ratios'!$B$2:$I$8,8,FALSE)),0)</f>
        <v>0</v>
      </c>
      <c r="AA280" s="60">
        <f>(C280/D280)*VLOOKUP($E280,'AWS Platforms Ratios'!$A$2:$O$25,15,FALSE)</f>
        <v>4</v>
      </c>
      <c r="AB280" s="60">
        <f t="shared" ref="AB280:AE280" si="280">O280+S280+W280+$AA280</f>
        <v>11.22916667</v>
      </c>
      <c r="AC280" s="60">
        <f t="shared" si="280"/>
        <v>17.80875</v>
      </c>
      <c r="AD280" s="60">
        <f t="shared" si="280"/>
        <v>38.1625</v>
      </c>
      <c r="AE280" s="60">
        <f t="shared" si="280"/>
        <v>55.89979167</v>
      </c>
      <c r="AF280" s="60">
        <f>IF(G280&gt;'Scope 3 Ratios'!$B$5,(G280-'Scope 3 Ratios'!$B$5)*('Scope 3 Ratios'!$B$6/'Scope 3 Ratios'!$B$5),0)</f>
        <v>1042.9488</v>
      </c>
      <c r="AG280" s="60">
        <f>J280*IF(I280="SSD",'Scope 3 Ratios'!$B$9,'Scope 3 Ratios'!$B$8)</f>
        <v>0</v>
      </c>
      <c r="AH280" s="60">
        <f>IF(K280&lt;&gt;"N/A",K280*'Scope 3 Ratios'!$B$10,0)</f>
        <v>0</v>
      </c>
      <c r="AI280" s="60">
        <f>(VLOOKUP($E280,'AWS Platforms Ratios'!$A$2:$O$25,3,FALSE)-1)*'Scope 3 Ratios'!$B$7</f>
        <v>100</v>
      </c>
      <c r="AJ280" s="60">
        <f>'Scope 3 Ratios'!$B$2+AF280+AG280+AH280+AI280</f>
        <v>2142.9488</v>
      </c>
      <c r="AK280" s="60">
        <f>AJ280*'Scope 3 Ratios'!$B$4*(C280/D280)</f>
        <v>2.583609182</v>
      </c>
      <c r="AL280" s="61" t="s">
        <v>557</v>
      </c>
    </row>
    <row r="281" ht="15.0" customHeight="1">
      <c r="A281" s="56" t="s">
        <v>559</v>
      </c>
      <c r="B281" s="56" t="s">
        <v>556</v>
      </c>
      <c r="C281" s="56">
        <v>8.0</v>
      </c>
      <c r="D281" s="56">
        <f>VLOOKUP(E281,'AWS Platforms Ratios'!$A$2:$B$25,2,FALSE)</f>
        <v>96</v>
      </c>
      <c r="E281" s="57" t="s">
        <v>350</v>
      </c>
      <c r="F281" s="56">
        <v>64.0</v>
      </c>
      <c r="G281" s="56">
        <v>768.0</v>
      </c>
      <c r="H281" s="57" t="s">
        <v>71</v>
      </c>
      <c r="I281" s="56" t="s">
        <v>72</v>
      </c>
      <c r="J281" s="56">
        <v>0.0</v>
      </c>
      <c r="K281" s="58" t="s">
        <v>73</v>
      </c>
      <c r="L281" s="58" t="s">
        <v>73</v>
      </c>
      <c r="M281" s="58" t="s">
        <v>73</v>
      </c>
      <c r="N281" s="58" t="s">
        <v>73</v>
      </c>
      <c r="O281" s="59">
        <f>($C281/$D281)*VLOOKUP($E281,'AWS Platforms Ratios'!$A$2:$O$25,7,FALSE)</f>
        <v>4.823333333</v>
      </c>
      <c r="P281" s="59">
        <f>($C281/$D281)*VLOOKUP($E281,'AWS Platforms Ratios'!$A$2:$O$25,8,FALSE)</f>
        <v>12.21916667</v>
      </c>
      <c r="Q281" s="59">
        <f>($C281/$D281)*VLOOKUP($E281,'AWS Platforms Ratios'!$A$2:$O$25,9,FALSE)</f>
        <v>28.64166667</v>
      </c>
      <c r="R281" s="59">
        <f>($C281/$D281)*VLOOKUP($E281,'AWS Platforms Ratios'!$A$2:$O$25,10,FALSE)</f>
        <v>39.83125</v>
      </c>
      <c r="S281" s="59">
        <f>$F281*VLOOKUP($E281,'AWS Platforms Ratios'!$A$2:$O$25,11,FALSE)</f>
        <v>9.635</v>
      </c>
      <c r="T281" s="59">
        <f>$F281*VLOOKUP($E281,'AWS Platforms Ratios'!$A$2:$O$25,12,FALSE)</f>
        <v>15.39833333</v>
      </c>
      <c r="U281" s="59">
        <f>$F281*VLOOKUP($E281,'AWS Platforms Ratios'!$A$2:$O$25,13,FALSE)</f>
        <v>39.68333333</v>
      </c>
      <c r="V281" s="59">
        <f>$F281*VLOOKUP($E281,'AWS Platforms Ratios'!$A$2:$O$25,14,FALSE)</f>
        <v>63.96833333</v>
      </c>
      <c r="W281" s="60">
        <f>IF($K281&lt;&gt;"N/A",$M281*(VLOOKUP($L281,'GPU Specs &amp; Ratios'!$B$2:$I$8,5,FALSE)),0)</f>
        <v>0</v>
      </c>
      <c r="X281" s="60">
        <f>IF($K281&lt;&gt;"N/A",$M281*(VLOOKUP($L281,'GPU Specs &amp; Ratios'!$B$2:$I$8,6,FALSE)),0)</f>
        <v>0</v>
      </c>
      <c r="Y281" s="60">
        <f>IF($K281&lt;&gt;"N/A",$M281*(VLOOKUP($L281,'GPU Specs &amp; Ratios'!$B$2:$I$8,7,FALSE)),0)</f>
        <v>0</v>
      </c>
      <c r="Z281" s="60">
        <f>IF($K281&lt;&gt;"N/A",$M281*(VLOOKUP($L281,'GPU Specs &amp; Ratios'!$B$2:$I$8,8,FALSE)),0)</f>
        <v>0</v>
      </c>
      <c r="AA281" s="60">
        <f>(C281/D281)*VLOOKUP($E281,'AWS Platforms Ratios'!$A$2:$O$25,15,FALSE)</f>
        <v>8</v>
      </c>
      <c r="AB281" s="60">
        <f t="shared" ref="AB281:AE281" si="281">O281+S281+W281+$AA281</f>
        <v>22.45833333</v>
      </c>
      <c r="AC281" s="60">
        <f t="shared" si="281"/>
        <v>35.6175</v>
      </c>
      <c r="AD281" s="60">
        <f t="shared" si="281"/>
        <v>76.325</v>
      </c>
      <c r="AE281" s="60">
        <f t="shared" si="281"/>
        <v>111.7995833</v>
      </c>
      <c r="AF281" s="60">
        <f>IF(G281&gt;'Scope 3 Ratios'!$B$5,(G281-'Scope 3 Ratios'!$B$5)*('Scope 3 Ratios'!$B$6/'Scope 3 Ratios'!$B$5),0)</f>
        <v>1042.9488</v>
      </c>
      <c r="AG281" s="60">
        <f>J281*IF(I281="SSD",'Scope 3 Ratios'!$B$9,'Scope 3 Ratios'!$B$8)</f>
        <v>0</v>
      </c>
      <c r="AH281" s="60">
        <f>IF(K281&lt;&gt;"N/A",K281*'Scope 3 Ratios'!$B$10,0)</f>
        <v>0</v>
      </c>
      <c r="AI281" s="60">
        <f>(VLOOKUP($E281,'AWS Platforms Ratios'!$A$2:$O$25,3,FALSE)-1)*'Scope 3 Ratios'!$B$7</f>
        <v>100</v>
      </c>
      <c r="AJ281" s="60">
        <f>'Scope 3 Ratios'!$B$2+AF281+AG281+AH281+AI281</f>
        <v>2142.9488</v>
      </c>
      <c r="AK281" s="60">
        <f>AJ281*'Scope 3 Ratios'!$B$4*(C281/D281)</f>
        <v>5.167218364</v>
      </c>
      <c r="AL281" s="61" t="s">
        <v>557</v>
      </c>
    </row>
    <row r="282" ht="15.0" customHeight="1">
      <c r="A282" s="56" t="s">
        <v>560</v>
      </c>
      <c r="B282" s="56" t="s">
        <v>556</v>
      </c>
      <c r="C282" s="56">
        <v>16.0</v>
      </c>
      <c r="D282" s="56">
        <f>VLOOKUP(E282,'AWS Platforms Ratios'!$A$2:$B$25,2,FALSE)</f>
        <v>96</v>
      </c>
      <c r="E282" s="57" t="s">
        <v>350</v>
      </c>
      <c r="F282" s="56">
        <v>128.0</v>
      </c>
      <c r="G282" s="56">
        <v>768.0</v>
      </c>
      <c r="H282" s="57" t="s">
        <v>71</v>
      </c>
      <c r="I282" s="56" t="s">
        <v>72</v>
      </c>
      <c r="J282" s="56">
        <v>0.0</v>
      </c>
      <c r="K282" s="58" t="s">
        <v>73</v>
      </c>
      <c r="L282" s="58" t="s">
        <v>73</v>
      </c>
      <c r="M282" s="58" t="s">
        <v>73</v>
      </c>
      <c r="N282" s="58" t="s">
        <v>73</v>
      </c>
      <c r="O282" s="59">
        <f>($C282/$D282)*VLOOKUP($E282,'AWS Platforms Ratios'!$A$2:$O$25,7,FALSE)</f>
        <v>9.646666667</v>
      </c>
      <c r="P282" s="59">
        <f>($C282/$D282)*VLOOKUP($E282,'AWS Platforms Ratios'!$A$2:$O$25,8,FALSE)</f>
        <v>24.43833333</v>
      </c>
      <c r="Q282" s="59">
        <f>($C282/$D282)*VLOOKUP($E282,'AWS Platforms Ratios'!$A$2:$O$25,9,FALSE)</f>
        <v>57.28333333</v>
      </c>
      <c r="R282" s="59">
        <f>($C282/$D282)*VLOOKUP($E282,'AWS Platforms Ratios'!$A$2:$O$25,10,FALSE)</f>
        <v>79.6625</v>
      </c>
      <c r="S282" s="59">
        <f>$F282*VLOOKUP($E282,'AWS Platforms Ratios'!$A$2:$O$25,11,FALSE)</f>
        <v>19.27</v>
      </c>
      <c r="T282" s="59">
        <f>$F282*VLOOKUP($E282,'AWS Platforms Ratios'!$A$2:$O$25,12,FALSE)</f>
        <v>30.79666667</v>
      </c>
      <c r="U282" s="59">
        <f>$F282*VLOOKUP($E282,'AWS Platforms Ratios'!$A$2:$O$25,13,FALSE)</f>
        <v>79.36666667</v>
      </c>
      <c r="V282" s="59">
        <f>$F282*VLOOKUP($E282,'AWS Platforms Ratios'!$A$2:$O$25,14,FALSE)</f>
        <v>127.9366667</v>
      </c>
      <c r="W282" s="60">
        <f>IF($K282&lt;&gt;"N/A",$M282*(VLOOKUP($L282,'GPU Specs &amp; Ratios'!$B$2:$I$8,5,FALSE)),0)</f>
        <v>0</v>
      </c>
      <c r="X282" s="60">
        <f>IF($K282&lt;&gt;"N/A",$M282*(VLOOKUP($L282,'GPU Specs &amp; Ratios'!$B$2:$I$8,6,FALSE)),0)</f>
        <v>0</v>
      </c>
      <c r="Y282" s="60">
        <f>IF($K282&lt;&gt;"N/A",$M282*(VLOOKUP($L282,'GPU Specs &amp; Ratios'!$B$2:$I$8,7,FALSE)),0)</f>
        <v>0</v>
      </c>
      <c r="Z282" s="60">
        <f>IF($K282&lt;&gt;"N/A",$M282*(VLOOKUP($L282,'GPU Specs &amp; Ratios'!$B$2:$I$8,8,FALSE)),0)</f>
        <v>0</v>
      </c>
      <c r="AA282" s="60">
        <f>(C282/D282)*VLOOKUP($E282,'AWS Platforms Ratios'!$A$2:$O$25,15,FALSE)</f>
        <v>16</v>
      </c>
      <c r="AB282" s="60">
        <f t="shared" ref="AB282:AE282" si="282">O282+S282+W282+$AA282</f>
        <v>44.91666667</v>
      </c>
      <c r="AC282" s="60">
        <f t="shared" si="282"/>
        <v>71.235</v>
      </c>
      <c r="AD282" s="60">
        <f t="shared" si="282"/>
        <v>152.65</v>
      </c>
      <c r="AE282" s="60">
        <f t="shared" si="282"/>
        <v>223.5991667</v>
      </c>
      <c r="AF282" s="60">
        <f>IF(G282&gt;'Scope 3 Ratios'!$B$5,(G282-'Scope 3 Ratios'!$B$5)*('Scope 3 Ratios'!$B$6/'Scope 3 Ratios'!$B$5),0)</f>
        <v>1042.9488</v>
      </c>
      <c r="AG282" s="60">
        <f>J282*IF(I282="SSD",'Scope 3 Ratios'!$B$9,'Scope 3 Ratios'!$B$8)</f>
        <v>0</v>
      </c>
      <c r="AH282" s="60">
        <f>IF(K282&lt;&gt;"N/A",K282*'Scope 3 Ratios'!$B$10,0)</f>
        <v>0</v>
      </c>
      <c r="AI282" s="60">
        <f>(VLOOKUP($E282,'AWS Platforms Ratios'!$A$2:$O$25,3,FALSE)-1)*'Scope 3 Ratios'!$B$7</f>
        <v>100</v>
      </c>
      <c r="AJ282" s="60">
        <f>'Scope 3 Ratios'!$B$2+AF282+AG282+AH282+AI282</f>
        <v>2142.9488</v>
      </c>
      <c r="AK282" s="60">
        <f>AJ282*'Scope 3 Ratios'!$B$4*(C282/D282)</f>
        <v>10.33443673</v>
      </c>
      <c r="AL282" s="61" t="s">
        <v>557</v>
      </c>
    </row>
    <row r="283" ht="15.0" customHeight="1">
      <c r="A283" s="56" t="s">
        <v>561</v>
      </c>
      <c r="B283" s="56" t="s">
        <v>128</v>
      </c>
      <c r="C283" s="56">
        <v>32.0</v>
      </c>
      <c r="D283" s="56">
        <f>VLOOKUP(E283,'AWS Platforms Ratios'!$A$2:$B$25,2,FALSE)</f>
        <v>96</v>
      </c>
      <c r="E283" s="57" t="s">
        <v>350</v>
      </c>
      <c r="F283" s="56">
        <v>256.0</v>
      </c>
      <c r="G283" s="56">
        <v>768.0</v>
      </c>
      <c r="H283" s="57" t="s">
        <v>71</v>
      </c>
      <c r="I283" s="56" t="s">
        <v>72</v>
      </c>
      <c r="J283" s="56">
        <v>0.0</v>
      </c>
      <c r="K283" s="58" t="s">
        <v>73</v>
      </c>
      <c r="L283" s="58" t="s">
        <v>73</v>
      </c>
      <c r="M283" s="58" t="s">
        <v>73</v>
      </c>
      <c r="N283" s="58" t="s">
        <v>73</v>
      </c>
      <c r="O283" s="59">
        <f>($C283/$D283)*VLOOKUP($E283,'AWS Platforms Ratios'!$A$2:$O$25,7,FALSE)</f>
        <v>19.29333333</v>
      </c>
      <c r="P283" s="59">
        <f>($C283/$D283)*VLOOKUP($E283,'AWS Platforms Ratios'!$A$2:$O$25,8,FALSE)</f>
        <v>48.87666667</v>
      </c>
      <c r="Q283" s="59">
        <f>($C283/$D283)*VLOOKUP($E283,'AWS Platforms Ratios'!$A$2:$O$25,9,FALSE)</f>
        <v>114.5666667</v>
      </c>
      <c r="R283" s="59">
        <f>($C283/$D283)*VLOOKUP($E283,'AWS Platforms Ratios'!$A$2:$O$25,10,FALSE)</f>
        <v>159.325</v>
      </c>
      <c r="S283" s="59">
        <f>$F283*VLOOKUP($E283,'AWS Platforms Ratios'!$A$2:$O$25,11,FALSE)</f>
        <v>38.54</v>
      </c>
      <c r="T283" s="59">
        <f>$F283*VLOOKUP($E283,'AWS Platforms Ratios'!$A$2:$O$25,12,FALSE)</f>
        <v>61.59333333</v>
      </c>
      <c r="U283" s="59">
        <f>$F283*VLOOKUP($E283,'AWS Platforms Ratios'!$A$2:$O$25,13,FALSE)</f>
        <v>158.7333333</v>
      </c>
      <c r="V283" s="59">
        <f>$F283*VLOOKUP($E283,'AWS Platforms Ratios'!$A$2:$O$25,14,FALSE)</f>
        <v>255.8733333</v>
      </c>
      <c r="W283" s="60">
        <f>IF($K283&lt;&gt;"N/A",$M283*(VLOOKUP($L283,'GPU Specs &amp; Ratios'!$B$2:$I$8,5,FALSE)),0)</f>
        <v>0</v>
      </c>
      <c r="X283" s="60">
        <f>IF($K283&lt;&gt;"N/A",$M283*(VLOOKUP($L283,'GPU Specs &amp; Ratios'!$B$2:$I$8,6,FALSE)),0)</f>
        <v>0</v>
      </c>
      <c r="Y283" s="60">
        <f>IF($K283&lt;&gt;"N/A",$M283*(VLOOKUP($L283,'GPU Specs &amp; Ratios'!$B$2:$I$8,7,FALSE)),0)</f>
        <v>0</v>
      </c>
      <c r="Z283" s="60">
        <f>IF($K283&lt;&gt;"N/A",$M283*(VLOOKUP($L283,'GPU Specs &amp; Ratios'!$B$2:$I$8,8,FALSE)),0)</f>
        <v>0</v>
      </c>
      <c r="AA283" s="60">
        <f>(C283/D283)*VLOOKUP($E283,'AWS Platforms Ratios'!$A$2:$O$25,15,FALSE)</f>
        <v>32</v>
      </c>
      <c r="AB283" s="60">
        <f t="shared" ref="AB283:AE283" si="283">O283+S283+W283+$AA283</f>
        <v>89.83333333</v>
      </c>
      <c r="AC283" s="60">
        <f t="shared" si="283"/>
        <v>142.47</v>
      </c>
      <c r="AD283" s="60">
        <f t="shared" si="283"/>
        <v>305.3</v>
      </c>
      <c r="AE283" s="60">
        <f t="shared" si="283"/>
        <v>447.1983333</v>
      </c>
      <c r="AF283" s="60">
        <f>IF(G283&gt;'Scope 3 Ratios'!$B$5,(G283-'Scope 3 Ratios'!$B$5)*('Scope 3 Ratios'!$B$6/'Scope 3 Ratios'!$B$5),0)</f>
        <v>1042.9488</v>
      </c>
      <c r="AG283" s="60">
        <f>J283*IF(I283="SSD",'Scope 3 Ratios'!$B$9,'Scope 3 Ratios'!$B$8)</f>
        <v>0</v>
      </c>
      <c r="AH283" s="60">
        <f>IF(K283&lt;&gt;"N/A",K283*'Scope 3 Ratios'!$B$10,0)</f>
        <v>0</v>
      </c>
      <c r="AI283" s="60">
        <f>(VLOOKUP($E283,'AWS Platforms Ratios'!$A$2:$O$25,3,FALSE)-1)*'Scope 3 Ratios'!$B$7</f>
        <v>100</v>
      </c>
      <c r="AJ283" s="60">
        <f>'Scope 3 Ratios'!$B$2+AF283+AG283+AH283+AI283</f>
        <v>2142.9488</v>
      </c>
      <c r="AK283" s="60">
        <f>AJ283*'Scope 3 Ratios'!$B$4*(C283/D283)</f>
        <v>20.66887346</v>
      </c>
      <c r="AL283" s="61" t="s">
        <v>557</v>
      </c>
    </row>
    <row r="284" ht="15.0" customHeight="1">
      <c r="A284" s="56" t="s">
        <v>562</v>
      </c>
      <c r="B284" s="56" t="s">
        <v>556</v>
      </c>
      <c r="C284" s="56">
        <v>48.0</v>
      </c>
      <c r="D284" s="56">
        <f>VLOOKUP(E284,'AWS Platforms Ratios'!$A$2:$B$25,2,FALSE)</f>
        <v>96</v>
      </c>
      <c r="E284" s="57" t="s">
        <v>350</v>
      </c>
      <c r="F284" s="56">
        <v>384.0</v>
      </c>
      <c r="G284" s="56">
        <v>768.0</v>
      </c>
      <c r="H284" s="57" t="s">
        <v>71</v>
      </c>
      <c r="I284" s="56" t="s">
        <v>72</v>
      </c>
      <c r="J284" s="56">
        <v>0.0</v>
      </c>
      <c r="K284" s="58" t="s">
        <v>73</v>
      </c>
      <c r="L284" s="58" t="s">
        <v>73</v>
      </c>
      <c r="M284" s="58" t="s">
        <v>73</v>
      </c>
      <c r="N284" s="58" t="s">
        <v>73</v>
      </c>
      <c r="O284" s="59">
        <f>($C284/$D284)*VLOOKUP($E284,'AWS Platforms Ratios'!$A$2:$O$25,7,FALSE)</f>
        <v>28.94</v>
      </c>
      <c r="P284" s="59">
        <f>($C284/$D284)*VLOOKUP($E284,'AWS Platforms Ratios'!$A$2:$O$25,8,FALSE)</f>
        <v>73.315</v>
      </c>
      <c r="Q284" s="59">
        <f>($C284/$D284)*VLOOKUP($E284,'AWS Platforms Ratios'!$A$2:$O$25,9,FALSE)</f>
        <v>171.85</v>
      </c>
      <c r="R284" s="59">
        <f>($C284/$D284)*VLOOKUP($E284,'AWS Platforms Ratios'!$A$2:$O$25,10,FALSE)</f>
        <v>238.9875</v>
      </c>
      <c r="S284" s="59">
        <f>$F284*VLOOKUP($E284,'AWS Platforms Ratios'!$A$2:$O$25,11,FALSE)</f>
        <v>57.81</v>
      </c>
      <c r="T284" s="59">
        <f>$F284*VLOOKUP($E284,'AWS Platforms Ratios'!$A$2:$O$25,12,FALSE)</f>
        <v>92.39</v>
      </c>
      <c r="U284" s="59">
        <f>$F284*VLOOKUP($E284,'AWS Platforms Ratios'!$A$2:$O$25,13,FALSE)</f>
        <v>238.1</v>
      </c>
      <c r="V284" s="59">
        <f>$F284*VLOOKUP($E284,'AWS Platforms Ratios'!$A$2:$O$25,14,FALSE)</f>
        <v>383.81</v>
      </c>
      <c r="W284" s="60">
        <f>IF($K284&lt;&gt;"N/A",$M284*(VLOOKUP($L284,'GPU Specs &amp; Ratios'!$B$2:$I$8,5,FALSE)),0)</f>
        <v>0</v>
      </c>
      <c r="X284" s="60">
        <f>IF($K284&lt;&gt;"N/A",$M284*(VLOOKUP($L284,'GPU Specs &amp; Ratios'!$B$2:$I$8,6,FALSE)),0)</f>
        <v>0</v>
      </c>
      <c r="Y284" s="60">
        <f>IF($K284&lt;&gt;"N/A",$M284*(VLOOKUP($L284,'GPU Specs &amp; Ratios'!$B$2:$I$8,7,FALSE)),0)</f>
        <v>0</v>
      </c>
      <c r="Z284" s="60">
        <f>IF($K284&lt;&gt;"N/A",$M284*(VLOOKUP($L284,'GPU Specs &amp; Ratios'!$B$2:$I$8,8,FALSE)),0)</f>
        <v>0</v>
      </c>
      <c r="AA284" s="60">
        <f>(C284/D284)*VLOOKUP($E284,'AWS Platforms Ratios'!$A$2:$O$25,15,FALSE)</f>
        <v>48</v>
      </c>
      <c r="AB284" s="60">
        <f t="shared" ref="AB284:AE284" si="284">O284+S284+W284+$AA284</f>
        <v>134.75</v>
      </c>
      <c r="AC284" s="60">
        <f t="shared" si="284"/>
        <v>213.705</v>
      </c>
      <c r="AD284" s="60">
        <f t="shared" si="284"/>
        <v>457.95</v>
      </c>
      <c r="AE284" s="60">
        <f t="shared" si="284"/>
        <v>670.7975</v>
      </c>
      <c r="AF284" s="60">
        <f>IF(G284&gt;'Scope 3 Ratios'!$B$5,(G284-'Scope 3 Ratios'!$B$5)*('Scope 3 Ratios'!$B$6/'Scope 3 Ratios'!$B$5),0)</f>
        <v>1042.9488</v>
      </c>
      <c r="AG284" s="60">
        <f>J284*IF(I284="SSD",'Scope 3 Ratios'!$B$9,'Scope 3 Ratios'!$B$8)</f>
        <v>0</v>
      </c>
      <c r="AH284" s="60">
        <f>IF(K284&lt;&gt;"N/A",K284*'Scope 3 Ratios'!$B$10,0)</f>
        <v>0</v>
      </c>
      <c r="AI284" s="60">
        <f>(VLOOKUP($E284,'AWS Platforms Ratios'!$A$2:$O$25,3,FALSE)-1)*'Scope 3 Ratios'!$B$7</f>
        <v>100</v>
      </c>
      <c r="AJ284" s="60">
        <f>'Scope 3 Ratios'!$B$2+AF284+AG284+AH284+AI284</f>
        <v>2142.9488</v>
      </c>
      <c r="AK284" s="60">
        <f>AJ284*'Scope 3 Ratios'!$B$4*(C284/D284)</f>
        <v>31.00331019</v>
      </c>
      <c r="AL284" s="61" t="s">
        <v>557</v>
      </c>
    </row>
    <row r="285" ht="15.0" customHeight="1">
      <c r="A285" s="56" t="s">
        <v>563</v>
      </c>
      <c r="B285" s="56" t="s">
        <v>128</v>
      </c>
      <c r="C285" s="56">
        <v>64.0</v>
      </c>
      <c r="D285" s="56">
        <f>VLOOKUP(E285,'AWS Platforms Ratios'!$A$2:$B$25,2,FALSE)</f>
        <v>96</v>
      </c>
      <c r="E285" s="57" t="s">
        <v>350</v>
      </c>
      <c r="F285" s="56">
        <v>512.0</v>
      </c>
      <c r="G285" s="56">
        <v>768.0</v>
      </c>
      <c r="H285" s="57" t="s">
        <v>71</v>
      </c>
      <c r="I285" s="56" t="s">
        <v>72</v>
      </c>
      <c r="J285" s="56">
        <v>0.0</v>
      </c>
      <c r="K285" s="58" t="s">
        <v>73</v>
      </c>
      <c r="L285" s="58" t="s">
        <v>73</v>
      </c>
      <c r="M285" s="58" t="s">
        <v>73</v>
      </c>
      <c r="N285" s="58" t="s">
        <v>73</v>
      </c>
      <c r="O285" s="59">
        <f>($C285/$D285)*VLOOKUP($E285,'AWS Platforms Ratios'!$A$2:$O$25,7,FALSE)</f>
        <v>38.58666667</v>
      </c>
      <c r="P285" s="59">
        <f>($C285/$D285)*VLOOKUP($E285,'AWS Platforms Ratios'!$A$2:$O$25,8,FALSE)</f>
        <v>97.75333333</v>
      </c>
      <c r="Q285" s="59">
        <f>($C285/$D285)*VLOOKUP($E285,'AWS Platforms Ratios'!$A$2:$O$25,9,FALSE)</f>
        <v>229.1333333</v>
      </c>
      <c r="R285" s="59">
        <f>($C285/$D285)*VLOOKUP($E285,'AWS Platforms Ratios'!$A$2:$O$25,10,FALSE)</f>
        <v>318.65</v>
      </c>
      <c r="S285" s="59">
        <f>$F285*VLOOKUP($E285,'AWS Platforms Ratios'!$A$2:$O$25,11,FALSE)</f>
        <v>77.08</v>
      </c>
      <c r="T285" s="59">
        <f>$F285*VLOOKUP($E285,'AWS Platforms Ratios'!$A$2:$O$25,12,FALSE)</f>
        <v>123.1866667</v>
      </c>
      <c r="U285" s="59">
        <f>$F285*VLOOKUP($E285,'AWS Platforms Ratios'!$A$2:$O$25,13,FALSE)</f>
        <v>317.4666667</v>
      </c>
      <c r="V285" s="59">
        <f>$F285*VLOOKUP($E285,'AWS Platforms Ratios'!$A$2:$O$25,14,FALSE)</f>
        <v>511.7466667</v>
      </c>
      <c r="W285" s="60">
        <f>IF($K285&lt;&gt;"N/A",$M285*(VLOOKUP($L285,'GPU Specs &amp; Ratios'!$B$2:$I$8,5,FALSE)),0)</f>
        <v>0</v>
      </c>
      <c r="X285" s="60">
        <f>IF($K285&lt;&gt;"N/A",$M285*(VLOOKUP($L285,'GPU Specs &amp; Ratios'!$B$2:$I$8,6,FALSE)),0)</f>
        <v>0</v>
      </c>
      <c r="Y285" s="60">
        <f>IF($K285&lt;&gt;"N/A",$M285*(VLOOKUP($L285,'GPU Specs &amp; Ratios'!$B$2:$I$8,7,FALSE)),0)</f>
        <v>0</v>
      </c>
      <c r="Z285" s="60">
        <f>IF($K285&lt;&gt;"N/A",$M285*(VLOOKUP($L285,'GPU Specs &amp; Ratios'!$B$2:$I$8,8,FALSE)),0)</f>
        <v>0</v>
      </c>
      <c r="AA285" s="60">
        <f>(C285/D285)*VLOOKUP($E285,'AWS Platforms Ratios'!$A$2:$O$25,15,FALSE)</f>
        <v>64</v>
      </c>
      <c r="AB285" s="60">
        <f t="shared" ref="AB285:AE285" si="285">O285+S285+W285+$AA285</f>
        <v>179.6666667</v>
      </c>
      <c r="AC285" s="60">
        <f t="shared" si="285"/>
        <v>284.94</v>
      </c>
      <c r="AD285" s="60">
        <f t="shared" si="285"/>
        <v>610.6</v>
      </c>
      <c r="AE285" s="60">
        <f t="shared" si="285"/>
        <v>894.3966667</v>
      </c>
      <c r="AF285" s="60">
        <f>IF(G285&gt;'Scope 3 Ratios'!$B$5,(G285-'Scope 3 Ratios'!$B$5)*('Scope 3 Ratios'!$B$6/'Scope 3 Ratios'!$B$5),0)</f>
        <v>1042.9488</v>
      </c>
      <c r="AG285" s="60">
        <f>J285*IF(I285="SSD",'Scope 3 Ratios'!$B$9,'Scope 3 Ratios'!$B$8)</f>
        <v>0</v>
      </c>
      <c r="AH285" s="60">
        <f>IF(K285&lt;&gt;"N/A",K285*'Scope 3 Ratios'!$B$10,0)</f>
        <v>0</v>
      </c>
      <c r="AI285" s="60">
        <f>(VLOOKUP($E285,'AWS Platforms Ratios'!$A$2:$O$25,3,FALSE)-1)*'Scope 3 Ratios'!$B$7</f>
        <v>100</v>
      </c>
      <c r="AJ285" s="60">
        <f>'Scope 3 Ratios'!$B$2+AF285+AG285+AH285+AI285</f>
        <v>2142.9488</v>
      </c>
      <c r="AK285" s="60">
        <f>AJ285*'Scope 3 Ratios'!$B$4*(C285/D285)</f>
        <v>41.33774691</v>
      </c>
      <c r="AL285" s="61" t="s">
        <v>557</v>
      </c>
    </row>
    <row r="286" ht="15.0" customHeight="1">
      <c r="A286" s="56" t="s">
        <v>564</v>
      </c>
      <c r="B286" s="56" t="s">
        <v>556</v>
      </c>
      <c r="C286" s="56">
        <v>96.0</v>
      </c>
      <c r="D286" s="56">
        <f>VLOOKUP(E286,'AWS Platforms Ratios'!$A$2:$B$25,2,FALSE)</f>
        <v>96</v>
      </c>
      <c r="E286" s="57" t="s">
        <v>350</v>
      </c>
      <c r="F286" s="56">
        <v>768.0</v>
      </c>
      <c r="G286" s="56">
        <v>768.0</v>
      </c>
      <c r="H286" s="57" t="s">
        <v>71</v>
      </c>
      <c r="I286" s="56" t="s">
        <v>72</v>
      </c>
      <c r="J286" s="56">
        <v>0.0</v>
      </c>
      <c r="K286" s="58" t="s">
        <v>73</v>
      </c>
      <c r="L286" s="58" t="s">
        <v>73</v>
      </c>
      <c r="M286" s="58" t="s">
        <v>73</v>
      </c>
      <c r="N286" s="58" t="s">
        <v>73</v>
      </c>
      <c r="O286" s="59">
        <f>($C286/$D286)*VLOOKUP($E286,'AWS Platforms Ratios'!$A$2:$O$25,7,FALSE)</f>
        <v>57.88</v>
      </c>
      <c r="P286" s="59">
        <f>($C286/$D286)*VLOOKUP($E286,'AWS Platforms Ratios'!$A$2:$O$25,8,FALSE)</f>
        <v>146.63</v>
      </c>
      <c r="Q286" s="59">
        <f>($C286/$D286)*VLOOKUP($E286,'AWS Platforms Ratios'!$A$2:$O$25,9,FALSE)</f>
        <v>343.7</v>
      </c>
      <c r="R286" s="59">
        <f>($C286/$D286)*VLOOKUP($E286,'AWS Platforms Ratios'!$A$2:$O$25,10,FALSE)</f>
        <v>477.975</v>
      </c>
      <c r="S286" s="59">
        <f>$F286*VLOOKUP($E286,'AWS Platforms Ratios'!$A$2:$O$25,11,FALSE)</f>
        <v>115.62</v>
      </c>
      <c r="T286" s="59">
        <f>$F286*VLOOKUP($E286,'AWS Platforms Ratios'!$A$2:$O$25,12,FALSE)</f>
        <v>184.78</v>
      </c>
      <c r="U286" s="59">
        <f>$F286*VLOOKUP($E286,'AWS Platforms Ratios'!$A$2:$O$25,13,FALSE)</f>
        <v>476.2</v>
      </c>
      <c r="V286" s="59">
        <f>$F286*VLOOKUP($E286,'AWS Platforms Ratios'!$A$2:$O$25,14,FALSE)</f>
        <v>767.62</v>
      </c>
      <c r="W286" s="60">
        <f>IF($K286&lt;&gt;"N/A",$M286*(VLOOKUP($L286,'GPU Specs &amp; Ratios'!$B$2:$I$8,5,FALSE)),0)</f>
        <v>0</v>
      </c>
      <c r="X286" s="60">
        <f>IF($K286&lt;&gt;"N/A",$M286*(VLOOKUP($L286,'GPU Specs &amp; Ratios'!$B$2:$I$8,6,FALSE)),0)</f>
        <v>0</v>
      </c>
      <c r="Y286" s="60">
        <f>IF($K286&lt;&gt;"N/A",$M286*(VLOOKUP($L286,'GPU Specs &amp; Ratios'!$B$2:$I$8,7,FALSE)),0)</f>
        <v>0</v>
      </c>
      <c r="Z286" s="60">
        <f>IF($K286&lt;&gt;"N/A",$M286*(VLOOKUP($L286,'GPU Specs &amp; Ratios'!$B$2:$I$8,8,FALSE)),0)</f>
        <v>0</v>
      </c>
      <c r="AA286" s="60">
        <f>(C286/D286)*VLOOKUP($E286,'AWS Platforms Ratios'!$A$2:$O$25,15,FALSE)</f>
        <v>96</v>
      </c>
      <c r="AB286" s="60">
        <f t="shared" ref="AB286:AE286" si="286">O286+S286+W286+$AA286</f>
        <v>269.5</v>
      </c>
      <c r="AC286" s="60">
        <f t="shared" si="286"/>
        <v>427.41</v>
      </c>
      <c r="AD286" s="60">
        <f t="shared" si="286"/>
        <v>915.9</v>
      </c>
      <c r="AE286" s="60">
        <f t="shared" si="286"/>
        <v>1341.595</v>
      </c>
      <c r="AF286" s="60">
        <f>IF(G286&gt;'Scope 3 Ratios'!$B$5,(G286-'Scope 3 Ratios'!$B$5)*('Scope 3 Ratios'!$B$6/'Scope 3 Ratios'!$B$5),0)</f>
        <v>1042.9488</v>
      </c>
      <c r="AG286" s="60">
        <f>J286*IF(I286="SSD",'Scope 3 Ratios'!$B$9,'Scope 3 Ratios'!$B$8)</f>
        <v>0</v>
      </c>
      <c r="AH286" s="60">
        <f>IF(K286&lt;&gt;"N/A",K286*'Scope 3 Ratios'!$B$10,0)</f>
        <v>0</v>
      </c>
      <c r="AI286" s="60">
        <f>(VLOOKUP($E286,'AWS Platforms Ratios'!$A$2:$O$25,3,FALSE)-1)*'Scope 3 Ratios'!$B$7</f>
        <v>100</v>
      </c>
      <c r="AJ286" s="60">
        <f>'Scope 3 Ratios'!$B$2+AF286+AG286+AH286+AI286</f>
        <v>2142.9488</v>
      </c>
      <c r="AK286" s="60">
        <f>AJ286*'Scope 3 Ratios'!$B$4*(C286/D286)</f>
        <v>62.00662037</v>
      </c>
      <c r="AL286" s="61" t="s">
        <v>557</v>
      </c>
    </row>
    <row r="287" ht="15.0" customHeight="1">
      <c r="A287" s="56" t="s">
        <v>565</v>
      </c>
      <c r="B287" s="56" t="s">
        <v>556</v>
      </c>
      <c r="C287" s="56">
        <v>96.0</v>
      </c>
      <c r="D287" s="56">
        <f>VLOOKUP(E287,'AWS Platforms Ratios'!$A$2:$B$25,2,FALSE)</f>
        <v>96</v>
      </c>
      <c r="E287" s="57" t="s">
        <v>350</v>
      </c>
      <c r="F287" s="56">
        <v>768.0</v>
      </c>
      <c r="G287" s="56">
        <v>768.0</v>
      </c>
      <c r="H287" s="57" t="s">
        <v>71</v>
      </c>
      <c r="I287" s="56" t="s">
        <v>72</v>
      </c>
      <c r="J287" s="56">
        <v>0.0</v>
      </c>
      <c r="K287" s="58" t="s">
        <v>73</v>
      </c>
      <c r="L287" s="58" t="s">
        <v>73</v>
      </c>
      <c r="M287" s="58" t="s">
        <v>73</v>
      </c>
      <c r="N287" s="58" t="s">
        <v>73</v>
      </c>
      <c r="O287" s="59">
        <f>($C287/$D287)*VLOOKUP($E287,'AWS Platforms Ratios'!$A$2:$O$25,7,FALSE)</f>
        <v>57.88</v>
      </c>
      <c r="P287" s="59">
        <f>($C287/$D287)*VLOOKUP($E287,'AWS Platforms Ratios'!$A$2:$O$25,8,FALSE)</f>
        <v>146.63</v>
      </c>
      <c r="Q287" s="59">
        <f>($C287/$D287)*VLOOKUP($E287,'AWS Platforms Ratios'!$A$2:$O$25,9,FALSE)</f>
        <v>343.7</v>
      </c>
      <c r="R287" s="59">
        <f>($C287/$D287)*VLOOKUP($E287,'AWS Platforms Ratios'!$A$2:$O$25,10,FALSE)</f>
        <v>477.975</v>
      </c>
      <c r="S287" s="59">
        <f>$F287*VLOOKUP($E287,'AWS Platforms Ratios'!$A$2:$O$25,11,FALSE)</f>
        <v>115.62</v>
      </c>
      <c r="T287" s="59">
        <f>$F287*VLOOKUP($E287,'AWS Platforms Ratios'!$A$2:$O$25,12,FALSE)</f>
        <v>184.78</v>
      </c>
      <c r="U287" s="59">
        <f>$F287*VLOOKUP($E287,'AWS Platforms Ratios'!$A$2:$O$25,13,FALSE)</f>
        <v>476.2</v>
      </c>
      <c r="V287" s="59">
        <f>$F287*VLOOKUP($E287,'AWS Platforms Ratios'!$A$2:$O$25,14,FALSE)</f>
        <v>767.62</v>
      </c>
      <c r="W287" s="60">
        <f>IF($K287&lt;&gt;"N/A",$M287*(VLOOKUP($L287,'GPU Specs &amp; Ratios'!$B$2:$I$8,5,FALSE)),0)</f>
        <v>0</v>
      </c>
      <c r="X287" s="60">
        <f>IF($K287&lt;&gt;"N/A",$M287*(VLOOKUP($L287,'GPU Specs &amp; Ratios'!$B$2:$I$8,6,FALSE)),0)</f>
        <v>0</v>
      </c>
      <c r="Y287" s="60">
        <f>IF($K287&lt;&gt;"N/A",$M287*(VLOOKUP($L287,'GPU Specs &amp; Ratios'!$B$2:$I$8,7,FALSE)),0)</f>
        <v>0</v>
      </c>
      <c r="Z287" s="60">
        <f>IF($K287&lt;&gt;"N/A",$M287*(VLOOKUP($L287,'GPU Specs &amp; Ratios'!$B$2:$I$8,8,FALSE)),0)</f>
        <v>0</v>
      </c>
      <c r="AA287" s="60">
        <f>(C287/D287)*VLOOKUP($E287,'AWS Platforms Ratios'!$A$2:$O$25,15,FALSE)</f>
        <v>96</v>
      </c>
      <c r="AB287" s="60">
        <f t="shared" ref="AB287:AE287" si="287">O287+S287+W287+$AA287</f>
        <v>269.5</v>
      </c>
      <c r="AC287" s="60">
        <f t="shared" si="287"/>
        <v>427.41</v>
      </c>
      <c r="AD287" s="60">
        <f t="shared" si="287"/>
        <v>915.9</v>
      </c>
      <c r="AE287" s="60">
        <f t="shared" si="287"/>
        <v>1341.595</v>
      </c>
      <c r="AF287" s="60">
        <f>IF(G287&gt;'Scope 3 Ratios'!$B$5,(G287-'Scope 3 Ratios'!$B$5)*('Scope 3 Ratios'!$B$6/'Scope 3 Ratios'!$B$5),0)</f>
        <v>1042.9488</v>
      </c>
      <c r="AG287" s="60">
        <f>J287*IF(I287="SSD",'Scope 3 Ratios'!$B$9,'Scope 3 Ratios'!$B$8)</f>
        <v>0</v>
      </c>
      <c r="AH287" s="60">
        <f>IF(K287&lt;&gt;"N/A",K287*'Scope 3 Ratios'!$B$10,0)</f>
        <v>0</v>
      </c>
      <c r="AI287" s="60">
        <f>(VLOOKUP($E287,'AWS Platforms Ratios'!$A$2:$O$25,3,FALSE)-1)*'Scope 3 Ratios'!$B$7</f>
        <v>100</v>
      </c>
      <c r="AJ287" s="60">
        <f>'Scope 3 Ratios'!$B$2+AF287+AG287+AH287+AI287</f>
        <v>2142.9488</v>
      </c>
      <c r="AK287" s="60">
        <f>AJ287*'Scope 3 Ratios'!$B$4*(C287/D287)</f>
        <v>62.00662037</v>
      </c>
      <c r="AL287" s="61" t="s">
        <v>557</v>
      </c>
    </row>
    <row r="288" ht="15.0" customHeight="1">
      <c r="A288" s="56" t="s">
        <v>566</v>
      </c>
      <c r="B288" s="56" t="s">
        <v>69</v>
      </c>
      <c r="C288" s="56">
        <v>2.0</v>
      </c>
      <c r="D288" s="56">
        <f>VLOOKUP(E288,'AWS Platforms Ratios'!$A$2:$B$25,2,FALSE)</f>
        <v>96</v>
      </c>
      <c r="E288" s="57" t="s">
        <v>423</v>
      </c>
      <c r="F288" s="56">
        <v>16.0</v>
      </c>
      <c r="G288" s="56">
        <v>768.0</v>
      </c>
      <c r="H288" s="57" t="s">
        <v>71</v>
      </c>
      <c r="I288" s="56" t="s">
        <v>72</v>
      </c>
      <c r="J288" s="56">
        <v>0.0</v>
      </c>
      <c r="K288" s="58" t="s">
        <v>73</v>
      </c>
      <c r="L288" s="58" t="s">
        <v>73</v>
      </c>
      <c r="M288" s="58" t="s">
        <v>73</v>
      </c>
      <c r="N288" s="58" t="s">
        <v>73</v>
      </c>
      <c r="O288" s="59">
        <f>($C288/$D288)*VLOOKUP($E288,'AWS Platforms Ratios'!$A$2:$O$25,7,FALSE)</f>
        <v>0.967738478</v>
      </c>
      <c r="P288" s="59">
        <f>($C288/$D288)*VLOOKUP($E288,'AWS Platforms Ratios'!$A$2:$O$25,8,FALSE)</f>
        <v>2.652170418</v>
      </c>
      <c r="Q288" s="59">
        <f>($C288/$D288)*VLOOKUP($E288,'AWS Platforms Ratios'!$A$2:$O$25,9,FALSE)</f>
        <v>6.26886388</v>
      </c>
      <c r="R288" s="59">
        <f>($C288/$D288)*VLOOKUP($E288,'AWS Platforms Ratios'!$A$2:$O$25,10,FALSE)</f>
        <v>8.487875134</v>
      </c>
      <c r="S288" s="59">
        <f>$F288*VLOOKUP($E288,'AWS Platforms Ratios'!$A$2:$O$25,11,FALSE)</f>
        <v>3.2</v>
      </c>
      <c r="T288" s="59">
        <f>$F288*VLOOKUP($E288,'AWS Platforms Ratios'!$A$2:$O$25,12,FALSE)</f>
        <v>4.8</v>
      </c>
      <c r="U288" s="59">
        <f>$F288*VLOOKUP($E288,'AWS Platforms Ratios'!$A$2:$O$25,13,FALSE)</f>
        <v>6.4</v>
      </c>
      <c r="V288" s="59">
        <f>$F288*VLOOKUP($E288,'AWS Platforms Ratios'!$A$2:$O$25,14,FALSE)</f>
        <v>9.6</v>
      </c>
      <c r="W288" s="60">
        <f>IF($K288&lt;&gt;"N/A",$M288*(VLOOKUP($L288,'GPU Specs &amp; Ratios'!$B$2:$I$8,5,FALSE)),0)</f>
        <v>0</v>
      </c>
      <c r="X288" s="60">
        <f>IF($K288&lt;&gt;"N/A",$M288*(VLOOKUP($L288,'GPU Specs &amp; Ratios'!$B$2:$I$8,6,FALSE)),0)</f>
        <v>0</v>
      </c>
      <c r="Y288" s="60">
        <f>IF($K288&lt;&gt;"N/A",$M288*(VLOOKUP($L288,'GPU Specs &amp; Ratios'!$B$2:$I$8,7,FALSE)),0)</f>
        <v>0</v>
      </c>
      <c r="Z288" s="60">
        <f>IF($K288&lt;&gt;"N/A",$M288*(VLOOKUP($L288,'GPU Specs &amp; Ratios'!$B$2:$I$8,8,FALSE)),0)</f>
        <v>0</v>
      </c>
      <c r="AA288" s="60">
        <f>(C288/D288)*VLOOKUP($E288,'AWS Platforms Ratios'!$A$2:$O$25,15,FALSE)</f>
        <v>1.666666667</v>
      </c>
      <c r="AB288" s="60">
        <f t="shared" ref="AB288:AE288" si="288">O288+S288+W288+$AA288</f>
        <v>5.834405145</v>
      </c>
      <c r="AC288" s="60">
        <f t="shared" si="288"/>
        <v>9.118837085</v>
      </c>
      <c r="AD288" s="60">
        <f t="shared" si="288"/>
        <v>14.33553055</v>
      </c>
      <c r="AE288" s="60">
        <f t="shared" si="288"/>
        <v>19.7545418</v>
      </c>
      <c r="AF288" s="60">
        <f>IF(G288&gt;'Scope 3 Ratios'!$B$5,(G288-'Scope 3 Ratios'!$B$5)*('Scope 3 Ratios'!$B$6/'Scope 3 Ratios'!$B$5),0)</f>
        <v>1042.9488</v>
      </c>
      <c r="AG288" s="60">
        <f>J288*IF(I288="SSD",'Scope 3 Ratios'!$B$9,'Scope 3 Ratios'!$B$8)</f>
        <v>0</v>
      </c>
      <c r="AH288" s="60">
        <f>IF(K288&lt;&gt;"N/A",K288*'Scope 3 Ratios'!$B$10,0)</f>
        <v>0</v>
      </c>
      <c r="AI288" s="60">
        <f>(VLOOKUP($E288,'AWS Platforms Ratios'!$A$2:$O$25,3,FALSE)-1)*'Scope 3 Ratios'!$B$7</f>
        <v>100</v>
      </c>
      <c r="AJ288" s="60">
        <f>'Scope 3 Ratios'!$B$2+AF288+AG288+AH288+AI288</f>
        <v>2142.9488</v>
      </c>
      <c r="AK288" s="60">
        <f>AJ288*'Scope 3 Ratios'!$B$4*(C288/D288)</f>
        <v>1.291804591</v>
      </c>
      <c r="AL288" s="61" t="s">
        <v>567</v>
      </c>
    </row>
    <row r="289" ht="15.0" customHeight="1">
      <c r="A289" s="56" t="s">
        <v>568</v>
      </c>
      <c r="B289" s="56" t="s">
        <v>69</v>
      </c>
      <c r="C289" s="56">
        <v>4.0</v>
      </c>
      <c r="D289" s="56">
        <f>VLOOKUP(E289,'AWS Platforms Ratios'!$A$2:$B$25,2,FALSE)</f>
        <v>96</v>
      </c>
      <c r="E289" s="57" t="s">
        <v>423</v>
      </c>
      <c r="F289" s="56">
        <v>32.0</v>
      </c>
      <c r="G289" s="56">
        <v>768.0</v>
      </c>
      <c r="H289" s="57" t="s">
        <v>71</v>
      </c>
      <c r="I289" s="56" t="s">
        <v>72</v>
      </c>
      <c r="J289" s="56">
        <v>0.0</v>
      </c>
      <c r="K289" s="58" t="s">
        <v>73</v>
      </c>
      <c r="L289" s="58" t="s">
        <v>73</v>
      </c>
      <c r="M289" s="58" t="s">
        <v>73</v>
      </c>
      <c r="N289" s="58" t="s">
        <v>73</v>
      </c>
      <c r="O289" s="59">
        <f>($C289/$D289)*VLOOKUP($E289,'AWS Platforms Ratios'!$A$2:$O$25,7,FALSE)</f>
        <v>1.935476956</v>
      </c>
      <c r="P289" s="59">
        <f>($C289/$D289)*VLOOKUP($E289,'AWS Platforms Ratios'!$A$2:$O$25,8,FALSE)</f>
        <v>5.304340836</v>
      </c>
      <c r="Q289" s="59">
        <f>($C289/$D289)*VLOOKUP($E289,'AWS Platforms Ratios'!$A$2:$O$25,9,FALSE)</f>
        <v>12.53772776</v>
      </c>
      <c r="R289" s="59">
        <f>($C289/$D289)*VLOOKUP($E289,'AWS Platforms Ratios'!$A$2:$O$25,10,FALSE)</f>
        <v>16.97575027</v>
      </c>
      <c r="S289" s="59">
        <f>$F289*VLOOKUP($E289,'AWS Platforms Ratios'!$A$2:$O$25,11,FALSE)</f>
        <v>6.4</v>
      </c>
      <c r="T289" s="59">
        <f>$F289*VLOOKUP($E289,'AWS Platforms Ratios'!$A$2:$O$25,12,FALSE)</f>
        <v>9.6</v>
      </c>
      <c r="U289" s="59">
        <f>$F289*VLOOKUP($E289,'AWS Platforms Ratios'!$A$2:$O$25,13,FALSE)</f>
        <v>12.8</v>
      </c>
      <c r="V289" s="59">
        <f>$F289*VLOOKUP($E289,'AWS Platforms Ratios'!$A$2:$O$25,14,FALSE)</f>
        <v>19.2</v>
      </c>
      <c r="W289" s="60">
        <f>IF($K289&lt;&gt;"N/A",$M289*(VLOOKUP($L289,'GPU Specs &amp; Ratios'!$B$2:$I$8,5,FALSE)),0)</f>
        <v>0</v>
      </c>
      <c r="X289" s="60">
        <f>IF($K289&lt;&gt;"N/A",$M289*(VLOOKUP($L289,'GPU Specs &amp; Ratios'!$B$2:$I$8,6,FALSE)),0)</f>
        <v>0</v>
      </c>
      <c r="Y289" s="60">
        <f>IF($K289&lt;&gt;"N/A",$M289*(VLOOKUP($L289,'GPU Specs &amp; Ratios'!$B$2:$I$8,7,FALSE)),0)</f>
        <v>0</v>
      </c>
      <c r="Z289" s="60">
        <f>IF($K289&lt;&gt;"N/A",$M289*(VLOOKUP($L289,'GPU Specs &amp; Ratios'!$B$2:$I$8,8,FALSE)),0)</f>
        <v>0</v>
      </c>
      <c r="AA289" s="60">
        <f>(C289/D289)*VLOOKUP($E289,'AWS Platforms Ratios'!$A$2:$O$25,15,FALSE)</f>
        <v>3.333333333</v>
      </c>
      <c r="AB289" s="60">
        <f t="shared" ref="AB289:AE289" si="289">O289+S289+W289+$AA289</f>
        <v>11.66881029</v>
      </c>
      <c r="AC289" s="60">
        <f t="shared" si="289"/>
        <v>18.23767417</v>
      </c>
      <c r="AD289" s="60">
        <f t="shared" si="289"/>
        <v>28.67106109</v>
      </c>
      <c r="AE289" s="60">
        <f t="shared" si="289"/>
        <v>39.5090836</v>
      </c>
      <c r="AF289" s="60">
        <f>IF(G289&gt;'Scope 3 Ratios'!$B$5,(G289-'Scope 3 Ratios'!$B$5)*('Scope 3 Ratios'!$B$6/'Scope 3 Ratios'!$B$5),0)</f>
        <v>1042.9488</v>
      </c>
      <c r="AG289" s="60">
        <f>J289*IF(I289="SSD",'Scope 3 Ratios'!$B$9,'Scope 3 Ratios'!$B$8)</f>
        <v>0</v>
      </c>
      <c r="AH289" s="60">
        <f>IF(K289&lt;&gt;"N/A",K289*'Scope 3 Ratios'!$B$10,0)</f>
        <v>0</v>
      </c>
      <c r="AI289" s="60">
        <f>(VLOOKUP($E289,'AWS Platforms Ratios'!$A$2:$O$25,3,FALSE)-1)*'Scope 3 Ratios'!$B$7</f>
        <v>100</v>
      </c>
      <c r="AJ289" s="60">
        <f>'Scope 3 Ratios'!$B$2+AF289+AG289+AH289+AI289</f>
        <v>2142.9488</v>
      </c>
      <c r="AK289" s="60">
        <f>AJ289*'Scope 3 Ratios'!$B$4*(C289/D289)</f>
        <v>2.583609182</v>
      </c>
      <c r="AL289" s="61" t="s">
        <v>567</v>
      </c>
    </row>
    <row r="290" ht="15.0" customHeight="1">
      <c r="A290" s="56" t="s">
        <v>569</v>
      </c>
      <c r="B290" s="56" t="s">
        <v>69</v>
      </c>
      <c r="C290" s="56">
        <v>8.0</v>
      </c>
      <c r="D290" s="56">
        <f>VLOOKUP(E290,'AWS Platforms Ratios'!$A$2:$B$25,2,FALSE)</f>
        <v>96</v>
      </c>
      <c r="E290" s="57" t="s">
        <v>423</v>
      </c>
      <c r="F290" s="56">
        <v>64.0</v>
      </c>
      <c r="G290" s="56">
        <v>768.0</v>
      </c>
      <c r="H290" s="57" t="s">
        <v>71</v>
      </c>
      <c r="I290" s="56" t="s">
        <v>72</v>
      </c>
      <c r="J290" s="56">
        <v>0.0</v>
      </c>
      <c r="K290" s="58" t="s">
        <v>73</v>
      </c>
      <c r="L290" s="58" t="s">
        <v>73</v>
      </c>
      <c r="M290" s="58" t="s">
        <v>73</v>
      </c>
      <c r="N290" s="58" t="s">
        <v>73</v>
      </c>
      <c r="O290" s="59">
        <f>($C290/$D290)*VLOOKUP($E290,'AWS Platforms Ratios'!$A$2:$O$25,7,FALSE)</f>
        <v>3.870953912</v>
      </c>
      <c r="P290" s="59">
        <f>($C290/$D290)*VLOOKUP($E290,'AWS Platforms Ratios'!$A$2:$O$25,8,FALSE)</f>
        <v>10.60868167</v>
      </c>
      <c r="Q290" s="59">
        <f>($C290/$D290)*VLOOKUP($E290,'AWS Platforms Ratios'!$A$2:$O$25,9,FALSE)</f>
        <v>25.07545552</v>
      </c>
      <c r="R290" s="59">
        <f>($C290/$D290)*VLOOKUP($E290,'AWS Platforms Ratios'!$A$2:$O$25,10,FALSE)</f>
        <v>33.95150054</v>
      </c>
      <c r="S290" s="59">
        <f>$F290*VLOOKUP($E290,'AWS Platforms Ratios'!$A$2:$O$25,11,FALSE)</f>
        <v>12.8</v>
      </c>
      <c r="T290" s="59">
        <f>$F290*VLOOKUP($E290,'AWS Platforms Ratios'!$A$2:$O$25,12,FALSE)</f>
        <v>19.2</v>
      </c>
      <c r="U290" s="59">
        <f>$F290*VLOOKUP($E290,'AWS Platforms Ratios'!$A$2:$O$25,13,FALSE)</f>
        <v>25.6</v>
      </c>
      <c r="V290" s="59">
        <f>$F290*VLOOKUP($E290,'AWS Platforms Ratios'!$A$2:$O$25,14,FALSE)</f>
        <v>38.4</v>
      </c>
      <c r="W290" s="60">
        <f>IF($K290&lt;&gt;"N/A",$M290*(VLOOKUP($L290,'GPU Specs &amp; Ratios'!$B$2:$I$8,5,FALSE)),0)</f>
        <v>0</v>
      </c>
      <c r="X290" s="60">
        <f>IF($K290&lt;&gt;"N/A",$M290*(VLOOKUP($L290,'GPU Specs &amp; Ratios'!$B$2:$I$8,6,FALSE)),0)</f>
        <v>0</v>
      </c>
      <c r="Y290" s="60">
        <f>IF($K290&lt;&gt;"N/A",$M290*(VLOOKUP($L290,'GPU Specs &amp; Ratios'!$B$2:$I$8,7,FALSE)),0)</f>
        <v>0</v>
      </c>
      <c r="Z290" s="60">
        <f>IF($K290&lt;&gt;"N/A",$M290*(VLOOKUP($L290,'GPU Specs &amp; Ratios'!$B$2:$I$8,8,FALSE)),0)</f>
        <v>0</v>
      </c>
      <c r="AA290" s="60">
        <f>(C290/D290)*VLOOKUP($E290,'AWS Platforms Ratios'!$A$2:$O$25,15,FALSE)</f>
        <v>6.666666667</v>
      </c>
      <c r="AB290" s="60">
        <f t="shared" ref="AB290:AE290" si="290">O290+S290+W290+$AA290</f>
        <v>23.33762058</v>
      </c>
      <c r="AC290" s="60">
        <f t="shared" si="290"/>
        <v>36.47534834</v>
      </c>
      <c r="AD290" s="60">
        <f t="shared" si="290"/>
        <v>57.34212219</v>
      </c>
      <c r="AE290" s="60">
        <f t="shared" si="290"/>
        <v>79.0181672</v>
      </c>
      <c r="AF290" s="60">
        <f>IF(G290&gt;'Scope 3 Ratios'!$B$5,(G290-'Scope 3 Ratios'!$B$5)*('Scope 3 Ratios'!$B$6/'Scope 3 Ratios'!$B$5),0)</f>
        <v>1042.9488</v>
      </c>
      <c r="AG290" s="60">
        <f>J290*IF(I290="SSD",'Scope 3 Ratios'!$B$9,'Scope 3 Ratios'!$B$8)</f>
        <v>0</v>
      </c>
      <c r="AH290" s="60">
        <f>IF(K290&lt;&gt;"N/A",K290*'Scope 3 Ratios'!$B$10,0)</f>
        <v>0</v>
      </c>
      <c r="AI290" s="60">
        <f>(VLOOKUP($E290,'AWS Platforms Ratios'!$A$2:$O$25,3,FALSE)-1)*'Scope 3 Ratios'!$B$7</f>
        <v>100</v>
      </c>
      <c r="AJ290" s="60">
        <f>'Scope 3 Ratios'!$B$2+AF290+AG290+AH290+AI290</f>
        <v>2142.9488</v>
      </c>
      <c r="AK290" s="60">
        <f>AJ290*'Scope 3 Ratios'!$B$4*(C290/D290)</f>
        <v>5.167218364</v>
      </c>
      <c r="AL290" s="61" t="s">
        <v>567</v>
      </c>
    </row>
    <row r="291" ht="15.0" customHeight="1">
      <c r="A291" s="56" t="s">
        <v>570</v>
      </c>
      <c r="B291" s="56" t="s">
        <v>69</v>
      </c>
      <c r="C291" s="56">
        <v>16.0</v>
      </c>
      <c r="D291" s="56">
        <f>VLOOKUP(E291,'AWS Platforms Ratios'!$A$2:$B$25,2,FALSE)</f>
        <v>96</v>
      </c>
      <c r="E291" s="57" t="s">
        <v>423</v>
      </c>
      <c r="F291" s="56">
        <v>128.0</v>
      </c>
      <c r="G291" s="56">
        <v>768.0</v>
      </c>
      <c r="H291" s="57" t="s">
        <v>71</v>
      </c>
      <c r="I291" s="56" t="s">
        <v>72</v>
      </c>
      <c r="J291" s="56">
        <v>0.0</v>
      </c>
      <c r="K291" s="58" t="s">
        <v>73</v>
      </c>
      <c r="L291" s="58" t="s">
        <v>73</v>
      </c>
      <c r="M291" s="58" t="s">
        <v>73</v>
      </c>
      <c r="N291" s="58" t="s">
        <v>73</v>
      </c>
      <c r="O291" s="59">
        <f>($C291/$D291)*VLOOKUP($E291,'AWS Platforms Ratios'!$A$2:$O$25,7,FALSE)</f>
        <v>7.741907824</v>
      </c>
      <c r="P291" s="59">
        <f>($C291/$D291)*VLOOKUP($E291,'AWS Platforms Ratios'!$A$2:$O$25,8,FALSE)</f>
        <v>21.21736334</v>
      </c>
      <c r="Q291" s="59">
        <f>($C291/$D291)*VLOOKUP($E291,'AWS Platforms Ratios'!$A$2:$O$25,9,FALSE)</f>
        <v>50.15091104</v>
      </c>
      <c r="R291" s="59">
        <f>($C291/$D291)*VLOOKUP($E291,'AWS Platforms Ratios'!$A$2:$O$25,10,FALSE)</f>
        <v>67.90300107</v>
      </c>
      <c r="S291" s="59">
        <f>$F291*VLOOKUP($E291,'AWS Platforms Ratios'!$A$2:$O$25,11,FALSE)</f>
        <v>25.6</v>
      </c>
      <c r="T291" s="59">
        <f>$F291*VLOOKUP($E291,'AWS Platforms Ratios'!$A$2:$O$25,12,FALSE)</f>
        <v>38.4</v>
      </c>
      <c r="U291" s="59">
        <f>$F291*VLOOKUP($E291,'AWS Platforms Ratios'!$A$2:$O$25,13,FALSE)</f>
        <v>51.2</v>
      </c>
      <c r="V291" s="59">
        <f>$F291*VLOOKUP($E291,'AWS Platforms Ratios'!$A$2:$O$25,14,FALSE)</f>
        <v>76.8</v>
      </c>
      <c r="W291" s="60">
        <f>IF($K291&lt;&gt;"N/A",$M291*(VLOOKUP($L291,'GPU Specs &amp; Ratios'!$B$2:$I$8,5,FALSE)),0)</f>
        <v>0</v>
      </c>
      <c r="X291" s="60">
        <f>IF($K291&lt;&gt;"N/A",$M291*(VLOOKUP($L291,'GPU Specs &amp; Ratios'!$B$2:$I$8,6,FALSE)),0)</f>
        <v>0</v>
      </c>
      <c r="Y291" s="60">
        <f>IF($K291&lt;&gt;"N/A",$M291*(VLOOKUP($L291,'GPU Specs &amp; Ratios'!$B$2:$I$8,7,FALSE)),0)</f>
        <v>0</v>
      </c>
      <c r="Z291" s="60">
        <f>IF($K291&lt;&gt;"N/A",$M291*(VLOOKUP($L291,'GPU Specs &amp; Ratios'!$B$2:$I$8,8,FALSE)),0)</f>
        <v>0</v>
      </c>
      <c r="AA291" s="60">
        <f>(C291/D291)*VLOOKUP($E291,'AWS Platforms Ratios'!$A$2:$O$25,15,FALSE)</f>
        <v>13.33333333</v>
      </c>
      <c r="AB291" s="60">
        <f t="shared" ref="AB291:AE291" si="291">O291+S291+W291+$AA291</f>
        <v>46.67524116</v>
      </c>
      <c r="AC291" s="60">
        <f t="shared" si="291"/>
        <v>72.95069668</v>
      </c>
      <c r="AD291" s="60">
        <f t="shared" si="291"/>
        <v>114.6842444</v>
      </c>
      <c r="AE291" s="60">
        <f t="shared" si="291"/>
        <v>158.0363344</v>
      </c>
      <c r="AF291" s="60">
        <f>IF(G291&gt;'Scope 3 Ratios'!$B$5,(G291-'Scope 3 Ratios'!$B$5)*('Scope 3 Ratios'!$B$6/'Scope 3 Ratios'!$B$5),0)</f>
        <v>1042.9488</v>
      </c>
      <c r="AG291" s="60">
        <f>J291*IF(I291="SSD",'Scope 3 Ratios'!$B$9,'Scope 3 Ratios'!$B$8)</f>
        <v>0</v>
      </c>
      <c r="AH291" s="60">
        <f>IF(K291&lt;&gt;"N/A",K291*'Scope 3 Ratios'!$B$10,0)</f>
        <v>0</v>
      </c>
      <c r="AI291" s="60">
        <f>(VLOOKUP($E291,'AWS Platforms Ratios'!$A$2:$O$25,3,FALSE)-1)*'Scope 3 Ratios'!$B$7</f>
        <v>100</v>
      </c>
      <c r="AJ291" s="60">
        <f>'Scope 3 Ratios'!$B$2+AF291+AG291+AH291+AI291</f>
        <v>2142.9488</v>
      </c>
      <c r="AK291" s="60">
        <f>AJ291*'Scope 3 Ratios'!$B$4*(C291/D291)</f>
        <v>10.33443673</v>
      </c>
      <c r="AL291" s="61" t="s">
        <v>567</v>
      </c>
    </row>
    <row r="292" ht="15.0" customHeight="1">
      <c r="A292" s="56" t="s">
        <v>571</v>
      </c>
      <c r="B292" s="56" t="s">
        <v>128</v>
      </c>
      <c r="C292" s="56">
        <v>32.0</v>
      </c>
      <c r="D292" s="56">
        <f>VLOOKUP(E292,'AWS Platforms Ratios'!$A$2:$B$25,2,FALSE)</f>
        <v>96</v>
      </c>
      <c r="E292" s="57" t="s">
        <v>423</v>
      </c>
      <c r="F292" s="56">
        <v>256.0</v>
      </c>
      <c r="G292" s="56">
        <v>768.0</v>
      </c>
      <c r="H292" s="57" t="s">
        <v>71</v>
      </c>
      <c r="I292" s="56" t="s">
        <v>72</v>
      </c>
      <c r="J292" s="56">
        <v>0.0</v>
      </c>
      <c r="K292" s="58" t="s">
        <v>73</v>
      </c>
      <c r="L292" s="58" t="s">
        <v>73</v>
      </c>
      <c r="M292" s="58" t="s">
        <v>73</v>
      </c>
      <c r="N292" s="58" t="s">
        <v>73</v>
      </c>
      <c r="O292" s="59">
        <f>($C292/$D292)*VLOOKUP($E292,'AWS Platforms Ratios'!$A$2:$O$25,7,FALSE)</f>
        <v>15.48381565</v>
      </c>
      <c r="P292" s="59">
        <f>($C292/$D292)*VLOOKUP($E292,'AWS Platforms Ratios'!$A$2:$O$25,8,FALSE)</f>
        <v>42.43472669</v>
      </c>
      <c r="Q292" s="59">
        <f>($C292/$D292)*VLOOKUP($E292,'AWS Platforms Ratios'!$A$2:$O$25,9,FALSE)</f>
        <v>100.3018221</v>
      </c>
      <c r="R292" s="59">
        <f>($C292/$D292)*VLOOKUP($E292,'AWS Platforms Ratios'!$A$2:$O$25,10,FALSE)</f>
        <v>135.8060021</v>
      </c>
      <c r="S292" s="59">
        <f>$F292*VLOOKUP($E292,'AWS Platforms Ratios'!$A$2:$O$25,11,FALSE)</f>
        <v>51.2</v>
      </c>
      <c r="T292" s="59">
        <f>$F292*VLOOKUP($E292,'AWS Platforms Ratios'!$A$2:$O$25,12,FALSE)</f>
        <v>76.8</v>
      </c>
      <c r="U292" s="59">
        <f>$F292*VLOOKUP($E292,'AWS Platforms Ratios'!$A$2:$O$25,13,FALSE)</f>
        <v>102.4</v>
      </c>
      <c r="V292" s="59">
        <f>$F292*VLOOKUP($E292,'AWS Platforms Ratios'!$A$2:$O$25,14,FALSE)</f>
        <v>153.6</v>
      </c>
      <c r="W292" s="60">
        <f>IF($K292&lt;&gt;"N/A",$M292*(VLOOKUP($L292,'GPU Specs &amp; Ratios'!$B$2:$I$8,5,FALSE)),0)</f>
        <v>0</v>
      </c>
      <c r="X292" s="60">
        <f>IF($K292&lt;&gt;"N/A",$M292*(VLOOKUP($L292,'GPU Specs &amp; Ratios'!$B$2:$I$8,6,FALSE)),0)</f>
        <v>0</v>
      </c>
      <c r="Y292" s="60">
        <f>IF($K292&lt;&gt;"N/A",$M292*(VLOOKUP($L292,'GPU Specs &amp; Ratios'!$B$2:$I$8,7,FALSE)),0)</f>
        <v>0</v>
      </c>
      <c r="Z292" s="60">
        <f>IF($K292&lt;&gt;"N/A",$M292*(VLOOKUP($L292,'GPU Specs &amp; Ratios'!$B$2:$I$8,8,FALSE)),0)</f>
        <v>0</v>
      </c>
      <c r="AA292" s="60">
        <f>(C292/D292)*VLOOKUP($E292,'AWS Platforms Ratios'!$A$2:$O$25,15,FALSE)</f>
        <v>26.66666667</v>
      </c>
      <c r="AB292" s="60">
        <f t="shared" ref="AB292:AE292" si="292">O292+S292+W292+$AA292</f>
        <v>93.35048232</v>
      </c>
      <c r="AC292" s="60">
        <f t="shared" si="292"/>
        <v>145.9013934</v>
      </c>
      <c r="AD292" s="60">
        <f t="shared" si="292"/>
        <v>229.3684887</v>
      </c>
      <c r="AE292" s="60">
        <f t="shared" si="292"/>
        <v>316.0726688</v>
      </c>
      <c r="AF292" s="60">
        <f>IF(G292&gt;'Scope 3 Ratios'!$B$5,(G292-'Scope 3 Ratios'!$B$5)*('Scope 3 Ratios'!$B$6/'Scope 3 Ratios'!$B$5),0)</f>
        <v>1042.9488</v>
      </c>
      <c r="AG292" s="60">
        <f>J292*IF(I292="SSD",'Scope 3 Ratios'!$B$9,'Scope 3 Ratios'!$B$8)</f>
        <v>0</v>
      </c>
      <c r="AH292" s="60">
        <f>IF(K292&lt;&gt;"N/A",K292*'Scope 3 Ratios'!$B$10,0)</f>
        <v>0</v>
      </c>
      <c r="AI292" s="60">
        <f>(VLOOKUP($E292,'AWS Platforms Ratios'!$A$2:$O$25,3,FALSE)-1)*'Scope 3 Ratios'!$B$7</f>
        <v>100</v>
      </c>
      <c r="AJ292" s="60">
        <f>'Scope 3 Ratios'!$B$2+AF292+AG292+AH292+AI292</f>
        <v>2142.9488</v>
      </c>
      <c r="AK292" s="60">
        <f>AJ292*'Scope 3 Ratios'!$B$4*(C292/D292)</f>
        <v>20.66887346</v>
      </c>
      <c r="AL292" s="61" t="s">
        <v>567</v>
      </c>
    </row>
    <row r="293" ht="15.0" customHeight="1">
      <c r="A293" s="56" t="s">
        <v>572</v>
      </c>
      <c r="B293" s="56" t="s">
        <v>69</v>
      </c>
      <c r="C293" s="56">
        <v>48.0</v>
      </c>
      <c r="D293" s="56">
        <f>VLOOKUP(E293,'AWS Platforms Ratios'!$A$2:$B$25,2,FALSE)</f>
        <v>96</v>
      </c>
      <c r="E293" s="57" t="s">
        <v>423</v>
      </c>
      <c r="F293" s="56">
        <v>384.0</v>
      </c>
      <c r="G293" s="56">
        <v>768.0</v>
      </c>
      <c r="H293" s="57" t="s">
        <v>71</v>
      </c>
      <c r="I293" s="56" t="s">
        <v>72</v>
      </c>
      <c r="J293" s="56">
        <v>0.0</v>
      </c>
      <c r="K293" s="58" t="s">
        <v>73</v>
      </c>
      <c r="L293" s="58" t="s">
        <v>73</v>
      </c>
      <c r="M293" s="58" t="s">
        <v>73</v>
      </c>
      <c r="N293" s="58" t="s">
        <v>73</v>
      </c>
      <c r="O293" s="59">
        <f>($C293/$D293)*VLOOKUP($E293,'AWS Platforms Ratios'!$A$2:$O$25,7,FALSE)</f>
        <v>23.22572347</v>
      </c>
      <c r="P293" s="59">
        <f>($C293/$D293)*VLOOKUP($E293,'AWS Platforms Ratios'!$A$2:$O$25,8,FALSE)</f>
        <v>63.65209003</v>
      </c>
      <c r="Q293" s="59">
        <f>($C293/$D293)*VLOOKUP($E293,'AWS Platforms Ratios'!$A$2:$O$25,9,FALSE)</f>
        <v>150.4527331</v>
      </c>
      <c r="R293" s="59">
        <f>($C293/$D293)*VLOOKUP($E293,'AWS Platforms Ratios'!$A$2:$O$25,10,FALSE)</f>
        <v>203.7090032</v>
      </c>
      <c r="S293" s="59">
        <f>$F293*VLOOKUP($E293,'AWS Platforms Ratios'!$A$2:$O$25,11,FALSE)</f>
        <v>76.8</v>
      </c>
      <c r="T293" s="59">
        <f>$F293*VLOOKUP($E293,'AWS Platforms Ratios'!$A$2:$O$25,12,FALSE)</f>
        <v>115.2</v>
      </c>
      <c r="U293" s="59">
        <f>$F293*VLOOKUP($E293,'AWS Platforms Ratios'!$A$2:$O$25,13,FALSE)</f>
        <v>153.6</v>
      </c>
      <c r="V293" s="59">
        <f>$F293*VLOOKUP($E293,'AWS Platforms Ratios'!$A$2:$O$25,14,FALSE)</f>
        <v>230.4</v>
      </c>
      <c r="W293" s="60">
        <f>IF($K293&lt;&gt;"N/A",$M293*(VLOOKUP($L293,'GPU Specs &amp; Ratios'!$B$2:$I$8,5,FALSE)),0)</f>
        <v>0</v>
      </c>
      <c r="X293" s="60">
        <f>IF($K293&lt;&gt;"N/A",$M293*(VLOOKUP($L293,'GPU Specs &amp; Ratios'!$B$2:$I$8,6,FALSE)),0)</f>
        <v>0</v>
      </c>
      <c r="Y293" s="60">
        <f>IF($K293&lt;&gt;"N/A",$M293*(VLOOKUP($L293,'GPU Specs &amp; Ratios'!$B$2:$I$8,7,FALSE)),0)</f>
        <v>0</v>
      </c>
      <c r="Z293" s="60">
        <f>IF($K293&lt;&gt;"N/A",$M293*(VLOOKUP($L293,'GPU Specs &amp; Ratios'!$B$2:$I$8,8,FALSE)),0)</f>
        <v>0</v>
      </c>
      <c r="AA293" s="60">
        <f>(C293/D293)*VLOOKUP($E293,'AWS Platforms Ratios'!$A$2:$O$25,15,FALSE)</f>
        <v>40</v>
      </c>
      <c r="AB293" s="60">
        <f t="shared" ref="AB293:AE293" si="293">O293+S293+W293+$AA293</f>
        <v>140.0257235</v>
      </c>
      <c r="AC293" s="60">
        <f t="shared" si="293"/>
        <v>218.85209</v>
      </c>
      <c r="AD293" s="60">
        <f t="shared" si="293"/>
        <v>344.0527331</v>
      </c>
      <c r="AE293" s="60">
        <f t="shared" si="293"/>
        <v>474.1090032</v>
      </c>
      <c r="AF293" s="60">
        <f>IF(G293&gt;'Scope 3 Ratios'!$B$5,(G293-'Scope 3 Ratios'!$B$5)*('Scope 3 Ratios'!$B$6/'Scope 3 Ratios'!$B$5),0)</f>
        <v>1042.9488</v>
      </c>
      <c r="AG293" s="60">
        <f>J293*IF(I293="SSD",'Scope 3 Ratios'!$B$9,'Scope 3 Ratios'!$B$8)</f>
        <v>0</v>
      </c>
      <c r="AH293" s="60">
        <f>IF(K293&lt;&gt;"N/A",K293*'Scope 3 Ratios'!$B$10,0)</f>
        <v>0</v>
      </c>
      <c r="AI293" s="60">
        <f>(VLOOKUP($E293,'AWS Platforms Ratios'!$A$2:$O$25,3,FALSE)-1)*'Scope 3 Ratios'!$B$7</f>
        <v>100</v>
      </c>
      <c r="AJ293" s="60">
        <f>'Scope 3 Ratios'!$B$2+AF293+AG293+AH293+AI293</f>
        <v>2142.9488</v>
      </c>
      <c r="AK293" s="60">
        <f>AJ293*'Scope 3 Ratios'!$B$4*(C293/D293)</f>
        <v>31.00331019</v>
      </c>
      <c r="AL293" s="61" t="s">
        <v>567</v>
      </c>
    </row>
    <row r="294" ht="15.0" customHeight="1">
      <c r="A294" s="56" t="s">
        <v>573</v>
      </c>
      <c r="B294" s="56" t="s">
        <v>128</v>
      </c>
      <c r="C294" s="56">
        <v>64.0</v>
      </c>
      <c r="D294" s="56">
        <f>VLOOKUP(E294,'AWS Platforms Ratios'!$A$2:$B$25,2,FALSE)</f>
        <v>96</v>
      </c>
      <c r="E294" s="57" t="s">
        <v>423</v>
      </c>
      <c r="F294" s="56">
        <v>512.0</v>
      </c>
      <c r="G294" s="56">
        <v>768.0</v>
      </c>
      <c r="H294" s="57" t="s">
        <v>71</v>
      </c>
      <c r="I294" s="56" t="s">
        <v>72</v>
      </c>
      <c r="J294" s="56">
        <v>0.0</v>
      </c>
      <c r="K294" s="58" t="s">
        <v>73</v>
      </c>
      <c r="L294" s="58" t="s">
        <v>73</v>
      </c>
      <c r="M294" s="58" t="s">
        <v>73</v>
      </c>
      <c r="N294" s="58" t="s">
        <v>73</v>
      </c>
      <c r="O294" s="59">
        <f>($C294/$D294)*VLOOKUP($E294,'AWS Platforms Ratios'!$A$2:$O$25,7,FALSE)</f>
        <v>30.9676313</v>
      </c>
      <c r="P294" s="59">
        <f>($C294/$D294)*VLOOKUP($E294,'AWS Platforms Ratios'!$A$2:$O$25,8,FALSE)</f>
        <v>84.86945338</v>
      </c>
      <c r="Q294" s="59">
        <f>($C294/$D294)*VLOOKUP($E294,'AWS Platforms Ratios'!$A$2:$O$25,9,FALSE)</f>
        <v>200.6036442</v>
      </c>
      <c r="R294" s="59">
        <f>($C294/$D294)*VLOOKUP($E294,'AWS Platforms Ratios'!$A$2:$O$25,10,FALSE)</f>
        <v>271.6120043</v>
      </c>
      <c r="S294" s="59">
        <f>$F294*VLOOKUP($E294,'AWS Platforms Ratios'!$A$2:$O$25,11,FALSE)</f>
        <v>102.4</v>
      </c>
      <c r="T294" s="59">
        <f>$F294*VLOOKUP($E294,'AWS Platforms Ratios'!$A$2:$O$25,12,FALSE)</f>
        <v>153.6</v>
      </c>
      <c r="U294" s="59">
        <f>$F294*VLOOKUP($E294,'AWS Platforms Ratios'!$A$2:$O$25,13,FALSE)</f>
        <v>204.8</v>
      </c>
      <c r="V294" s="59">
        <f>$F294*VLOOKUP($E294,'AWS Platforms Ratios'!$A$2:$O$25,14,FALSE)</f>
        <v>307.2</v>
      </c>
      <c r="W294" s="60">
        <f>IF($K294&lt;&gt;"N/A",$M294*(VLOOKUP($L294,'GPU Specs &amp; Ratios'!$B$2:$I$8,5,FALSE)),0)</f>
        <v>0</v>
      </c>
      <c r="X294" s="60">
        <f>IF($K294&lt;&gt;"N/A",$M294*(VLOOKUP($L294,'GPU Specs &amp; Ratios'!$B$2:$I$8,6,FALSE)),0)</f>
        <v>0</v>
      </c>
      <c r="Y294" s="60">
        <f>IF($K294&lt;&gt;"N/A",$M294*(VLOOKUP($L294,'GPU Specs &amp; Ratios'!$B$2:$I$8,7,FALSE)),0)</f>
        <v>0</v>
      </c>
      <c r="Z294" s="60">
        <f>IF($K294&lt;&gt;"N/A",$M294*(VLOOKUP($L294,'GPU Specs &amp; Ratios'!$B$2:$I$8,8,FALSE)),0)</f>
        <v>0</v>
      </c>
      <c r="AA294" s="60">
        <f>(C294/D294)*VLOOKUP($E294,'AWS Platforms Ratios'!$A$2:$O$25,15,FALSE)</f>
        <v>53.33333333</v>
      </c>
      <c r="AB294" s="60">
        <f t="shared" ref="AB294:AE294" si="294">O294+S294+W294+$AA294</f>
        <v>186.7009646</v>
      </c>
      <c r="AC294" s="60">
        <f t="shared" si="294"/>
        <v>291.8027867</v>
      </c>
      <c r="AD294" s="60">
        <f t="shared" si="294"/>
        <v>458.7369775</v>
      </c>
      <c r="AE294" s="60">
        <f t="shared" si="294"/>
        <v>632.1453376</v>
      </c>
      <c r="AF294" s="60">
        <f>IF(G294&gt;'Scope 3 Ratios'!$B$5,(G294-'Scope 3 Ratios'!$B$5)*('Scope 3 Ratios'!$B$6/'Scope 3 Ratios'!$B$5),0)</f>
        <v>1042.9488</v>
      </c>
      <c r="AG294" s="60">
        <f>J294*IF(I294="SSD",'Scope 3 Ratios'!$B$9,'Scope 3 Ratios'!$B$8)</f>
        <v>0</v>
      </c>
      <c r="AH294" s="60">
        <f>IF(K294&lt;&gt;"N/A",K294*'Scope 3 Ratios'!$B$10,0)</f>
        <v>0</v>
      </c>
      <c r="AI294" s="60">
        <f>(VLOOKUP($E294,'AWS Platforms Ratios'!$A$2:$O$25,3,FALSE)-1)*'Scope 3 Ratios'!$B$7</f>
        <v>100</v>
      </c>
      <c r="AJ294" s="60">
        <f>'Scope 3 Ratios'!$B$2+AF294+AG294+AH294+AI294</f>
        <v>2142.9488</v>
      </c>
      <c r="AK294" s="60">
        <f>AJ294*'Scope 3 Ratios'!$B$4*(C294/D294)</f>
        <v>41.33774691</v>
      </c>
      <c r="AL294" s="61" t="s">
        <v>567</v>
      </c>
    </row>
    <row r="295" ht="15.0" customHeight="1">
      <c r="A295" s="56" t="s">
        <v>574</v>
      </c>
      <c r="B295" s="56" t="s">
        <v>69</v>
      </c>
      <c r="C295" s="56">
        <v>96.0</v>
      </c>
      <c r="D295" s="56">
        <f>VLOOKUP(E295,'AWS Platforms Ratios'!$A$2:$B$25,2,FALSE)</f>
        <v>96</v>
      </c>
      <c r="E295" s="57" t="s">
        <v>423</v>
      </c>
      <c r="F295" s="56">
        <v>768.0</v>
      </c>
      <c r="G295" s="56">
        <v>768.0</v>
      </c>
      <c r="H295" s="57" t="s">
        <v>71</v>
      </c>
      <c r="I295" s="56" t="s">
        <v>72</v>
      </c>
      <c r="J295" s="56">
        <v>0.0</v>
      </c>
      <c r="K295" s="58" t="s">
        <v>73</v>
      </c>
      <c r="L295" s="58" t="s">
        <v>73</v>
      </c>
      <c r="M295" s="58" t="s">
        <v>73</v>
      </c>
      <c r="N295" s="58" t="s">
        <v>73</v>
      </c>
      <c r="O295" s="59">
        <f>($C295/$D295)*VLOOKUP($E295,'AWS Platforms Ratios'!$A$2:$O$25,7,FALSE)</f>
        <v>46.45144695</v>
      </c>
      <c r="P295" s="59">
        <f>($C295/$D295)*VLOOKUP($E295,'AWS Platforms Ratios'!$A$2:$O$25,8,FALSE)</f>
        <v>127.3041801</v>
      </c>
      <c r="Q295" s="59">
        <f>($C295/$D295)*VLOOKUP($E295,'AWS Platforms Ratios'!$A$2:$O$25,9,FALSE)</f>
        <v>300.9054662</v>
      </c>
      <c r="R295" s="59">
        <f>($C295/$D295)*VLOOKUP($E295,'AWS Platforms Ratios'!$A$2:$O$25,10,FALSE)</f>
        <v>407.4180064</v>
      </c>
      <c r="S295" s="59">
        <f>$F295*VLOOKUP($E295,'AWS Platforms Ratios'!$A$2:$O$25,11,FALSE)</f>
        <v>153.6</v>
      </c>
      <c r="T295" s="59">
        <f>$F295*VLOOKUP($E295,'AWS Platforms Ratios'!$A$2:$O$25,12,FALSE)</f>
        <v>230.4</v>
      </c>
      <c r="U295" s="59">
        <f>$F295*VLOOKUP($E295,'AWS Platforms Ratios'!$A$2:$O$25,13,FALSE)</f>
        <v>307.2</v>
      </c>
      <c r="V295" s="59">
        <f>$F295*VLOOKUP($E295,'AWS Platforms Ratios'!$A$2:$O$25,14,FALSE)</f>
        <v>460.8</v>
      </c>
      <c r="W295" s="60">
        <f>IF($K295&lt;&gt;"N/A",$M295*(VLOOKUP($L295,'GPU Specs &amp; Ratios'!$B$2:$I$8,5,FALSE)),0)</f>
        <v>0</v>
      </c>
      <c r="X295" s="60">
        <f>IF($K295&lt;&gt;"N/A",$M295*(VLOOKUP($L295,'GPU Specs &amp; Ratios'!$B$2:$I$8,6,FALSE)),0)</f>
        <v>0</v>
      </c>
      <c r="Y295" s="60">
        <f>IF($K295&lt;&gt;"N/A",$M295*(VLOOKUP($L295,'GPU Specs &amp; Ratios'!$B$2:$I$8,7,FALSE)),0)</f>
        <v>0</v>
      </c>
      <c r="Z295" s="60">
        <f>IF($K295&lt;&gt;"N/A",$M295*(VLOOKUP($L295,'GPU Specs &amp; Ratios'!$B$2:$I$8,8,FALSE)),0)</f>
        <v>0</v>
      </c>
      <c r="AA295" s="60">
        <f>(C295/D295)*VLOOKUP($E295,'AWS Platforms Ratios'!$A$2:$O$25,15,FALSE)</f>
        <v>80</v>
      </c>
      <c r="AB295" s="60">
        <f t="shared" ref="AB295:AE295" si="295">O295+S295+W295+$AA295</f>
        <v>280.0514469</v>
      </c>
      <c r="AC295" s="60">
        <f t="shared" si="295"/>
        <v>437.7041801</v>
      </c>
      <c r="AD295" s="60">
        <f t="shared" si="295"/>
        <v>688.1054662</v>
      </c>
      <c r="AE295" s="60">
        <f t="shared" si="295"/>
        <v>948.2180064</v>
      </c>
      <c r="AF295" s="60">
        <f>IF(G295&gt;'Scope 3 Ratios'!$B$5,(G295-'Scope 3 Ratios'!$B$5)*('Scope 3 Ratios'!$B$6/'Scope 3 Ratios'!$B$5),0)</f>
        <v>1042.9488</v>
      </c>
      <c r="AG295" s="60">
        <f>J295*IF(I295="SSD",'Scope 3 Ratios'!$B$9,'Scope 3 Ratios'!$B$8)</f>
        <v>0</v>
      </c>
      <c r="AH295" s="60">
        <f>IF(K295&lt;&gt;"N/A",K295*'Scope 3 Ratios'!$B$10,0)</f>
        <v>0</v>
      </c>
      <c r="AI295" s="60">
        <f>(VLOOKUP($E295,'AWS Platforms Ratios'!$A$2:$O$25,3,FALSE)-1)*'Scope 3 Ratios'!$B$7</f>
        <v>100</v>
      </c>
      <c r="AJ295" s="60">
        <f>'Scope 3 Ratios'!$B$2+AF295+AG295+AH295+AI295</f>
        <v>2142.9488</v>
      </c>
      <c r="AK295" s="60">
        <f>AJ295*'Scope 3 Ratios'!$B$4*(C295/D295)</f>
        <v>62.00662037</v>
      </c>
      <c r="AL295" s="61" t="s">
        <v>567</v>
      </c>
    </row>
    <row r="296" ht="15.0" customHeight="1">
      <c r="A296" s="56" t="s">
        <v>575</v>
      </c>
      <c r="B296" s="56" t="s">
        <v>296</v>
      </c>
      <c r="C296" s="56">
        <v>2.0</v>
      </c>
      <c r="D296" s="56">
        <f>VLOOKUP(E296,'AWS Platforms Ratios'!$A$2:$B$25,2,FALSE)</f>
        <v>96</v>
      </c>
      <c r="E296" s="57" t="s">
        <v>423</v>
      </c>
      <c r="F296" s="56">
        <v>16.0</v>
      </c>
      <c r="G296" s="56">
        <v>768.0</v>
      </c>
      <c r="H296" s="57" t="s">
        <v>146</v>
      </c>
      <c r="I296" s="56" t="s">
        <v>85</v>
      </c>
      <c r="J296" s="56">
        <v>4.0</v>
      </c>
      <c r="K296" s="58" t="s">
        <v>73</v>
      </c>
      <c r="L296" s="58" t="s">
        <v>73</v>
      </c>
      <c r="M296" s="58" t="s">
        <v>73</v>
      </c>
      <c r="N296" s="58" t="s">
        <v>73</v>
      </c>
      <c r="O296" s="59">
        <f>($C296/$D296)*VLOOKUP($E296,'AWS Platforms Ratios'!$A$2:$O$25,7,FALSE)</f>
        <v>0.967738478</v>
      </c>
      <c r="P296" s="59">
        <f>($C296/$D296)*VLOOKUP($E296,'AWS Platforms Ratios'!$A$2:$O$25,8,FALSE)</f>
        <v>2.652170418</v>
      </c>
      <c r="Q296" s="59">
        <f>($C296/$D296)*VLOOKUP($E296,'AWS Platforms Ratios'!$A$2:$O$25,9,FALSE)</f>
        <v>6.26886388</v>
      </c>
      <c r="R296" s="59">
        <f>($C296/$D296)*VLOOKUP($E296,'AWS Platforms Ratios'!$A$2:$O$25,10,FALSE)</f>
        <v>8.487875134</v>
      </c>
      <c r="S296" s="59">
        <f>$F296*VLOOKUP($E296,'AWS Platforms Ratios'!$A$2:$O$25,11,FALSE)</f>
        <v>3.2</v>
      </c>
      <c r="T296" s="59">
        <f>$F296*VLOOKUP($E296,'AWS Platforms Ratios'!$A$2:$O$25,12,FALSE)</f>
        <v>4.8</v>
      </c>
      <c r="U296" s="59">
        <f>$F296*VLOOKUP($E296,'AWS Platforms Ratios'!$A$2:$O$25,13,FALSE)</f>
        <v>6.4</v>
      </c>
      <c r="V296" s="59">
        <f>$F296*VLOOKUP($E296,'AWS Platforms Ratios'!$A$2:$O$25,14,FALSE)</f>
        <v>9.6</v>
      </c>
      <c r="W296" s="60">
        <f>IF($K296&lt;&gt;"N/A",$M296*(VLOOKUP($L296,'GPU Specs &amp; Ratios'!$B$2:$I$8,5,FALSE)),0)</f>
        <v>0</v>
      </c>
      <c r="X296" s="60">
        <f>IF($K296&lt;&gt;"N/A",$M296*(VLOOKUP($L296,'GPU Specs &amp; Ratios'!$B$2:$I$8,6,FALSE)),0)</f>
        <v>0</v>
      </c>
      <c r="Y296" s="60">
        <f>IF($K296&lt;&gt;"N/A",$M296*(VLOOKUP($L296,'GPU Specs &amp; Ratios'!$B$2:$I$8,7,FALSE)),0)</f>
        <v>0</v>
      </c>
      <c r="Z296" s="60">
        <f>IF($K296&lt;&gt;"N/A",$M296*(VLOOKUP($L296,'GPU Specs &amp; Ratios'!$B$2:$I$8,8,FALSE)),0)</f>
        <v>0</v>
      </c>
      <c r="AA296" s="60">
        <f>(C296/D296)*VLOOKUP($E296,'AWS Platforms Ratios'!$A$2:$O$25,15,FALSE)</f>
        <v>1.666666667</v>
      </c>
      <c r="AB296" s="60">
        <f t="shared" ref="AB296:AE296" si="296">O296+S296+W296+$AA296</f>
        <v>5.834405145</v>
      </c>
      <c r="AC296" s="60">
        <f t="shared" si="296"/>
        <v>9.118837085</v>
      </c>
      <c r="AD296" s="60">
        <f t="shared" si="296"/>
        <v>14.33553055</v>
      </c>
      <c r="AE296" s="60">
        <f t="shared" si="296"/>
        <v>19.7545418</v>
      </c>
      <c r="AF296" s="60">
        <f>IF(G296&gt;'Scope 3 Ratios'!$B$5,(G296-'Scope 3 Ratios'!$B$5)*('Scope 3 Ratios'!$B$6/'Scope 3 Ratios'!$B$5),0)</f>
        <v>1042.9488</v>
      </c>
      <c r="AG296" s="60">
        <f>J296*IF(I296="SSD",'Scope 3 Ratios'!$B$9,'Scope 3 Ratios'!$B$8)</f>
        <v>400</v>
      </c>
      <c r="AH296" s="60">
        <f>IF(K296&lt;&gt;"N/A",K296*'Scope 3 Ratios'!$B$10,0)</f>
        <v>0</v>
      </c>
      <c r="AI296" s="60">
        <f>(VLOOKUP($E296,'AWS Platforms Ratios'!$A$2:$O$25,3,FALSE)-1)*'Scope 3 Ratios'!$B$7</f>
        <v>100</v>
      </c>
      <c r="AJ296" s="60">
        <f>'Scope 3 Ratios'!$B$2+AF296+AG296+AH296+AI296</f>
        <v>2542.9488</v>
      </c>
      <c r="AK296" s="60">
        <f>AJ296*'Scope 3 Ratios'!$B$4*(C296/D296)</f>
        <v>1.532931134</v>
      </c>
      <c r="AL296" s="61" t="s">
        <v>567</v>
      </c>
    </row>
    <row r="297" ht="15.0" customHeight="1">
      <c r="A297" s="56" t="s">
        <v>576</v>
      </c>
      <c r="B297" s="56" t="s">
        <v>296</v>
      </c>
      <c r="C297" s="56">
        <v>4.0</v>
      </c>
      <c r="D297" s="56">
        <f>VLOOKUP(E297,'AWS Platforms Ratios'!$A$2:$B$25,2,FALSE)</f>
        <v>96</v>
      </c>
      <c r="E297" s="57" t="s">
        <v>423</v>
      </c>
      <c r="F297" s="56">
        <v>32.0</v>
      </c>
      <c r="G297" s="56">
        <v>768.0</v>
      </c>
      <c r="H297" s="57" t="s">
        <v>148</v>
      </c>
      <c r="I297" s="56" t="s">
        <v>85</v>
      </c>
      <c r="J297" s="56">
        <v>4.0</v>
      </c>
      <c r="K297" s="58" t="s">
        <v>73</v>
      </c>
      <c r="L297" s="58" t="s">
        <v>73</v>
      </c>
      <c r="M297" s="58" t="s">
        <v>73</v>
      </c>
      <c r="N297" s="58" t="s">
        <v>73</v>
      </c>
      <c r="O297" s="59">
        <f>($C297/$D297)*VLOOKUP($E297,'AWS Platforms Ratios'!$A$2:$O$25,7,FALSE)</f>
        <v>1.935476956</v>
      </c>
      <c r="P297" s="59">
        <f>($C297/$D297)*VLOOKUP($E297,'AWS Platforms Ratios'!$A$2:$O$25,8,FALSE)</f>
        <v>5.304340836</v>
      </c>
      <c r="Q297" s="59">
        <f>($C297/$D297)*VLOOKUP($E297,'AWS Platforms Ratios'!$A$2:$O$25,9,FALSE)</f>
        <v>12.53772776</v>
      </c>
      <c r="R297" s="59">
        <f>($C297/$D297)*VLOOKUP($E297,'AWS Platforms Ratios'!$A$2:$O$25,10,FALSE)</f>
        <v>16.97575027</v>
      </c>
      <c r="S297" s="59">
        <f>$F297*VLOOKUP($E297,'AWS Platforms Ratios'!$A$2:$O$25,11,FALSE)</f>
        <v>6.4</v>
      </c>
      <c r="T297" s="59">
        <f>$F297*VLOOKUP($E297,'AWS Platforms Ratios'!$A$2:$O$25,12,FALSE)</f>
        <v>9.6</v>
      </c>
      <c r="U297" s="59">
        <f>$F297*VLOOKUP($E297,'AWS Platforms Ratios'!$A$2:$O$25,13,FALSE)</f>
        <v>12.8</v>
      </c>
      <c r="V297" s="59">
        <f>$F297*VLOOKUP($E297,'AWS Platforms Ratios'!$A$2:$O$25,14,FALSE)</f>
        <v>19.2</v>
      </c>
      <c r="W297" s="60">
        <f>IF($K297&lt;&gt;"N/A",$M297*(VLOOKUP($L297,'GPU Specs &amp; Ratios'!$B$2:$I$8,5,FALSE)),0)</f>
        <v>0</v>
      </c>
      <c r="X297" s="60">
        <f>IF($K297&lt;&gt;"N/A",$M297*(VLOOKUP($L297,'GPU Specs &amp; Ratios'!$B$2:$I$8,6,FALSE)),0)</f>
        <v>0</v>
      </c>
      <c r="Y297" s="60">
        <f>IF($K297&lt;&gt;"N/A",$M297*(VLOOKUP($L297,'GPU Specs &amp; Ratios'!$B$2:$I$8,7,FALSE)),0)</f>
        <v>0</v>
      </c>
      <c r="Z297" s="60">
        <f>IF($K297&lt;&gt;"N/A",$M297*(VLOOKUP($L297,'GPU Specs &amp; Ratios'!$B$2:$I$8,8,FALSE)),0)</f>
        <v>0</v>
      </c>
      <c r="AA297" s="60">
        <f>(C297/D297)*VLOOKUP($E297,'AWS Platforms Ratios'!$A$2:$O$25,15,FALSE)</f>
        <v>3.333333333</v>
      </c>
      <c r="AB297" s="60">
        <f t="shared" ref="AB297:AE297" si="297">O297+S297+W297+$AA297</f>
        <v>11.66881029</v>
      </c>
      <c r="AC297" s="60">
        <f t="shared" si="297"/>
        <v>18.23767417</v>
      </c>
      <c r="AD297" s="60">
        <f t="shared" si="297"/>
        <v>28.67106109</v>
      </c>
      <c r="AE297" s="60">
        <f t="shared" si="297"/>
        <v>39.5090836</v>
      </c>
      <c r="AF297" s="60">
        <f>IF(G297&gt;'Scope 3 Ratios'!$B$5,(G297-'Scope 3 Ratios'!$B$5)*('Scope 3 Ratios'!$B$6/'Scope 3 Ratios'!$B$5),0)</f>
        <v>1042.9488</v>
      </c>
      <c r="AG297" s="60">
        <f>J297*IF(I297="SSD",'Scope 3 Ratios'!$B$9,'Scope 3 Ratios'!$B$8)</f>
        <v>400</v>
      </c>
      <c r="AH297" s="60">
        <f>IF(K297&lt;&gt;"N/A",K297*'Scope 3 Ratios'!$B$10,0)</f>
        <v>0</v>
      </c>
      <c r="AI297" s="60">
        <f>(VLOOKUP($E297,'AWS Platforms Ratios'!$A$2:$O$25,3,FALSE)-1)*'Scope 3 Ratios'!$B$7</f>
        <v>100</v>
      </c>
      <c r="AJ297" s="60">
        <f>'Scope 3 Ratios'!$B$2+AF297+AG297+AH297+AI297</f>
        <v>2542.9488</v>
      </c>
      <c r="AK297" s="60">
        <f>AJ297*'Scope 3 Ratios'!$B$4*(C297/D297)</f>
        <v>3.065862269</v>
      </c>
      <c r="AL297" s="61" t="s">
        <v>567</v>
      </c>
    </row>
    <row r="298" ht="15.0" customHeight="1">
      <c r="A298" s="56" t="s">
        <v>577</v>
      </c>
      <c r="B298" s="56" t="s">
        <v>296</v>
      </c>
      <c r="C298" s="56">
        <v>8.0</v>
      </c>
      <c r="D298" s="56">
        <f>VLOOKUP(E298,'AWS Platforms Ratios'!$A$2:$B$25,2,FALSE)</f>
        <v>96</v>
      </c>
      <c r="E298" s="57" t="s">
        <v>423</v>
      </c>
      <c r="F298" s="56">
        <v>64.0</v>
      </c>
      <c r="G298" s="56">
        <v>768.0</v>
      </c>
      <c r="H298" s="57" t="s">
        <v>150</v>
      </c>
      <c r="I298" s="56" t="s">
        <v>85</v>
      </c>
      <c r="J298" s="56">
        <v>4.0</v>
      </c>
      <c r="K298" s="58" t="s">
        <v>73</v>
      </c>
      <c r="L298" s="58" t="s">
        <v>73</v>
      </c>
      <c r="M298" s="58" t="s">
        <v>73</v>
      </c>
      <c r="N298" s="58" t="s">
        <v>73</v>
      </c>
      <c r="O298" s="59">
        <f>($C298/$D298)*VLOOKUP($E298,'AWS Platforms Ratios'!$A$2:$O$25,7,FALSE)</f>
        <v>3.870953912</v>
      </c>
      <c r="P298" s="59">
        <f>($C298/$D298)*VLOOKUP($E298,'AWS Platforms Ratios'!$A$2:$O$25,8,FALSE)</f>
        <v>10.60868167</v>
      </c>
      <c r="Q298" s="59">
        <f>($C298/$D298)*VLOOKUP($E298,'AWS Platforms Ratios'!$A$2:$O$25,9,FALSE)</f>
        <v>25.07545552</v>
      </c>
      <c r="R298" s="59">
        <f>($C298/$D298)*VLOOKUP($E298,'AWS Platforms Ratios'!$A$2:$O$25,10,FALSE)</f>
        <v>33.95150054</v>
      </c>
      <c r="S298" s="59">
        <f>$F298*VLOOKUP($E298,'AWS Platforms Ratios'!$A$2:$O$25,11,FALSE)</f>
        <v>12.8</v>
      </c>
      <c r="T298" s="59">
        <f>$F298*VLOOKUP($E298,'AWS Platforms Ratios'!$A$2:$O$25,12,FALSE)</f>
        <v>19.2</v>
      </c>
      <c r="U298" s="59">
        <f>$F298*VLOOKUP($E298,'AWS Platforms Ratios'!$A$2:$O$25,13,FALSE)</f>
        <v>25.6</v>
      </c>
      <c r="V298" s="59">
        <f>$F298*VLOOKUP($E298,'AWS Platforms Ratios'!$A$2:$O$25,14,FALSE)</f>
        <v>38.4</v>
      </c>
      <c r="W298" s="60">
        <f>IF($K298&lt;&gt;"N/A",$M298*(VLOOKUP($L298,'GPU Specs &amp; Ratios'!$B$2:$I$8,5,FALSE)),0)</f>
        <v>0</v>
      </c>
      <c r="X298" s="60">
        <f>IF($K298&lt;&gt;"N/A",$M298*(VLOOKUP($L298,'GPU Specs &amp; Ratios'!$B$2:$I$8,6,FALSE)),0)</f>
        <v>0</v>
      </c>
      <c r="Y298" s="60">
        <f>IF($K298&lt;&gt;"N/A",$M298*(VLOOKUP($L298,'GPU Specs &amp; Ratios'!$B$2:$I$8,7,FALSE)),0)</f>
        <v>0</v>
      </c>
      <c r="Z298" s="60">
        <f>IF($K298&lt;&gt;"N/A",$M298*(VLOOKUP($L298,'GPU Specs &amp; Ratios'!$B$2:$I$8,8,FALSE)),0)</f>
        <v>0</v>
      </c>
      <c r="AA298" s="60">
        <f>(C298/D298)*VLOOKUP($E298,'AWS Platforms Ratios'!$A$2:$O$25,15,FALSE)</f>
        <v>6.666666667</v>
      </c>
      <c r="AB298" s="60">
        <f t="shared" ref="AB298:AE298" si="298">O298+S298+W298+$AA298</f>
        <v>23.33762058</v>
      </c>
      <c r="AC298" s="60">
        <f t="shared" si="298"/>
        <v>36.47534834</v>
      </c>
      <c r="AD298" s="60">
        <f t="shared" si="298"/>
        <v>57.34212219</v>
      </c>
      <c r="AE298" s="60">
        <f t="shared" si="298"/>
        <v>79.0181672</v>
      </c>
      <c r="AF298" s="60">
        <f>IF(G298&gt;'Scope 3 Ratios'!$B$5,(G298-'Scope 3 Ratios'!$B$5)*('Scope 3 Ratios'!$B$6/'Scope 3 Ratios'!$B$5),0)</f>
        <v>1042.9488</v>
      </c>
      <c r="AG298" s="60">
        <f>J298*IF(I298="SSD",'Scope 3 Ratios'!$B$9,'Scope 3 Ratios'!$B$8)</f>
        <v>400</v>
      </c>
      <c r="AH298" s="60">
        <f>IF(K298&lt;&gt;"N/A",K298*'Scope 3 Ratios'!$B$10,0)</f>
        <v>0</v>
      </c>
      <c r="AI298" s="60">
        <f>(VLOOKUP($E298,'AWS Platforms Ratios'!$A$2:$O$25,3,FALSE)-1)*'Scope 3 Ratios'!$B$7</f>
        <v>100</v>
      </c>
      <c r="AJ298" s="60">
        <f>'Scope 3 Ratios'!$B$2+AF298+AG298+AH298+AI298</f>
        <v>2542.9488</v>
      </c>
      <c r="AK298" s="60">
        <f>AJ298*'Scope 3 Ratios'!$B$4*(C298/D298)</f>
        <v>6.131724537</v>
      </c>
      <c r="AL298" s="61" t="s">
        <v>567</v>
      </c>
    </row>
    <row r="299" ht="15.0" customHeight="1">
      <c r="A299" s="56" t="s">
        <v>578</v>
      </c>
      <c r="B299" s="56" t="s">
        <v>296</v>
      </c>
      <c r="C299" s="56">
        <v>16.0</v>
      </c>
      <c r="D299" s="56">
        <f>VLOOKUP(E299,'AWS Platforms Ratios'!$A$2:$B$25,2,FALSE)</f>
        <v>96</v>
      </c>
      <c r="E299" s="57" t="s">
        <v>423</v>
      </c>
      <c r="F299" s="56">
        <v>128.0</v>
      </c>
      <c r="G299" s="56">
        <v>768.0</v>
      </c>
      <c r="H299" s="57" t="s">
        <v>152</v>
      </c>
      <c r="I299" s="56" t="s">
        <v>85</v>
      </c>
      <c r="J299" s="56">
        <v>4.0</v>
      </c>
      <c r="K299" s="58" t="s">
        <v>73</v>
      </c>
      <c r="L299" s="58" t="s">
        <v>73</v>
      </c>
      <c r="M299" s="58" t="s">
        <v>73</v>
      </c>
      <c r="N299" s="58" t="s">
        <v>73</v>
      </c>
      <c r="O299" s="59">
        <f>($C299/$D299)*VLOOKUP($E299,'AWS Platforms Ratios'!$A$2:$O$25,7,FALSE)</f>
        <v>7.741907824</v>
      </c>
      <c r="P299" s="59">
        <f>($C299/$D299)*VLOOKUP($E299,'AWS Platforms Ratios'!$A$2:$O$25,8,FALSE)</f>
        <v>21.21736334</v>
      </c>
      <c r="Q299" s="59">
        <f>($C299/$D299)*VLOOKUP($E299,'AWS Platforms Ratios'!$A$2:$O$25,9,FALSE)</f>
        <v>50.15091104</v>
      </c>
      <c r="R299" s="59">
        <f>($C299/$D299)*VLOOKUP($E299,'AWS Platforms Ratios'!$A$2:$O$25,10,FALSE)</f>
        <v>67.90300107</v>
      </c>
      <c r="S299" s="59">
        <f>$F299*VLOOKUP($E299,'AWS Platforms Ratios'!$A$2:$O$25,11,FALSE)</f>
        <v>25.6</v>
      </c>
      <c r="T299" s="59">
        <f>$F299*VLOOKUP($E299,'AWS Platforms Ratios'!$A$2:$O$25,12,FALSE)</f>
        <v>38.4</v>
      </c>
      <c r="U299" s="59">
        <f>$F299*VLOOKUP($E299,'AWS Platforms Ratios'!$A$2:$O$25,13,FALSE)</f>
        <v>51.2</v>
      </c>
      <c r="V299" s="59">
        <f>$F299*VLOOKUP($E299,'AWS Platforms Ratios'!$A$2:$O$25,14,FALSE)</f>
        <v>76.8</v>
      </c>
      <c r="W299" s="60">
        <f>IF($K299&lt;&gt;"N/A",$M299*(VLOOKUP($L299,'GPU Specs &amp; Ratios'!$B$2:$I$8,5,FALSE)),0)</f>
        <v>0</v>
      </c>
      <c r="X299" s="60">
        <f>IF($K299&lt;&gt;"N/A",$M299*(VLOOKUP($L299,'GPU Specs &amp; Ratios'!$B$2:$I$8,6,FALSE)),0)</f>
        <v>0</v>
      </c>
      <c r="Y299" s="60">
        <f>IF($K299&lt;&gt;"N/A",$M299*(VLOOKUP($L299,'GPU Specs &amp; Ratios'!$B$2:$I$8,7,FALSE)),0)</f>
        <v>0</v>
      </c>
      <c r="Z299" s="60">
        <f>IF($K299&lt;&gt;"N/A",$M299*(VLOOKUP($L299,'GPU Specs &amp; Ratios'!$B$2:$I$8,8,FALSE)),0)</f>
        <v>0</v>
      </c>
      <c r="AA299" s="60">
        <f>(C299/D299)*VLOOKUP($E299,'AWS Platforms Ratios'!$A$2:$O$25,15,FALSE)</f>
        <v>13.33333333</v>
      </c>
      <c r="AB299" s="60">
        <f t="shared" ref="AB299:AE299" si="299">O299+S299+W299+$AA299</f>
        <v>46.67524116</v>
      </c>
      <c r="AC299" s="60">
        <f t="shared" si="299"/>
        <v>72.95069668</v>
      </c>
      <c r="AD299" s="60">
        <f t="shared" si="299"/>
        <v>114.6842444</v>
      </c>
      <c r="AE299" s="60">
        <f t="shared" si="299"/>
        <v>158.0363344</v>
      </c>
      <c r="AF299" s="60">
        <f>IF(G299&gt;'Scope 3 Ratios'!$B$5,(G299-'Scope 3 Ratios'!$B$5)*('Scope 3 Ratios'!$B$6/'Scope 3 Ratios'!$B$5),0)</f>
        <v>1042.9488</v>
      </c>
      <c r="AG299" s="60">
        <f>J299*IF(I299="SSD",'Scope 3 Ratios'!$B$9,'Scope 3 Ratios'!$B$8)</f>
        <v>400</v>
      </c>
      <c r="AH299" s="60">
        <f>IF(K299&lt;&gt;"N/A",K299*'Scope 3 Ratios'!$B$10,0)</f>
        <v>0</v>
      </c>
      <c r="AI299" s="60">
        <f>(VLOOKUP($E299,'AWS Platforms Ratios'!$A$2:$O$25,3,FALSE)-1)*'Scope 3 Ratios'!$B$7</f>
        <v>100</v>
      </c>
      <c r="AJ299" s="60">
        <f>'Scope 3 Ratios'!$B$2+AF299+AG299+AH299+AI299</f>
        <v>2542.9488</v>
      </c>
      <c r="AK299" s="60">
        <f>AJ299*'Scope 3 Ratios'!$B$4*(C299/D299)</f>
        <v>12.26344907</v>
      </c>
      <c r="AL299" s="61" t="s">
        <v>567</v>
      </c>
    </row>
    <row r="300" ht="15.0" customHeight="1">
      <c r="A300" s="56" t="s">
        <v>579</v>
      </c>
      <c r="B300" s="56" t="s">
        <v>296</v>
      </c>
      <c r="C300" s="56">
        <v>32.0</v>
      </c>
      <c r="D300" s="56">
        <f>VLOOKUP(E300,'AWS Platforms Ratios'!$A$2:$B$25,2,FALSE)</f>
        <v>96</v>
      </c>
      <c r="E300" s="57" t="s">
        <v>423</v>
      </c>
      <c r="F300" s="56">
        <v>256.0</v>
      </c>
      <c r="G300" s="56">
        <v>768.0</v>
      </c>
      <c r="H300" s="57" t="s">
        <v>154</v>
      </c>
      <c r="I300" s="56" t="s">
        <v>85</v>
      </c>
      <c r="J300" s="56">
        <v>4.0</v>
      </c>
      <c r="K300" s="58" t="s">
        <v>73</v>
      </c>
      <c r="L300" s="58" t="s">
        <v>73</v>
      </c>
      <c r="M300" s="58" t="s">
        <v>73</v>
      </c>
      <c r="N300" s="58" t="s">
        <v>73</v>
      </c>
      <c r="O300" s="59">
        <f>($C300/$D300)*VLOOKUP($E300,'AWS Platforms Ratios'!$A$2:$O$25,7,FALSE)</f>
        <v>15.48381565</v>
      </c>
      <c r="P300" s="59">
        <f>($C300/$D300)*VLOOKUP($E300,'AWS Platforms Ratios'!$A$2:$O$25,8,FALSE)</f>
        <v>42.43472669</v>
      </c>
      <c r="Q300" s="59">
        <f>($C300/$D300)*VLOOKUP($E300,'AWS Platforms Ratios'!$A$2:$O$25,9,FALSE)</f>
        <v>100.3018221</v>
      </c>
      <c r="R300" s="59">
        <f>($C300/$D300)*VLOOKUP($E300,'AWS Platforms Ratios'!$A$2:$O$25,10,FALSE)</f>
        <v>135.8060021</v>
      </c>
      <c r="S300" s="59">
        <f>$F300*VLOOKUP($E300,'AWS Platforms Ratios'!$A$2:$O$25,11,FALSE)</f>
        <v>51.2</v>
      </c>
      <c r="T300" s="59">
        <f>$F300*VLOOKUP($E300,'AWS Platforms Ratios'!$A$2:$O$25,12,FALSE)</f>
        <v>76.8</v>
      </c>
      <c r="U300" s="59">
        <f>$F300*VLOOKUP($E300,'AWS Platforms Ratios'!$A$2:$O$25,13,FALSE)</f>
        <v>102.4</v>
      </c>
      <c r="V300" s="59">
        <f>$F300*VLOOKUP($E300,'AWS Platforms Ratios'!$A$2:$O$25,14,FALSE)</f>
        <v>153.6</v>
      </c>
      <c r="W300" s="60">
        <f>IF($K300&lt;&gt;"N/A",$M300*(VLOOKUP($L300,'GPU Specs &amp; Ratios'!$B$2:$I$8,5,FALSE)),0)</f>
        <v>0</v>
      </c>
      <c r="X300" s="60">
        <f>IF($K300&lt;&gt;"N/A",$M300*(VLOOKUP($L300,'GPU Specs &amp; Ratios'!$B$2:$I$8,6,FALSE)),0)</f>
        <v>0</v>
      </c>
      <c r="Y300" s="60">
        <f>IF($K300&lt;&gt;"N/A",$M300*(VLOOKUP($L300,'GPU Specs &amp; Ratios'!$B$2:$I$8,7,FALSE)),0)</f>
        <v>0</v>
      </c>
      <c r="Z300" s="60">
        <f>IF($K300&lt;&gt;"N/A",$M300*(VLOOKUP($L300,'GPU Specs &amp; Ratios'!$B$2:$I$8,8,FALSE)),0)</f>
        <v>0</v>
      </c>
      <c r="AA300" s="60">
        <f>(C300/D300)*VLOOKUP($E300,'AWS Platforms Ratios'!$A$2:$O$25,15,FALSE)</f>
        <v>26.66666667</v>
      </c>
      <c r="AB300" s="60">
        <f t="shared" ref="AB300:AE300" si="300">O300+S300+W300+$AA300</f>
        <v>93.35048232</v>
      </c>
      <c r="AC300" s="60">
        <f t="shared" si="300"/>
        <v>145.9013934</v>
      </c>
      <c r="AD300" s="60">
        <f t="shared" si="300"/>
        <v>229.3684887</v>
      </c>
      <c r="AE300" s="60">
        <f t="shared" si="300"/>
        <v>316.0726688</v>
      </c>
      <c r="AF300" s="60">
        <f>IF(G300&gt;'Scope 3 Ratios'!$B$5,(G300-'Scope 3 Ratios'!$B$5)*('Scope 3 Ratios'!$B$6/'Scope 3 Ratios'!$B$5),0)</f>
        <v>1042.9488</v>
      </c>
      <c r="AG300" s="60">
        <f>J300*IF(I300="SSD",'Scope 3 Ratios'!$B$9,'Scope 3 Ratios'!$B$8)</f>
        <v>400</v>
      </c>
      <c r="AH300" s="60">
        <f>IF(K300&lt;&gt;"N/A",K300*'Scope 3 Ratios'!$B$10,0)</f>
        <v>0</v>
      </c>
      <c r="AI300" s="60">
        <f>(VLOOKUP($E300,'AWS Platforms Ratios'!$A$2:$O$25,3,FALSE)-1)*'Scope 3 Ratios'!$B$7</f>
        <v>100</v>
      </c>
      <c r="AJ300" s="60">
        <f>'Scope 3 Ratios'!$B$2+AF300+AG300+AH300+AI300</f>
        <v>2542.9488</v>
      </c>
      <c r="AK300" s="60">
        <f>AJ300*'Scope 3 Ratios'!$B$4*(C300/D300)</f>
        <v>24.52689815</v>
      </c>
      <c r="AL300" s="61" t="s">
        <v>567</v>
      </c>
    </row>
    <row r="301" ht="15.0" customHeight="1">
      <c r="A301" s="56" t="s">
        <v>580</v>
      </c>
      <c r="B301" s="56" t="s">
        <v>296</v>
      </c>
      <c r="C301" s="56">
        <v>48.0</v>
      </c>
      <c r="D301" s="56">
        <f>VLOOKUP(E301,'AWS Platforms Ratios'!$A$2:$B$25,2,FALSE)</f>
        <v>96</v>
      </c>
      <c r="E301" s="57" t="s">
        <v>423</v>
      </c>
      <c r="F301" s="56">
        <v>384.0</v>
      </c>
      <c r="G301" s="56">
        <v>768.0</v>
      </c>
      <c r="H301" s="57" t="s">
        <v>156</v>
      </c>
      <c r="I301" s="56" t="s">
        <v>85</v>
      </c>
      <c r="J301" s="56">
        <v>4.0</v>
      </c>
      <c r="K301" s="58" t="s">
        <v>73</v>
      </c>
      <c r="L301" s="58" t="s">
        <v>73</v>
      </c>
      <c r="M301" s="58" t="s">
        <v>73</v>
      </c>
      <c r="N301" s="58" t="s">
        <v>73</v>
      </c>
      <c r="O301" s="59">
        <f>($C301/$D301)*VLOOKUP($E301,'AWS Platforms Ratios'!$A$2:$O$25,7,FALSE)</f>
        <v>23.22572347</v>
      </c>
      <c r="P301" s="59">
        <f>($C301/$D301)*VLOOKUP($E301,'AWS Platforms Ratios'!$A$2:$O$25,8,FALSE)</f>
        <v>63.65209003</v>
      </c>
      <c r="Q301" s="59">
        <f>($C301/$D301)*VLOOKUP($E301,'AWS Platforms Ratios'!$A$2:$O$25,9,FALSE)</f>
        <v>150.4527331</v>
      </c>
      <c r="R301" s="59">
        <f>($C301/$D301)*VLOOKUP($E301,'AWS Platforms Ratios'!$A$2:$O$25,10,FALSE)</f>
        <v>203.7090032</v>
      </c>
      <c r="S301" s="59">
        <f>$F301*VLOOKUP($E301,'AWS Platforms Ratios'!$A$2:$O$25,11,FALSE)</f>
        <v>76.8</v>
      </c>
      <c r="T301" s="59">
        <f>$F301*VLOOKUP($E301,'AWS Platforms Ratios'!$A$2:$O$25,12,FALSE)</f>
        <v>115.2</v>
      </c>
      <c r="U301" s="59">
        <f>$F301*VLOOKUP($E301,'AWS Platforms Ratios'!$A$2:$O$25,13,FALSE)</f>
        <v>153.6</v>
      </c>
      <c r="V301" s="59">
        <f>$F301*VLOOKUP($E301,'AWS Platforms Ratios'!$A$2:$O$25,14,FALSE)</f>
        <v>230.4</v>
      </c>
      <c r="W301" s="60">
        <f>IF($K301&lt;&gt;"N/A",$M301*(VLOOKUP($L301,'GPU Specs &amp; Ratios'!$B$2:$I$8,5,FALSE)),0)</f>
        <v>0</v>
      </c>
      <c r="X301" s="60">
        <f>IF($K301&lt;&gt;"N/A",$M301*(VLOOKUP($L301,'GPU Specs &amp; Ratios'!$B$2:$I$8,6,FALSE)),0)</f>
        <v>0</v>
      </c>
      <c r="Y301" s="60">
        <f>IF($K301&lt;&gt;"N/A",$M301*(VLOOKUP($L301,'GPU Specs &amp; Ratios'!$B$2:$I$8,7,FALSE)),0)</f>
        <v>0</v>
      </c>
      <c r="Z301" s="60">
        <f>IF($K301&lt;&gt;"N/A",$M301*(VLOOKUP($L301,'GPU Specs &amp; Ratios'!$B$2:$I$8,8,FALSE)),0)</f>
        <v>0</v>
      </c>
      <c r="AA301" s="60">
        <f>(C301/D301)*VLOOKUP($E301,'AWS Platforms Ratios'!$A$2:$O$25,15,FALSE)</f>
        <v>40</v>
      </c>
      <c r="AB301" s="60">
        <f t="shared" ref="AB301:AE301" si="301">O301+S301+W301+$AA301</f>
        <v>140.0257235</v>
      </c>
      <c r="AC301" s="60">
        <f t="shared" si="301"/>
        <v>218.85209</v>
      </c>
      <c r="AD301" s="60">
        <f t="shared" si="301"/>
        <v>344.0527331</v>
      </c>
      <c r="AE301" s="60">
        <f t="shared" si="301"/>
        <v>474.1090032</v>
      </c>
      <c r="AF301" s="60">
        <f>IF(G301&gt;'Scope 3 Ratios'!$B$5,(G301-'Scope 3 Ratios'!$B$5)*('Scope 3 Ratios'!$B$6/'Scope 3 Ratios'!$B$5),0)</f>
        <v>1042.9488</v>
      </c>
      <c r="AG301" s="60">
        <f>J301*IF(I301="SSD",'Scope 3 Ratios'!$B$9,'Scope 3 Ratios'!$B$8)</f>
        <v>400</v>
      </c>
      <c r="AH301" s="60">
        <f>IF(K301&lt;&gt;"N/A",K301*'Scope 3 Ratios'!$B$10,0)</f>
        <v>0</v>
      </c>
      <c r="AI301" s="60">
        <f>(VLOOKUP($E301,'AWS Platforms Ratios'!$A$2:$O$25,3,FALSE)-1)*'Scope 3 Ratios'!$B$7</f>
        <v>100</v>
      </c>
      <c r="AJ301" s="60">
        <f>'Scope 3 Ratios'!$B$2+AF301+AG301+AH301+AI301</f>
        <v>2542.9488</v>
      </c>
      <c r="AK301" s="60">
        <f>AJ301*'Scope 3 Ratios'!$B$4*(C301/D301)</f>
        <v>36.79034722</v>
      </c>
      <c r="AL301" s="61" t="s">
        <v>567</v>
      </c>
    </row>
    <row r="302" ht="15.0" customHeight="1">
      <c r="A302" s="56" t="s">
        <v>581</v>
      </c>
      <c r="B302" s="56" t="s">
        <v>296</v>
      </c>
      <c r="C302" s="56">
        <v>64.0</v>
      </c>
      <c r="D302" s="56">
        <f>VLOOKUP(E302,'AWS Platforms Ratios'!$A$2:$B$25,2,FALSE)</f>
        <v>96</v>
      </c>
      <c r="E302" s="57" t="s">
        <v>423</v>
      </c>
      <c r="F302" s="56">
        <v>512.0</v>
      </c>
      <c r="G302" s="56">
        <v>768.0</v>
      </c>
      <c r="H302" s="57" t="s">
        <v>439</v>
      </c>
      <c r="I302" s="56" t="s">
        <v>85</v>
      </c>
      <c r="J302" s="56">
        <v>4.0</v>
      </c>
      <c r="K302" s="58" t="s">
        <v>73</v>
      </c>
      <c r="L302" s="58" t="s">
        <v>73</v>
      </c>
      <c r="M302" s="58" t="s">
        <v>73</v>
      </c>
      <c r="N302" s="58" t="s">
        <v>73</v>
      </c>
      <c r="O302" s="59">
        <f>($C302/$D302)*VLOOKUP($E302,'AWS Platforms Ratios'!$A$2:$O$25,7,FALSE)</f>
        <v>30.9676313</v>
      </c>
      <c r="P302" s="59">
        <f>($C302/$D302)*VLOOKUP($E302,'AWS Platforms Ratios'!$A$2:$O$25,8,FALSE)</f>
        <v>84.86945338</v>
      </c>
      <c r="Q302" s="59">
        <f>($C302/$D302)*VLOOKUP($E302,'AWS Platforms Ratios'!$A$2:$O$25,9,FALSE)</f>
        <v>200.6036442</v>
      </c>
      <c r="R302" s="59">
        <f>($C302/$D302)*VLOOKUP($E302,'AWS Platforms Ratios'!$A$2:$O$25,10,FALSE)</f>
        <v>271.6120043</v>
      </c>
      <c r="S302" s="59">
        <f>$F302*VLOOKUP($E302,'AWS Platforms Ratios'!$A$2:$O$25,11,FALSE)</f>
        <v>102.4</v>
      </c>
      <c r="T302" s="59">
        <f>$F302*VLOOKUP($E302,'AWS Platforms Ratios'!$A$2:$O$25,12,FALSE)</f>
        <v>153.6</v>
      </c>
      <c r="U302" s="59">
        <f>$F302*VLOOKUP($E302,'AWS Platforms Ratios'!$A$2:$O$25,13,FALSE)</f>
        <v>204.8</v>
      </c>
      <c r="V302" s="59">
        <f>$F302*VLOOKUP($E302,'AWS Platforms Ratios'!$A$2:$O$25,14,FALSE)</f>
        <v>307.2</v>
      </c>
      <c r="W302" s="60">
        <f>IF($K302&lt;&gt;"N/A",$M302*(VLOOKUP($L302,'GPU Specs &amp; Ratios'!$B$2:$I$8,5,FALSE)),0)</f>
        <v>0</v>
      </c>
      <c r="X302" s="60">
        <f>IF($K302&lt;&gt;"N/A",$M302*(VLOOKUP($L302,'GPU Specs &amp; Ratios'!$B$2:$I$8,6,FALSE)),0)</f>
        <v>0</v>
      </c>
      <c r="Y302" s="60">
        <f>IF($K302&lt;&gt;"N/A",$M302*(VLOOKUP($L302,'GPU Specs &amp; Ratios'!$B$2:$I$8,7,FALSE)),0)</f>
        <v>0</v>
      </c>
      <c r="Z302" s="60">
        <f>IF($K302&lt;&gt;"N/A",$M302*(VLOOKUP($L302,'GPU Specs &amp; Ratios'!$B$2:$I$8,8,FALSE)),0)</f>
        <v>0</v>
      </c>
      <c r="AA302" s="60">
        <f>(C302/D302)*VLOOKUP($E302,'AWS Platforms Ratios'!$A$2:$O$25,15,FALSE)</f>
        <v>53.33333333</v>
      </c>
      <c r="AB302" s="60">
        <f t="shared" ref="AB302:AE302" si="302">O302+S302+W302+$AA302</f>
        <v>186.7009646</v>
      </c>
      <c r="AC302" s="60">
        <f t="shared" si="302"/>
        <v>291.8027867</v>
      </c>
      <c r="AD302" s="60">
        <f t="shared" si="302"/>
        <v>458.7369775</v>
      </c>
      <c r="AE302" s="60">
        <f t="shared" si="302"/>
        <v>632.1453376</v>
      </c>
      <c r="AF302" s="60">
        <f>IF(G302&gt;'Scope 3 Ratios'!$B$5,(G302-'Scope 3 Ratios'!$B$5)*('Scope 3 Ratios'!$B$6/'Scope 3 Ratios'!$B$5),0)</f>
        <v>1042.9488</v>
      </c>
      <c r="AG302" s="60">
        <f>J302*IF(I302="SSD",'Scope 3 Ratios'!$B$9,'Scope 3 Ratios'!$B$8)</f>
        <v>400</v>
      </c>
      <c r="AH302" s="60">
        <f>IF(K302&lt;&gt;"N/A",K302*'Scope 3 Ratios'!$B$10,0)</f>
        <v>0</v>
      </c>
      <c r="AI302" s="60">
        <f>(VLOOKUP($E302,'AWS Platforms Ratios'!$A$2:$O$25,3,FALSE)-1)*'Scope 3 Ratios'!$B$7</f>
        <v>100</v>
      </c>
      <c r="AJ302" s="60">
        <f>'Scope 3 Ratios'!$B$2+AF302+AG302+AH302+AI302</f>
        <v>2542.9488</v>
      </c>
      <c r="AK302" s="60">
        <f>AJ302*'Scope 3 Ratios'!$B$4*(C302/D302)</f>
        <v>49.0537963</v>
      </c>
      <c r="AL302" s="61" t="s">
        <v>567</v>
      </c>
    </row>
    <row r="303" ht="15.0" customHeight="1">
      <c r="A303" s="56" t="s">
        <v>582</v>
      </c>
      <c r="B303" s="56" t="s">
        <v>296</v>
      </c>
      <c r="C303" s="56">
        <v>96.0</v>
      </c>
      <c r="D303" s="56">
        <f>VLOOKUP(E303,'AWS Platforms Ratios'!$A$2:$B$25,2,FALSE)</f>
        <v>96</v>
      </c>
      <c r="E303" s="57" t="s">
        <v>423</v>
      </c>
      <c r="F303" s="56">
        <v>768.0</v>
      </c>
      <c r="G303" s="56">
        <v>768.0</v>
      </c>
      <c r="H303" s="57" t="s">
        <v>176</v>
      </c>
      <c r="I303" s="56" t="s">
        <v>85</v>
      </c>
      <c r="J303" s="56">
        <v>4.0</v>
      </c>
      <c r="K303" s="58" t="s">
        <v>73</v>
      </c>
      <c r="L303" s="58" t="s">
        <v>73</v>
      </c>
      <c r="M303" s="58" t="s">
        <v>73</v>
      </c>
      <c r="N303" s="58" t="s">
        <v>73</v>
      </c>
      <c r="O303" s="59">
        <f>($C303/$D303)*VLOOKUP($E303,'AWS Platforms Ratios'!$A$2:$O$25,7,FALSE)</f>
        <v>46.45144695</v>
      </c>
      <c r="P303" s="59">
        <f>($C303/$D303)*VLOOKUP($E303,'AWS Platforms Ratios'!$A$2:$O$25,8,FALSE)</f>
        <v>127.3041801</v>
      </c>
      <c r="Q303" s="59">
        <f>($C303/$D303)*VLOOKUP($E303,'AWS Platforms Ratios'!$A$2:$O$25,9,FALSE)</f>
        <v>300.9054662</v>
      </c>
      <c r="R303" s="59">
        <f>($C303/$D303)*VLOOKUP($E303,'AWS Platforms Ratios'!$A$2:$O$25,10,FALSE)</f>
        <v>407.4180064</v>
      </c>
      <c r="S303" s="59">
        <f>$F303*VLOOKUP($E303,'AWS Platforms Ratios'!$A$2:$O$25,11,FALSE)</f>
        <v>153.6</v>
      </c>
      <c r="T303" s="59">
        <f>$F303*VLOOKUP($E303,'AWS Platforms Ratios'!$A$2:$O$25,12,FALSE)</f>
        <v>230.4</v>
      </c>
      <c r="U303" s="59">
        <f>$F303*VLOOKUP($E303,'AWS Platforms Ratios'!$A$2:$O$25,13,FALSE)</f>
        <v>307.2</v>
      </c>
      <c r="V303" s="59">
        <f>$F303*VLOOKUP($E303,'AWS Platforms Ratios'!$A$2:$O$25,14,FALSE)</f>
        <v>460.8</v>
      </c>
      <c r="W303" s="60">
        <f>IF($K303&lt;&gt;"N/A",$M303*(VLOOKUP($L303,'GPU Specs &amp; Ratios'!$B$2:$I$8,5,FALSE)),0)</f>
        <v>0</v>
      </c>
      <c r="X303" s="60">
        <f>IF($K303&lt;&gt;"N/A",$M303*(VLOOKUP($L303,'GPU Specs &amp; Ratios'!$B$2:$I$8,6,FALSE)),0)</f>
        <v>0</v>
      </c>
      <c r="Y303" s="60">
        <f>IF($K303&lt;&gt;"N/A",$M303*(VLOOKUP($L303,'GPU Specs &amp; Ratios'!$B$2:$I$8,7,FALSE)),0)</f>
        <v>0</v>
      </c>
      <c r="Z303" s="60">
        <f>IF($K303&lt;&gt;"N/A",$M303*(VLOOKUP($L303,'GPU Specs &amp; Ratios'!$B$2:$I$8,8,FALSE)),0)</f>
        <v>0</v>
      </c>
      <c r="AA303" s="60">
        <f>(C303/D303)*VLOOKUP($E303,'AWS Platforms Ratios'!$A$2:$O$25,15,FALSE)</f>
        <v>80</v>
      </c>
      <c r="AB303" s="60">
        <f t="shared" ref="AB303:AE303" si="303">O303+S303+W303+$AA303</f>
        <v>280.0514469</v>
      </c>
      <c r="AC303" s="60">
        <f t="shared" si="303"/>
        <v>437.7041801</v>
      </c>
      <c r="AD303" s="60">
        <f t="shared" si="303"/>
        <v>688.1054662</v>
      </c>
      <c r="AE303" s="60">
        <f t="shared" si="303"/>
        <v>948.2180064</v>
      </c>
      <c r="AF303" s="60">
        <f>IF(G303&gt;'Scope 3 Ratios'!$B$5,(G303-'Scope 3 Ratios'!$B$5)*('Scope 3 Ratios'!$B$6/'Scope 3 Ratios'!$B$5),0)</f>
        <v>1042.9488</v>
      </c>
      <c r="AG303" s="60">
        <f>J303*IF(I303="SSD",'Scope 3 Ratios'!$B$9,'Scope 3 Ratios'!$B$8)</f>
        <v>400</v>
      </c>
      <c r="AH303" s="60">
        <f>IF(K303&lt;&gt;"N/A",K303*'Scope 3 Ratios'!$B$10,0)</f>
        <v>0</v>
      </c>
      <c r="AI303" s="60">
        <f>(VLOOKUP($E303,'AWS Platforms Ratios'!$A$2:$O$25,3,FALSE)-1)*'Scope 3 Ratios'!$B$7</f>
        <v>100</v>
      </c>
      <c r="AJ303" s="60">
        <f>'Scope 3 Ratios'!$B$2+AF303+AG303+AH303+AI303</f>
        <v>2542.9488</v>
      </c>
      <c r="AK303" s="60">
        <f>AJ303*'Scope 3 Ratios'!$B$4*(C303/D303)</f>
        <v>73.58069444</v>
      </c>
      <c r="AL303" s="61" t="s">
        <v>567</v>
      </c>
    </row>
    <row r="304" ht="15.0" customHeight="1">
      <c r="A304" s="56" t="s">
        <v>583</v>
      </c>
      <c r="B304" s="56" t="s">
        <v>556</v>
      </c>
      <c r="C304" s="56">
        <v>2.0</v>
      </c>
      <c r="D304" s="56">
        <f>VLOOKUP(E304,'AWS Platforms Ratios'!$A$2:$B$25,2,FALSE)</f>
        <v>96</v>
      </c>
      <c r="E304" s="57" t="s">
        <v>237</v>
      </c>
      <c r="F304" s="56">
        <v>16.0</v>
      </c>
      <c r="G304" s="56">
        <v>768.0</v>
      </c>
      <c r="H304" s="57" t="s">
        <v>146</v>
      </c>
      <c r="I304" s="56" t="s">
        <v>85</v>
      </c>
      <c r="J304" s="56">
        <v>4.0</v>
      </c>
      <c r="K304" s="58" t="s">
        <v>73</v>
      </c>
      <c r="L304" s="58" t="s">
        <v>73</v>
      </c>
      <c r="M304" s="58" t="s">
        <v>73</v>
      </c>
      <c r="N304" s="58" t="s">
        <v>73</v>
      </c>
      <c r="O304" s="59">
        <f>($C304/$D304)*VLOOKUP($E304,'AWS Platforms Ratios'!$A$2:$O$25,7,FALSE)</f>
        <v>1.139791667</v>
      </c>
      <c r="P304" s="59">
        <f>($C304/$D304)*VLOOKUP($E304,'AWS Platforms Ratios'!$A$2:$O$25,8,FALSE)</f>
        <v>2.873333333</v>
      </c>
      <c r="Q304" s="59">
        <f>($C304/$D304)*VLOOKUP($E304,'AWS Platforms Ratios'!$A$2:$O$25,9,FALSE)</f>
        <v>6.394375</v>
      </c>
      <c r="R304" s="59">
        <f>($C304/$D304)*VLOOKUP($E304,'AWS Platforms Ratios'!$A$2:$O$25,10,FALSE)</f>
        <v>9.278802083</v>
      </c>
      <c r="S304" s="59">
        <f>$F304*VLOOKUP($E304,'AWS Platforms Ratios'!$A$2:$O$25,11,FALSE)</f>
        <v>2.488125</v>
      </c>
      <c r="T304" s="59">
        <f>$F304*VLOOKUP($E304,'AWS Platforms Ratios'!$A$2:$O$25,12,FALSE)</f>
        <v>4.117916667</v>
      </c>
      <c r="U304" s="59">
        <f>$F304*VLOOKUP($E304,'AWS Platforms Ratios'!$A$2:$O$25,13,FALSE)</f>
        <v>7.370416667</v>
      </c>
      <c r="V304" s="59">
        <f>$F304*VLOOKUP($E304,'AWS Platforms Ratios'!$A$2:$O$25,14,FALSE)</f>
        <v>10.62291667</v>
      </c>
      <c r="W304" s="60">
        <f>IF($K304&lt;&gt;"N/A",$M304*(VLOOKUP($L304,'GPU Specs &amp; Ratios'!$B$2:$I$8,5,FALSE)),0)</f>
        <v>0</v>
      </c>
      <c r="X304" s="60">
        <f>IF($K304&lt;&gt;"N/A",$M304*(VLOOKUP($L304,'GPU Specs &amp; Ratios'!$B$2:$I$8,6,FALSE)),0)</f>
        <v>0</v>
      </c>
      <c r="Y304" s="60">
        <f>IF($K304&lt;&gt;"N/A",$M304*(VLOOKUP($L304,'GPU Specs &amp; Ratios'!$B$2:$I$8,7,FALSE)),0)</f>
        <v>0</v>
      </c>
      <c r="Z304" s="60">
        <f>IF($K304&lt;&gt;"N/A",$M304*(VLOOKUP($L304,'GPU Specs &amp; Ratios'!$B$2:$I$8,8,FALSE)),0)</f>
        <v>0</v>
      </c>
      <c r="AA304" s="60">
        <f>(C304/D304)*VLOOKUP($E304,'AWS Platforms Ratios'!$A$2:$O$25,15,FALSE)</f>
        <v>1.75</v>
      </c>
      <c r="AB304" s="60">
        <f t="shared" ref="AB304:AE304" si="304">O304+S304+W304+$AA304</f>
        <v>5.377916667</v>
      </c>
      <c r="AC304" s="60">
        <f t="shared" si="304"/>
        <v>8.74125</v>
      </c>
      <c r="AD304" s="60">
        <f t="shared" si="304"/>
        <v>15.51479167</v>
      </c>
      <c r="AE304" s="60">
        <f t="shared" si="304"/>
        <v>21.65171875</v>
      </c>
      <c r="AF304" s="60">
        <f>IF(G304&gt;'Scope 3 Ratios'!$B$5,(G304-'Scope 3 Ratios'!$B$5)*('Scope 3 Ratios'!$B$6/'Scope 3 Ratios'!$B$5),0)</f>
        <v>1042.9488</v>
      </c>
      <c r="AG304" s="60">
        <f>J304*IF(I304="SSD",'Scope 3 Ratios'!$B$9,'Scope 3 Ratios'!$B$8)</f>
        <v>400</v>
      </c>
      <c r="AH304" s="60">
        <f>IF(K304&lt;&gt;"N/A",K304*'Scope 3 Ratios'!$B$10,0)</f>
        <v>0</v>
      </c>
      <c r="AI304" s="60">
        <f>(VLOOKUP($E304,'AWS Platforms Ratios'!$A$2:$O$25,3,FALSE)-1)*'Scope 3 Ratios'!$B$7</f>
        <v>100</v>
      </c>
      <c r="AJ304" s="60">
        <f>'Scope 3 Ratios'!$B$2+AF304+AG304+AH304+AI304</f>
        <v>2542.9488</v>
      </c>
      <c r="AK304" s="60">
        <f>AJ304*'Scope 3 Ratios'!$B$4*(C304/D304)</f>
        <v>1.532931134</v>
      </c>
      <c r="AL304" s="61" t="s">
        <v>557</v>
      </c>
    </row>
    <row r="305" ht="15.0" customHeight="1">
      <c r="A305" s="56" t="s">
        <v>584</v>
      </c>
      <c r="B305" s="56" t="s">
        <v>556</v>
      </c>
      <c r="C305" s="56">
        <v>4.0</v>
      </c>
      <c r="D305" s="56">
        <f>VLOOKUP(E305,'AWS Platforms Ratios'!$A$2:$B$25,2,FALSE)</f>
        <v>96</v>
      </c>
      <c r="E305" s="57" t="s">
        <v>237</v>
      </c>
      <c r="F305" s="56">
        <v>32.0</v>
      </c>
      <c r="G305" s="56">
        <v>768.0</v>
      </c>
      <c r="H305" s="57" t="s">
        <v>148</v>
      </c>
      <c r="I305" s="56" t="s">
        <v>85</v>
      </c>
      <c r="J305" s="56">
        <v>4.0</v>
      </c>
      <c r="K305" s="58" t="s">
        <v>73</v>
      </c>
      <c r="L305" s="58" t="s">
        <v>73</v>
      </c>
      <c r="M305" s="58" t="s">
        <v>73</v>
      </c>
      <c r="N305" s="58" t="s">
        <v>73</v>
      </c>
      <c r="O305" s="59">
        <f>($C305/$D305)*VLOOKUP($E305,'AWS Platforms Ratios'!$A$2:$O$25,7,FALSE)</f>
        <v>2.279583333</v>
      </c>
      <c r="P305" s="59">
        <f>($C305/$D305)*VLOOKUP($E305,'AWS Platforms Ratios'!$A$2:$O$25,8,FALSE)</f>
        <v>5.746666667</v>
      </c>
      <c r="Q305" s="59">
        <f>($C305/$D305)*VLOOKUP($E305,'AWS Platforms Ratios'!$A$2:$O$25,9,FALSE)</f>
        <v>12.78875</v>
      </c>
      <c r="R305" s="59">
        <f>($C305/$D305)*VLOOKUP($E305,'AWS Platforms Ratios'!$A$2:$O$25,10,FALSE)</f>
        <v>18.55760417</v>
      </c>
      <c r="S305" s="59">
        <f>$F305*VLOOKUP($E305,'AWS Platforms Ratios'!$A$2:$O$25,11,FALSE)</f>
        <v>4.97625</v>
      </c>
      <c r="T305" s="59">
        <f>$F305*VLOOKUP($E305,'AWS Platforms Ratios'!$A$2:$O$25,12,FALSE)</f>
        <v>8.235833333</v>
      </c>
      <c r="U305" s="59">
        <f>$F305*VLOOKUP($E305,'AWS Platforms Ratios'!$A$2:$O$25,13,FALSE)</f>
        <v>14.74083333</v>
      </c>
      <c r="V305" s="59">
        <f>$F305*VLOOKUP($E305,'AWS Platforms Ratios'!$A$2:$O$25,14,FALSE)</f>
        <v>21.24583333</v>
      </c>
      <c r="W305" s="60">
        <f>IF($K305&lt;&gt;"N/A",$M305*(VLOOKUP($L305,'GPU Specs &amp; Ratios'!$B$2:$I$8,5,FALSE)),0)</f>
        <v>0</v>
      </c>
      <c r="X305" s="60">
        <f>IF($K305&lt;&gt;"N/A",$M305*(VLOOKUP($L305,'GPU Specs &amp; Ratios'!$B$2:$I$8,6,FALSE)),0)</f>
        <v>0</v>
      </c>
      <c r="Y305" s="60">
        <f>IF($K305&lt;&gt;"N/A",$M305*(VLOOKUP($L305,'GPU Specs &amp; Ratios'!$B$2:$I$8,7,FALSE)),0)</f>
        <v>0</v>
      </c>
      <c r="Z305" s="60">
        <f>IF($K305&lt;&gt;"N/A",$M305*(VLOOKUP($L305,'GPU Specs &amp; Ratios'!$B$2:$I$8,8,FALSE)),0)</f>
        <v>0</v>
      </c>
      <c r="AA305" s="60">
        <f>(C305/D305)*VLOOKUP($E305,'AWS Platforms Ratios'!$A$2:$O$25,15,FALSE)</f>
        <v>3.5</v>
      </c>
      <c r="AB305" s="60">
        <f t="shared" ref="AB305:AE305" si="305">O305+S305+W305+$AA305</f>
        <v>10.75583333</v>
      </c>
      <c r="AC305" s="60">
        <f t="shared" si="305"/>
        <v>17.4825</v>
      </c>
      <c r="AD305" s="60">
        <f t="shared" si="305"/>
        <v>31.02958333</v>
      </c>
      <c r="AE305" s="60">
        <f t="shared" si="305"/>
        <v>43.3034375</v>
      </c>
      <c r="AF305" s="60">
        <f>IF(G305&gt;'Scope 3 Ratios'!$B$5,(G305-'Scope 3 Ratios'!$B$5)*('Scope 3 Ratios'!$B$6/'Scope 3 Ratios'!$B$5),0)</f>
        <v>1042.9488</v>
      </c>
      <c r="AG305" s="60">
        <f>J305*IF(I305="SSD",'Scope 3 Ratios'!$B$9,'Scope 3 Ratios'!$B$8)</f>
        <v>400</v>
      </c>
      <c r="AH305" s="60">
        <f>IF(K305&lt;&gt;"N/A",K305*'Scope 3 Ratios'!$B$10,0)</f>
        <v>0</v>
      </c>
      <c r="AI305" s="60">
        <f>(VLOOKUP($E305,'AWS Platforms Ratios'!$A$2:$O$25,3,FALSE)-1)*'Scope 3 Ratios'!$B$7</f>
        <v>100</v>
      </c>
      <c r="AJ305" s="60">
        <f>'Scope 3 Ratios'!$B$2+AF305+AG305+AH305+AI305</f>
        <v>2542.9488</v>
      </c>
      <c r="AK305" s="60">
        <f>AJ305*'Scope 3 Ratios'!$B$4*(C305/D305)</f>
        <v>3.065862269</v>
      </c>
      <c r="AL305" s="61" t="s">
        <v>557</v>
      </c>
    </row>
    <row r="306" ht="15.0" customHeight="1">
      <c r="A306" s="56" t="s">
        <v>585</v>
      </c>
      <c r="B306" s="56" t="s">
        <v>556</v>
      </c>
      <c r="C306" s="56">
        <v>8.0</v>
      </c>
      <c r="D306" s="56">
        <f>VLOOKUP(E306,'AWS Platforms Ratios'!$A$2:$B$25,2,FALSE)</f>
        <v>96</v>
      </c>
      <c r="E306" s="57" t="s">
        <v>237</v>
      </c>
      <c r="F306" s="56">
        <v>64.0</v>
      </c>
      <c r="G306" s="56">
        <v>768.0</v>
      </c>
      <c r="H306" s="57" t="s">
        <v>150</v>
      </c>
      <c r="I306" s="56" t="s">
        <v>85</v>
      </c>
      <c r="J306" s="56">
        <v>4.0</v>
      </c>
      <c r="K306" s="58" t="s">
        <v>73</v>
      </c>
      <c r="L306" s="58" t="s">
        <v>73</v>
      </c>
      <c r="M306" s="58" t="s">
        <v>73</v>
      </c>
      <c r="N306" s="58" t="s">
        <v>73</v>
      </c>
      <c r="O306" s="59">
        <f>($C306/$D306)*VLOOKUP($E306,'AWS Platforms Ratios'!$A$2:$O$25,7,FALSE)</f>
        <v>4.559166667</v>
      </c>
      <c r="P306" s="59">
        <f>($C306/$D306)*VLOOKUP($E306,'AWS Platforms Ratios'!$A$2:$O$25,8,FALSE)</f>
        <v>11.49333333</v>
      </c>
      <c r="Q306" s="59">
        <f>($C306/$D306)*VLOOKUP($E306,'AWS Platforms Ratios'!$A$2:$O$25,9,FALSE)</f>
        <v>25.5775</v>
      </c>
      <c r="R306" s="59">
        <f>($C306/$D306)*VLOOKUP($E306,'AWS Platforms Ratios'!$A$2:$O$25,10,FALSE)</f>
        <v>37.11520833</v>
      </c>
      <c r="S306" s="59">
        <f>$F306*VLOOKUP($E306,'AWS Platforms Ratios'!$A$2:$O$25,11,FALSE)</f>
        <v>9.9525</v>
      </c>
      <c r="T306" s="59">
        <f>$F306*VLOOKUP($E306,'AWS Platforms Ratios'!$A$2:$O$25,12,FALSE)</f>
        <v>16.47166667</v>
      </c>
      <c r="U306" s="59">
        <f>$F306*VLOOKUP($E306,'AWS Platforms Ratios'!$A$2:$O$25,13,FALSE)</f>
        <v>29.48166667</v>
      </c>
      <c r="V306" s="59">
        <f>$F306*VLOOKUP($E306,'AWS Platforms Ratios'!$A$2:$O$25,14,FALSE)</f>
        <v>42.49166667</v>
      </c>
      <c r="W306" s="60">
        <f>IF($K306&lt;&gt;"N/A",$M306*(VLOOKUP($L306,'GPU Specs &amp; Ratios'!$B$2:$I$8,5,FALSE)),0)</f>
        <v>0</v>
      </c>
      <c r="X306" s="60">
        <f>IF($K306&lt;&gt;"N/A",$M306*(VLOOKUP($L306,'GPU Specs &amp; Ratios'!$B$2:$I$8,6,FALSE)),0)</f>
        <v>0</v>
      </c>
      <c r="Y306" s="60">
        <f>IF($K306&lt;&gt;"N/A",$M306*(VLOOKUP($L306,'GPU Specs &amp; Ratios'!$B$2:$I$8,7,FALSE)),0)</f>
        <v>0</v>
      </c>
      <c r="Z306" s="60">
        <f>IF($K306&lt;&gt;"N/A",$M306*(VLOOKUP($L306,'GPU Specs &amp; Ratios'!$B$2:$I$8,8,FALSE)),0)</f>
        <v>0</v>
      </c>
      <c r="AA306" s="60">
        <f>(C306/D306)*VLOOKUP($E306,'AWS Platforms Ratios'!$A$2:$O$25,15,FALSE)</f>
        <v>7</v>
      </c>
      <c r="AB306" s="60">
        <f t="shared" ref="AB306:AE306" si="306">O306+S306+W306+$AA306</f>
        <v>21.51166667</v>
      </c>
      <c r="AC306" s="60">
        <f t="shared" si="306"/>
        <v>34.965</v>
      </c>
      <c r="AD306" s="60">
        <f t="shared" si="306"/>
        <v>62.05916667</v>
      </c>
      <c r="AE306" s="60">
        <f t="shared" si="306"/>
        <v>86.606875</v>
      </c>
      <c r="AF306" s="60">
        <f>IF(G306&gt;'Scope 3 Ratios'!$B$5,(G306-'Scope 3 Ratios'!$B$5)*('Scope 3 Ratios'!$B$6/'Scope 3 Ratios'!$B$5),0)</f>
        <v>1042.9488</v>
      </c>
      <c r="AG306" s="60">
        <f>J306*IF(I306="SSD",'Scope 3 Ratios'!$B$9,'Scope 3 Ratios'!$B$8)</f>
        <v>400</v>
      </c>
      <c r="AH306" s="60">
        <f>IF(K306&lt;&gt;"N/A",K306*'Scope 3 Ratios'!$B$10,0)</f>
        <v>0</v>
      </c>
      <c r="AI306" s="60">
        <f>(VLOOKUP($E306,'AWS Platforms Ratios'!$A$2:$O$25,3,FALSE)-1)*'Scope 3 Ratios'!$B$7</f>
        <v>100</v>
      </c>
      <c r="AJ306" s="60">
        <f>'Scope 3 Ratios'!$B$2+AF306+AG306+AH306+AI306</f>
        <v>2542.9488</v>
      </c>
      <c r="AK306" s="60">
        <f>AJ306*'Scope 3 Ratios'!$B$4*(C306/D306)</f>
        <v>6.131724537</v>
      </c>
      <c r="AL306" s="61" t="s">
        <v>557</v>
      </c>
    </row>
    <row r="307" ht="15.0" customHeight="1">
      <c r="A307" s="56" t="s">
        <v>586</v>
      </c>
      <c r="B307" s="56" t="s">
        <v>556</v>
      </c>
      <c r="C307" s="56">
        <v>16.0</v>
      </c>
      <c r="D307" s="56">
        <f>VLOOKUP(E307,'AWS Platforms Ratios'!$A$2:$B$25,2,FALSE)</f>
        <v>96</v>
      </c>
      <c r="E307" s="57" t="s">
        <v>237</v>
      </c>
      <c r="F307" s="56">
        <v>128.0</v>
      </c>
      <c r="G307" s="56">
        <v>768.0</v>
      </c>
      <c r="H307" s="57" t="s">
        <v>152</v>
      </c>
      <c r="I307" s="56" t="s">
        <v>85</v>
      </c>
      <c r="J307" s="56">
        <v>4.0</v>
      </c>
      <c r="K307" s="58" t="s">
        <v>73</v>
      </c>
      <c r="L307" s="58" t="s">
        <v>73</v>
      </c>
      <c r="M307" s="58" t="s">
        <v>73</v>
      </c>
      <c r="N307" s="58" t="s">
        <v>73</v>
      </c>
      <c r="O307" s="59">
        <f>($C307/$D307)*VLOOKUP($E307,'AWS Platforms Ratios'!$A$2:$O$25,7,FALSE)</f>
        <v>9.118333333</v>
      </c>
      <c r="P307" s="59">
        <f>($C307/$D307)*VLOOKUP($E307,'AWS Platforms Ratios'!$A$2:$O$25,8,FALSE)</f>
        <v>22.98666667</v>
      </c>
      <c r="Q307" s="59">
        <f>($C307/$D307)*VLOOKUP($E307,'AWS Platforms Ratios'!$A$2:$O$25,9,FALSE)</f>
        <v>51.155</v>
      </c>
      <c r="R307" s="59">
        <f>($C307/$D307)*VLOOKUP($E307,'AWS Platforms Ratios'!$A$2:$O$25,10,FALSE)</f>
        <v>74.23041667</v>
      </c>
      <c r="S307" s="59">
        <f>$F307*VLOOKUP($E307,'AWS Platforms Ratios'!$A$2:$O$25,11,FALSE)</f>
        <v>19.905</v>
      </c>
      <c r="T307" s="59">
        <f>$F307*VLOOKUP($E307,'AWS Platforms Ratios'!$A$2:$O$25,12,FALSE)</f>
        <v>32.94333333</v>
      </c>
      <c r="U307" s="59">
        <f>$F307*VLOOKUP($E307,'AWS Platforms Ratios'!$A$2:$O$25,13,FALSE)</f>
        <v>58.96333333</v>
      </c>
      <c r="V307" s="59">
        <f>$F307*VLOOKUP($E307,'AWS Platforms Ratios'!$A$2:$O$25,14,FALSE)</f>
        <v>84.98333333</v>
      </c>
      <c r="W307" s="60">
        <f>IF($K307&lt;&gt;"N/A",$M307*(VLOOKUP($L307,'GPU Specs &amp; Ratios'!$B$2:$I$8,5,FALSE)),0)</f>
        <v>0</v>
      </c>
      <c r="X307" s="60">
        <f>IF($K307&lt;&gt;"N/A",$M307*(VLOOKUP($L307,'GPU Specs &amp; Ratios'!$B$2:$I$8,6,FALSE)),0)</f>
        <v>0</v>
      </c>
      <c r="Y307" s="60">
        <f>IF($K307&lt;&gt;"N/A",$M307*(VLOOKUP($L307,'GPU Specs &amp; Ratios'!$B$2:$I$8,7,FALSE)),0)</f>
        <v>0</v>
      </c>
      <c r="Z307" s="60">
        <f>IF($K307&lt;&gt;"N/A",$M307*(VLOOKUP($L307,'GPU Specs &amp; Ratios'!$B$2:$I$8,8,FALSE)),0)</f>
        <v>0</v>
      </c>
      <c r="AA307" s="60">
        <f>(C307/D307)*VLOOKUP($E307,'AWS Platforms Ratios'!$A$2:$O$25,15,FALSE)</f>
        <v>14</v>
      </c>
      <c r="AB307" s="60">
        <f t="shared" ref="AB307:AE307" si="307">O307+S307+W307+$AA307</f>
        <v>43.02333333</v>
      </c>
      <c r="AC307" s="60">
        <f t="shared" si="307"/>
        <v>69.93</v>
      </c>
      <c r="AD307" s="60">
        <f t="shared" si="307"/>
        <v>124.1183333</v>
      </c>
      <c r="AE307" s="60">
        <f t="shared" si="307"/>
        <v>173.21375</v>
      </c>
      <c r="AF307" s="60">
        <f>IF(G307&gt;'Scope 3 Ratios'!$B$5,(G307-'Scope 3 Ratios'!$B$5)*('Scope 3 Ratios'!$B$6/'Scope 3 Ratios'!$B$5),0)</f>
        <v>1042.9488</v>
      </c>
      <c r="AG307" s="60">
        <f>J307*IF(I307="SSD",'Scope 3 Ratios'!$B$9,'Scope 3 Ratios'!$B$8)</f>
        <v>400</v>
      </c>
      <c r="AH307" s="60">
        <f>IF(K307&lt;&gt;"N/A",K307*'Scope 3 Ratios'!$B$10,0)</f>
        <v>0</v>
      </c>
      <c r="AI307" s="60">
        <f>(VLOOKUP($E307,'AWS Platforms Ratios'!$A$2:$O$25,3,FALSE)-1)*'Scope 3 Ratios'!$B$7</f>
        <v>100</v>
      </c>
      <c r="AJ307" s="60">
        <f>'Scope 3 Ratios'!$B$2+AF307+AG307+AH307+AI307</f>
        <v>2542.9488</v>
      </c>
      <c r="AK307" s="60">
        <f>AJ307*'Scope 3 Ratios'!$B$4*(C307/D307)</f>
        <v>12.26344907</v>
      </c>
      <c r="AL307" s="61" t="s">
        <v>557</v>
      </c>
    </row>
    <row r="308" ht="15.0" customHeight="1">
      <c r="A308" s="56" t="s">
        <v>587</v>
      </c>
      <c r="B308" s="56" t="s">
        <v>128</v>
      </c>
      <c r="C308" s="56">
        <v>32.0</v>
      </c>
      <c r="D308" s="56">
        <f>VLOOKUP(E308,'AWS Platforms Ratios'!$A$2:$B$25,2,FALSE)</f>
        <v>96</v>
      </c>
      <c r="E308" s="57" t="s">
        <v>237</v>
      </c>
      <c r="F308" s="56">
        <v>256.0</v>
      </c>
      <c r="G308" s="56">
        <v>768.0</v>
      </c>
      <c r="H308" s="57" t="s">
        <v>154</v>
      </c>
      <c r="I308" s="56" t="s">
        <v>85</v>
      </c>
      <c r="J308" s="56">
        <v>4.0</v>
      </c>
      <c r="K308" s="58" t="s">
        <v>73</v>
      </c>
      <c r="L308" s="58" t="s">
        <v>73</v>
      </c>
      <c r="M308" s="58" t="s">
        <v>73</v>
      </c>
      <c r="N308" s="58" t="s">
        <v>73</v>
      </c>
      <c r="O308" s="59">
        <f>($C308/$D308)*VLOOKUP($E308,'AWS Platforms Ratios'!$A$2:$O$25,7,FALSE)</f>
        <v>18.23666667</v>
      </c>
      <c r="P308" s="59">
        <f>($C308/$D308)*VLOOKUP($E308,'AWS Platforms Ratios'!$A$2:$O$25,8,FALSE)</f>
        <v>45.97333333</v>
      </c>
      <c r="Q308" s="59">
        <f>($C308/$D308)*VLOOKUP($E308,'AWS Platforms Ratios'!$A$2:$O$25,9,FALSE)</f>
        <v>102.31</v>
      </c>
      <c r="R308" s="59">
        <f>($C308/$D308)*VLOOKUP($E308,'AWS Platforms Ratios'!$A$2:$O$25,10,FALSE)</f>
        <v>148.4608333</v>
      </c>
      <c r="S308" s="59">
        <f>$F308*VLOOKUP($E308,'AWS Platforms Ratios'!$A$2:$O$25,11,FALSE)</f>
        <v>39.81</v>
      </c>
      <c r="T308" s="59">
        <f>$F308*VLOOKUP($E308,'AWS Platforms Ratios'!$A$2:$O$25,12,FALSE)</f>
        <v>65.88666667</v>
      </c>
      <c r="U308" s="59">
        <f>$F308*VLOOKUP($E308,'AWS Platforms Ratios'!$A$2:$O$25,13,FALSE)</f>
        <v>117.9266667</v>
      </c>
      <c r="V308" s="59">
        <f>$F308*VLOOKUP($E308,'AWS Platforms Ratios'!$A$2:$O$25,14,FALSE)</f>
        <v>169.9666667</v>
      </c>
      <c r="W308" s="60">
        <f>IF($K308&lt;&gt;"N/A",$M308*(VLOOKUP($L308,'GPU Specs &amp; Ratios'!$B$2:$I$8,5,FALSE)),0)</f>
        <v>0</v>
      </c>
      <c r="X308" s="60">
        <f>IF($K308&lt;&gt;"N/A",$M308*(VLOOKUP($L308,'GPU Specs &amp; Ratios'!$B$2:$I$8,6,FALSE)),0)</f>
        <v>0</v>
      </c>
      <c r="Y308" s="60">
        <f>IF($K308&lt;&gt;"N/A",$M308*(VLOOKUP($L308,'GPU Specs &amp; Ratios'!$B$2:$I$8,7,FALSE)),0)</f>
        <v>0</v>
      </c>
      <c r="Z308" s="60">
        <f>IF($K308&lt;&gt;"N/A",$M308*(VLOOKUP($L308,'GPU Specs &amp; Ratios'!$B$2:$I$8,8,FALSE)),0)</f>
        <v>0</v>
      </c>
      <c r="AA308" s="60">
        <f>(C308/D308)*VLOOKUP($E308,'AWS Platforms Ratios'!$A$2:$O$25,15,FALSE)</f>
        <v>28</v>
      </c>
      <c r="AB308" s="60">
        <f t="shared" ref="AB308:AE308" si="308">O308+S308+W308+$AA308</f>
        <v>86.04666667</v>
      </c>
      <c r="AC308" s="60">
        <f t="shared" si="308"/>
        <v>139.86</v>
      </c>
      <c r="AD308" s="60">
        <f t="shared" si="308"/>
        <v>248.2366667</v>
      </c>
      <c r="AE308" s="60">
        <f t="shared" si="308"/>
        <v>346.4275</v>
      </c>
      <c r="AF308" s="60">
        <f>IF(G308&gt;'Scope 3 Ratios'!$B$5,(G308-'Scope 3 Ratios'!$B$5)*('Scope 3 Ratios'!$B$6/'Scope 3 Ratios'!$B$5),0)</f>
        <v>1042.9488</v>
      </c>
      <c r="AG308" s="60">
        <f>J308*IF(I308="SSD",'Scope 3 Ratios'!$B$9,'Scope 3 Ratios'!$B$8)</f>
        <v>400</v>
      </c>
      <c r="AH308" s="60">
        <f>IF(K308&lt;&gt;"N/A",K308*'Scope 3 Ratios'!$B$10,0)</f>
        <v>0</v>
      </c>
      <c r="AI308" s="60">
        <f>(VLOOKUP($E308,'AWS Platforms Ratios'!$A$2:$O$25,3,FALSE)-1)*'Scope 3 Ratios'!$B$7</f>
        <v>100</v>
      </c>
      <c r="AJ308" s="60">
        <f>'Scope 3 Ratios'!$B$2+AF308+AG308+AH308+AI308</f>
        <v>2542.9488</v>
      </c>
      <c r="AK308" s="60">
        <f>AJ308*'Scope 3 Ratios'!$B$4*(C308/D308)</f>
        <v>24.52689815</v>
      </c>
      <c r="AL308" s="61" t="s">
        <v>557</v>
      </c>
    </row>
    <row r="309" ht="15.0" customHeight="1">
      <c r="A309" s="56" t="s">
        <v>588</v>
      </c>
      <c r="B309" s="56" t="s">
        <v>556</v>
      </c>
      <c r="C309" s="56">
        <v>48.0</v>
      </c>
      <c r="D309" s="56">
        <f>VLOOKUP(E309,'AWS Platforms Ratios'!$A$2:$B$25,2,FALSE)</f>
        <v>96</v>
      </c>
      <c r="E309" s="57" t="s">
        <v>237</v>
      </c>
      <c r="F309" s="56">
        <v>384.0</v>
      </c>
      <c r="G309" s="56">
        <v>768.0</v>
      </c>
      <c r="H309" s="57" t="s">
        <v>156</v>
      </c>
      <c r="I309" s="56" t="s">
        <v>85</v>
      </c>
      <c r="J309" s="56">
        <v>4.0</v>
      </c>
      <c r="K309" s="58" t="s">
        <v>73</v>
      </c>
      <c r="L309" s="58" t="s">
        <v>73</v>
      </c>
      <c r="M309" s="58" t="s">
        <v>73</v>
      </c>
      <c r="N309" s="58" t="s">
        <v>73</v>
      </c>
      <c r="O309" s="59">
        <f>($C309/$D309)*VLOOKUP($E309,'AWS Platforms Ratios'!$A$2:$O$25,7,FALSE)</f>
        <v>27.355</v>
      </c>
      <c r="P309" s="59">
        <f>($C309/$D309)*VLOOKUP($E309,'AWS Platforms Ratios'!$A$2:$O$25,8,FALSE)</f>
        <v>68.96</v>
      </c>
      <c r="Q309" s="59">
        <f>($C309/$D309)*VLOOKUP($E309,'AWS Platforms Ratios'!$A$2:$O$25,9,FALSE)</f>
        <v>153.465</v>
      </c>
      <c r="R309" s="59">
        <f>($C309/$D309)*VLOOKUP($E309,'AWS Platforms Ratios'!$A$2:$O$25,10,FALSE)</f>
        <v>222.69125</v>
      </c>
      <c r="S309" s="59">
        <f>$F309*VLOOKUP($E309,'AWS Platforms Ratios'!$A$2:$O$25,11,FALSE)</f>
        <v>59.715</v>
      </c>
      <c r="T309" s="59">
        <f>$F309*VLOOKUP($E309,'AWS Platforms Ratios'!$A$2:$O$25,12,FALSE)</f>
        <v>98.83</v>
      </c>
      <c r="U309" s="59">
        <f>$F309*VLOOKUP($E309,'AWS Platforms Ratios'!$A$2:$O$25,13,FALSE)</f>
        <v>176.89</v>
      </c>
      <c r="V309" s="59">
        <f>$F309*VLOOKUP($E309,'AWS Platforms Ratios'!$A$2:$O$25,14,FALSE)</f>
        <v>254.95</v>
      </c>
      <c r="W309" s="60">
        <f>IF($K309&lt;&gt;"N/A",$M309*(VLOOKUP($L309,'GPU Specs &amp; Ratios'!$B$2:$I$8,5,FALSE)),0)</f>
        <v>0</v>
      </c>
      <c r="X309" s="60">
        <f>IF($K309&lt;&gt;"N/A",$M309*(VLOOKUP($L309,'GPU Specs &amp; Ratios'!$B$2:$I$8,6,FALSE)),0)</f>
        <v>0</v>
      </c>
      <c r="Y309" s="60">
        <f>IF($K309&lt;&gt;"N/A",$M309*(VLOOKUP($L309,'GPU Specs &amp; Ratios'!$B$2:$I$8,7,FALSE)),0)</f>
        <v>0</v>
      </c>
      <c r="Z309" s="60">
        <f>IF($K309&lt;&gt;"N/A",$M309*(VLOOKUP($L309,'GPU Specs &amp; Ratios'!$B$2:$I$8,8,FALSE)),0)</f>
        <v>0</v>
      </c>
      <c r="AA309" s="60">
        <f>(C309/D309)*VLOOKUP($E309,'AWS Platforms Ratios'!$A$2:$O$25,15,FALSE)</f>
        <v>42</v>
      </c>
      <c r="AB309" s="60">
        <f t="shared" ref="AB309:AE309" si="309">O309+S309+W309+$AA309</f>
        <v>129.07</v>
      </c>
      <c r="AC309" s="60">
        <f t="shared" si="309"/>
        <v>209.79</v>
      </c>
      <c r="AD309" s="60">
        <f t="shared" si="309"/>
        <v>372.355</v>
      </c>
      <c r="AE309" s="60">
        <f t="shared" si="309"/>
        <v>519.64125</v>
      </c>
      <c r="AF309" s="60">
        <f>IF(G309&gt;'Scope 3 Ratios'!$B$5,(G309-'Scope 3 Ratios'!$B$5)*('Scope 3 Ratios'!$B$6/'Scope 3 Ratios'!$B$5),0)</f>
        <v>1042.9488</v>
      </c>
      <c r="AG309" s="60">
        <f>J309*IF(I309="SSD",'Scope 3 Ratios'!$B$9,'Scope 3 Ratios'!$B$8)</f>
        <v>400</v>
      </c>
      <c r="AH309" s="60">
        <f>IF(K309&lt;&gt;"N/A",K309*'Scope 3 Ratios'!$B$10,0)</f>
        <v>0</v>
      </c>
      <c r="AI309" s="60">
        <f>(VLOOKUP($E309,'AWS Platforms Ratios'!$A$2:$O$25,3,FALSE)-1)*'Scope 3 Ratios'!$B$7</f>
        <v>100</v>
      </c>
      <c r="AJ309" s="60">
        <f>'Scope 3 Ratios'!$B$2+AF309+AG309+AH309+AI309</f>
        <v>2542.9488</v>
      </c>
      <c r="AK309" s="60">
        <f>AJ309*'Scope 3 Ratios'!$B$4*(C309/D309)</f>
        <v>36.79034722</v>
      </c>
      <c r="AL309" s="61" t="s">
        <v>557</v>
      </c>
    </row>
    <row r="310" ht="15.0" customHeight="1">
      <c r="A310" s="56" t="s">
        <v>589</v>
      </c>
      <c r="B310" s="56" t="s">
        <v>128</v>
      </c>
      <c r="C310" s="56">
        <v>64.0</v>
      </c>
      <c r="D310" s="56">
        <f>VLOOKUP(E310,'AWS Platforms Ratios'!$A$2:$B$25,2,FALSE)</f>
        <v>96</v>
      </c>
      <c r="E310" s="57" t="s">
        <v>237</v>
      </c>
      <c r="F310" s="56">
        <v>512.0</v>
      </c>
      <c r="G310" s="56">
        <v>768.0</v>
      </c>
      <c r="H310" s="57" t="s">
        <v>439</v>
      </c>
      <c r="I310" s="56" t="s">
        <v>85</v>
      </c>
      <c r="J310" s="56">
        <v>4.0</v>
      </c>
      <c r="K310" s="58" t="s">
        <v>73</v>
      </c>
      <c r="L310" s="58" t="s">
        <v>73</v>
      </c>
      <c r="M310" s="58" t="s">
        <v>73</v>
      </c>
      <c r="N310" s="58" t="s">
        <v>73</v>
      </c>
      <c r="O310" s="59">
        <f>($C310/$D310)*VLOOKUP($E310,'AWS Platforms Ratios'!$A$2:$O$25,7,FALSE)</f>
        <v>36.47333333</v>
      </c>
      <c r="P310" s="59">
        <f>($C310/$D310)*VLOOKUP($E310,'AWS Platforms Ratios'!$A$2:$O$25,8,FALSE)</f>
        <v>91.94666667</v>
      </c>
      <c r="Q310" s="59">
        <f>($C310/$D310)*VLOOKUP($E310,'AWS Platforms Ratios'!$A$2:$O$25,9,FALSE)</f>
        <v>204.62</v>
      </c>
      <c r="R310" s="59">
        <f>($C310/$D310)*VLOOKUP($E310,'AWS Platforms Ratios'!$A$2:$O$25,10,FALSE)</f>
        <v>296.9216667</v>
      </c>
      <c r="S310" s="59">
        <f>$F310*VLOOKUP($E310,'AWS Platforms Ratios'!$A$2:$O$25,11,FALSE)</f>
        <v>79.62</v>
      </c>
      <c r="T310" s="59">
        <f>$F310*VLOOKUP($E310,'AWS Platforms Ratios'!$A$2:$O$25,12,FALSE)</f>
        <v>131.7733333</v>
      </c>
      <c r="U310" s="59">
        <f>$F310*VLOOKUP($E310,'AWS Platforms Ratios'!$A$2:$O$25,13,FALSE)</f>
        <v>235.8533333</v>
      </c>
      <c r="V310" s="59">
        <f>$F310*VLOOKUP($E310,'AWS Platforms Ratios'!$A$2:$O$25,14,FALSE)</f>
        <v>339.9333333</v>
      </c>
      <c r="W310" s="60">
        <f>IF($K310&lt;&gt;"N/A",$M310*(VLOOKUP($L310,'GPU Specs &amp; Ratios'!$B$2:$I$8,5,FALSE)),0)</f>
        <v>0</v>
      </c>
      <c r="X310" s="60">
        <f>IF($K310&lt;&gt;"N/A",$M310*(VLOOKUP($L310,'GPU Specs &amp; Ratios'!$B$2:$I$8,6,FALSE)),0)</f>
        <v>0</v>
      </c>
      <c r="Y310" s="60">
        <f>IF($K310&lt;&gt;"N/A",$M310*(VLOOKUP($L310,'GPU Specs &amp; Ratios'!$B$2:$I$8,7,FALSE)),0)</f>
        <v>0</v>
      </c>
      <c r="Z310" s="60">
        <f>IF($K310&lt;&gt;"N/A",$M310*(VLOOKUP($L310,'GPU Specs &amp; Ratios'!$B$2:$I$8,8,FALSE)),0)</f>
        <v>0</v>
      </c>
      <c r="AA310" s="60">
        <f>(C310/D310)*VLOOKUP($E310,'AWS Platforms Ratios'!$A$2:$O$25,15,FALSE)</f>
        <v>56</v>
      </c>
      <c r="AB310" s="60">
        <f t="shared" ref="AB310:AE310" si="310">O310+S310+W310+$AA310</f>
        <v>172.0933333</v>
      </c>
      <c r="AC310" s="60">
        <f t="shared" si="310"/>
        <v>279.72</v>
      </c>
      <c r="AD310" s="60">
        <f t="shared" si="310"/>
        <v>496.4733333</v>
      </c>
      <c r="AE310" s="60">
        <f t="shared" si="310"/>
        <v>692.855</v>
      </c>
      <c r="AF310" s="60">
        <f>IF(G310&gt;'Scope 3 Ratios'!$B$5,(G310-'Scope 3 Ratios'!$B$5)*('Scope 3 Ratios'!$B$6/'Scope 3 Ratios'!$B$5),0)</f>
        <v>1042.9488</v>
      </c>
      <c r="AG310" s="60">
        <f>J310*IF(I310="SSD",'Scope 3 Ratios'!$B$9,'Scope 3 Ratios'!$B$8)</f>
        <v>400</v>
      </c>
      <c r="AH310" s="60">
        <f>IF(K310&lt;&gt;"N/A",K310*'Scope 3 Ratios'!$B$10,0)</f>
        <v>0</v>
      </c>
      <c r="AI310" s="60">
        <f>(VLOOKUP($E310,'AWS Platforms Ratios'!$A$2:$O$25,3,FALSE)-1)*'Scope 3 Ratios'!$B$7</f>
        <v>100</v>
      </c>
      <c r="AJ310" s="60">
        <f>'Scope 3 Ratios'!$B$2+AF310+AG310+AH310+AI310</f>
        <v>2542.9488</v>
      </c>
      <c r="AK310" s="60">
        <f>AJ310*'Scope 3 Ratios'!$B$4*(C310/D310)</f>
        <v>49.0537963</v>
      </c>
      <c r="AL310" s="61" t="s">
        <v>557</v>
      </c>
    </row>
    <row r="311" ht="15.0" customHeight="1">
      <c r="A311" s="56" t="s">
        <v>590</v>
      </c>
      <c r="B311" s="56" t="s">
        <v>556</v>
      </c>
      <c r="C311" s="56">
        <v>96.0</v>
      </c>
      <c r="D311" s="56">
        <f>VLOOKUP(E311,'AWS Platforms Ratios'!$A$2:$B$25,2,FALSE)</f>
        <v>96</v>
      </c>
      <c r="E311" s="57" t="s">
        <v>237</v>
      </c>
      <c r="F311" s="56">
        <v>768.0</v>
      </c>
      <c r="G311" s="56">
        <v>768.0</v>
      </c>
      <c r="H311" s="57" t="s">
        <v>176</v>
      </c>
      <c r="I311" s="56" t="s">
        <v>85</v>
      </c>
      <c r="J311" s="56">
        <v>4.0</v>
      </c>
      <c r="K311" s="58" t="s">
        <v>73</v>
      </c>
      <c r="L311" s="58" t="s">
        <v>73</v>
      </c>
      <c r="M311" s="58" t="s">
        <v>73</v>
      </c>
      <c r="N311" s="58" t="s">
        <v>73</v>
      </c>
      <c r="O311" s="59">
        <f>($C311/$D311)*VLOOKUP($E311,'AWS Platforms Ratios'!$A$2:$O$25,7,FALSE)</f>
        <v>54.71</v>
      </c>
      <c r="P311" s="59">
        <f>($C311/$D311)*VLOOKUP($E311,'AWS Platforms Ratios'!$A$2:$O$25,8,FALSE)</f>
        <v>137.92</v>
      </c>
      <c r="Q311" s="59">
        <f>($C311/$D311)*VLOOKUP($E311,'AWS Platforms Ratios'!$A$2:$O$25,9,FALSE)</f>
        <v>306.93</v>
      </c>
      <c r="R311" s="59">
        <f>($C311/$D311)*VLOOKUP($E311,'AWS Platforms Ratios'!$A$2:$O$25,10,FALSE)</f>
        <v>445.3825</v>
      </c>
      <c r="S311" s="59">
        <f>$F311*VLOOKUP($E311,'AWS Platforms Ratios'!$A$2:$O$25,11,FALSE)</f>
        <v>119.43</v>
      </c>
      <c r="T311" s="59">
        <f>$F311*VLOOKUP($E311,'AWS Platforms Ratios'!$A$2:$O$25,12,FALSE)</f>
        <v>197.66</v>
      </c>
      <c r="U311" s="59">
        <f>$F311*VLOOKUP($E311,'AWS Platforms Ratios'!$A$2:$O$25,13,FALSE)</f>
        <v>353.78</v>
      </c>
      <c r="V311" s="59">
        <f>$F311*VLOOKUP($E311,'AWS Platforms Ratios'!$A$2:$O$25,14,FALSE)</f>
        <v>509.9</v>
      </c>
      <c r="W311" s="60">
        <f>IF($K311&lt;&gt;"N/A",$M311*(VLOOKUP($L311,'GPU Specs &amp; Ratios'!$B$2:$I$8,5,FALSE)),0)</f>
        <v>0</v>
      </c>
      <c r="X311" s="60">
        <f>IF($K311&lt;&gt;"N/A",$M311*(VLOOKUP($L311,'GPU Specs &amp; Ratios'!$B$2:$I$8,6,FALSE)),0)</f>
        <v>0</v>
      </c>
      <c r="Y311" s="60">
        <f>IF($K311&lt;&gt;"N/A",$M311*(VLOOKUP($L311,'GPU Specs &amp; Ratios'!$B$2:$I$8,7,FALSE)),0)</f>
        <v>0</v>
      </c>
      <c r="Z311" s="60">
        <f>IF($K311&lt;&gt;"N/A",$M311*(VLOOKUP($L311,'GPU Specs &amp; Ratios'!$B$2:$I$8,8,FALSE)),0)</f>
        <v>0</v>
      </c>
      <c r="AA311" s="60">
        <f>(C311/D311)*VLOOKUP($E311,'AWS Platforms Ratios'!$A$2:$O$25,15,FALSE)</f>
        <v>84</v>
      </c>
      <c r="AB311" s="60">
        <f t="shared" ref="AB311:AE311" si="311">O311+S311+W311+$AA311</f>
        <v>258.14</v>
      </c>
      <c r="AC311" s="60">
        <f t="shared" si="311"/>
        <v>419.58</v>
      </c>
      <c r="AD311" s="60">
        <f t="shared" si="311"/>
        <v>744.71</v>
      </c>
      <c r="AE311" s="60">
        <f t="shared" si="311"/>
        <v>1039.2825</v>
      </c>
      <c r="AF311" s="60">
        <f>IF(G311&gt;'Scope 3 Ratios'!$B$5,(G311-'Scope 3 Ratios'!$B$5)*('Scope 3 Ratios'!$B$6/'Scope 3 Ratios'!$B$5),0)</f>
        <v>1042.9488</v>
      </c>
      <c r="AG311" s="60">
        <f>J311*IF(I311="SSD",'Scope 3 Ratios'!$B$9,'Scope 3 Ratios'!$B$8)</f>
        <v>400</v>
      </c>
      <c r="AH311" s="60">
        <f>IF(K311&lt;&gt;"N/A",K311*'Scope 3 Ratios'!$B$10,0)</f>
        <v>0</v>
      </c>
      <c r="AI311" s="60">
        <f>(VLOOKUP($E311,'AWS Platforms Ratios'!$A$2:$O$25,3,FALSE)-1)*'Scope 3 Ratios'!$B$7</f>
        <v>100</v>
      </c>
      <c r="AJ311" s="60">
        <f>'Scope 3 Ratios'!$B$2+AF311+AG311+AH311+AI311</f>
        <v>2542.9488</v>
      </c>
      <c r="AK311" s="60">
        <f>AJ311*'Scope 3 Ratios'!$B$4*(C311/D311)</f>
        <v>73.58069444</v>
      </c>
      <c r="AL311" s="61" t="s">
        <v>557</v>
      </c>
    </row>
    <row r="312" ht="15.0" customHeight="1">
      <c r="A312" s="56" t="s">
        <v>591</v>
      </c>
      <c r="B312" s="56" t="s">
        <v>556</v>
      </c>
      <c r="C312" s="56">
        <v>96.0</v>
      </c>
      <c r="D312" s="56">
        <f>VLOOKUP(E312,'AWS Platforms Ratios'!$A$2:$B$25,2,FALSE)</f>
        <v>96</v>
      </c>
      <c r="E312" s="57" t="s">
        <v>237</v>
      </c>
      <c r="F312" s="56">
        <v>768.0</v>
      </c>
      <c r="G312" s="56">
        <v>768.0</v>
      </c>
      <c r="H312" s="57" t="s">
        <v>176</v>
      </c>
      <c r="I312" s="56" t="s">
        <v>85</v>
      </c>
      <c r="J312" s="56">
        <v>4.0</v>
      </c>
      <c r="K312" s="58" t="s">
        <v>73</v>
      </c>
      <c r="L312" s="58" t="s">
        <v>73</v>
      </c>
      <c r="M312" s="58" t="s">
        <v>73</v>
      </c>
      <c r="N312" s="58" t="s">
        <v>73</v>
      </c>
      <c r="O312" s="59">
        <f>($C312/$D312)*VLOOKUP($E312,'AWS Platforms Ratios'!$A$2:$O$25,7,FALSE)</f>
        <v>54.71</v>
      </c>
      <c r="P312" s="59">
        <f>($C312/$D312)*VLOOKUP($E312,'AWS Platforms Ratios'!$A$2:$O$25,8,FALSE)</f>
        <v>137.92</v>
      </c>
      <c r="Q312" s="59">
        <f>($C312/$D312)*VLOOKUP($E312,'AWS Platforms Ratios'!$A$2:$O$25,9,FALSE)</f>
        <v>306.93</v>
      </c>
      <c r="R312" s="59">
        <f>($C312/$D312)*VLOOKUP($E312,'AWS Platforms Ratios'!$A$2:$O$25,10,FALSE)</f>
        <v>445.3825</v>
      </c>
      <c r="S312" s="59">
        <f>$F312*VLOOKUP($E312,'AWS Platforms Ratios'!$A$2:$O$25,11,FALSE)</f>
        <v>119.43</v>
      </c>
      <c r="T312" s="59">
        <f>$F312*VLOOKUP($E312,'AWS Platforms Ratios'!$A$2:$O$25,12,FALSE)</f>
        <v>197.66</v>
      </c>
      <c r="U312" s="59">
        <f>$F312*VLOOKUP($E312,'AWS Platforms Ratios'!$A$2:$O$25,13,FALSE)</f>
        <v>353.78</v>
      </c>
      <c r="V312" s="59">
        <f>$F312*VLOOKUP($E312,'AWS Platforms Ratios'!$A$2:$O$25,14,FALSE)</f>
        <v>509.9</v>
      </c>
      <c r="W312" s="60">
        <f>IF($K312&lt;&gt;"N/A",$M312*(VLOOKUP($L312,'GPU Specs &amp; Ratios'!$B$2:$I$8,5,FALSE)),0)</f>
        <v>0</v>
      </c>
      <c r="X312" s="60">
        <f>IF($K312&lt;&gt;"N/A",$M312*(VLOOKUP($L312,'GPU Specs &amp; Ratios'!$B$2:$I$8,6,FALSE)),0)</f>
        <v>0</v>
      </c>
      <c r="Y312" s="60">
        <f>IF($K312&lt;&gt;"N/A",$M312*(VLOOKUP($L312,'GPU Specs &amp; Ratios'!$B$2:$I$8,7,FALSE)),0)</f>
        <v>0</v>
      </c>
      <c r="Z312" s="60">
        <f>IF($K312&lt;&gt;"N/A",$M312*(VLOOKUP($L312,'GPU Specs &amp; Ratios'!$B$2:$I$8,8,FALSE)),0)</f>
        <v>0</v>
      </c>
      <c r="AA312" s="60">
        <f>(C312/D312)*VLOOKUP($E312,'AWS Platforms Ratios'!$A$2:$O$25,15,FALSE)</f>
        <v>84</v>
      </c>
      <c r="AB312" s="60">
        <f t="shared" ref="AB312:AE312" si="312">O312+S312+W312+$AA312</f>
        <v>258.14</v>
      </c>
      <c r="AC312" s="60">
        <f t="shared" si="312"/>
        <v>419.58</v>
      </c>
      <c r="AD312" s="60">
        <f t="shared" si="312"/>
        <v>744.71</v>
      </c>
      <c r="AE312" s="60">
        <f t="shared" si="312"/>
        <v>1039.2825</v>
      </c>
      <c r="AF312" s="60">
        <f>IF(G312&gt;'Scope 3 Ratios'!$B$5,(G312-'Scope 3 Ratios'!$B$5)*('Scope 3 Ratios'!$B$6/'Scope 3 Ratios'!$B$5),0)</f>
        <v>1042.9488</v>
      </c>
      <c r="AG312" s="60">
        <f>J312*IF(I312="SSD",'Scope 3 Ratios'!$B$9,'Scope 3 Ratios'!$B$8)</f>
        <v>400</v>
      </c>
      <c r="AH312" s="60">
        <f>IF(K312&lt;&gt;"N/A",K312*'Scope 3 Ratios'!$B$10,0)</f>
        <v>0</v>
      </c>
      <c r="AI312" s="60">
        <f>(VLOOKUP($E312,'AWS Platforms Ratios'!$A$2:$O$25,3,FALSE)-1)*'Scope 3 Ratios'!$B$7</f>
        <v>100</v>
      </c>
      <c r="AJ312" s="60">
        <f>'Scope 3 Ratios'!$B$2+AF312+AG312+AH312+AI312</f>
        <v>2542.9488</v>
      </c>
      <c r="AK312" s="60">
        <f>AJ312*'Scope 3 Ratios'!$B$4*(C312/D312)</f>
        <v>73.58069444</v>
      </c>
      <c r="AL312" s="61" t="s">
        <v>557</v>
      </c>
    </row>
    <row r="313" ht="15.0" customHeight="1">
      <c r="A313" s="56" t="s">
        <v>592</v>
      </c>
      <c r="B313" s="56" t="s">
        <v>80</v>
      </c>
      <c r="C313" s="56">
        <v>2.0</v>
      </c>
      <c r="D313" s="56">
        <f>VLOOKUP(E313,'AWS Platforms Ratios'!$A$2:$B$25,2,FALSE)</f>
        <v>96</v>
      </c>
      <c r="E313" s="57" t="s">
        <v>237</v>
      </c>
      <c r="F313" s="56">
        <v>16.0</v>
      </c>
      <c r="G313" s="56">
        <v>768.0</v>
      </c>
      <c r="H313" s="57" t="s">
        <v>146</v>
      </c>
      <c r="I313" s="56" t="s">
        <v>85</v>
      </c>
      <c r="J313" s="56">
        <v>4.0</v>
      </c>
      <c r="K313" s="58" t="s">
        <v>73</v>
      </c>
      <c r="L313" s="58" t="s">
        <v>73</v>
      </c>
      <c r="M313" s="58" t="s">
        <v>73</v>
      </c>
      <c r="N313" s="58" t="s">
        <v>73</v>
      </c>
      <c r="O313" s="59">
        <f>($C313/$D313)*VLOOKUP($E313,'AWS Platforms Ratios'!$A$2:$O$25,7,FALSE)</f>
        <v>1.139791667</v>
      </c>
      <c r="P313" s="59">
        <f>($C313/$D313)*VLOOKUP($E313,'AWS Platforms Ratios'!$A$2:$O$25,8,FALSE)</f>
        <v>2.873333333</v>
      </c>
      <c r="Q313" s="59">
        <f>($C313/$D313)*VLOOKUP($E313,'AWS Platforms Ratios'!$A$2:$O$25,9,FALSE)</f>
        <v>6.394375</v>
      </c>
      <c r="R313" s="59">
        <f>($C313/$D313)*VLOOKUP($E313,'AWS Platforms Ratios'!$A$2:$O$25,10,FALSE)</f>
        <v>9.278802083</v>
      </c>
      <c r="S313" s="59">
        <f>$F313*VLOOKUP($E313,'AWS Platforms Ratios'!$A$2:$O$25,11,FALSE)</f>
        <v>2.488125</v>
      </c>
      <c r="T313" s="59">
        <f>$F313*VLOOKUP($E313,'AWS Platforms Ratios'!$A$2:$O$25,12,FALSE)</f>
        <v>4.117916667</v>
      </c>
      <c r="U313" s="59">
        <f>$F313*VLOOKUP($E313,'AWS Platforms Ratios'!$A$2:$O$25,13,FALSE)</f>
        <v>7.370416667</v>
      </c>
      <c r="V313" s="59">
        <f>$F313*VLOOKUP($E313,'AWS Platforms Ratios'!$A$2:$O$25,14,FALSE)</f>
        <v>10.62291667</v>
      </c>
      <c r="W313" s="60">
        <f>IF($K313&lt;&gt;"N/A",$M313*(VLOOKUP($L313,'GPU Specs &amp; Ratios'!$B$2:$I$8,5,FALSE)),0)</f>
        <v>0</v>
      </c>
      <c r="X313" s="60">
        <f>IF($K313&lt;&gt;"N/A",$M313*(VLOOKUP($L313,'GPU Specs &amp; Ratios'!$B$2:$I$8,6,FALSE)),0)</f>
        <v>0</v>
      </c>
      <c r="Y313" s="60">
        <f>IF($K313&lt;&gt;"N/A",$M313*(VLOOKUP($L313,'GPU Specs &amp; Ratios'!$B$2:$I$8,7,FALSE)),0)</f>
        <v>0</v>
      </c>
      <c r="Z313" s="60">
        <f>IF($K313&lt;&gt;"N/A",$M313*(VLOOKUP($L313,'GPU Specs &amp; Ratios'!$B$2:$I$8,8,FALSE)),0)</f>
        <v>0</v>
      </c>
      <c r="AA313" s="60">
        <f>(C313/D313)*VLOOKUP($E313,'AWS Platforms Ratios'!$A$2:$O$25,15,FALSE)</f>
        <v>1.75</v>
      </c>
      <c r="AB313" s="60">
        <f t="shared" ref="AB313:AE313" si="313">O313+S313+W313+$AA313</f>
        <v>5.377916667</v>
      </c>
      <c r="AC313" s="60">
        <f t="shared" si="313"/>
        <v>8.74125</v>
      </c>
      <c r="AD313" s="60">
        <f t="shared" si="313"/>
        <v>15.51479167</v>
      </c>
      <c r="AE313" s="60">
        <f t="shared" si="313"/>
        <v>21.65171875</v>
      </c>
      <c r="AF313" s="60">
        <f>IF(G313&gt;'Scope 3 Ratios'!$B$5,(G313-'Scope 3 Ratios'!$B$5)*('Scope 3 Ratios'!$B$6/'Scope 3 Ratios'!$B$5),0)</f>
        <v>1042.9488</v>
      </c>
      <c r="AG313" s="60">
        <f>J313*IF(I313="SSD",'Scope 3 Ratios'!$B$9,'Scope 3 Ratios'!$B$8)</f>
        <v>400</v>
      </c>
      <c r="AH313" s="60">
        <f>IF(K313&lt;&gt;"N/A",K313*'Scope 3 Ratios'!$B$10,0)</f>
        <v>0</v>
      </c>
      <c r="AI313" s="60">
        <f>(VLOOKUP($E313,'AWS Platforms Ratios'!$A$2:$O$25,3,FALSE)-1)*'Scope 3 Ratios'!$B$7</f>
        <v>100</v>
      </c>
      <c r="AJ313" s="60">
        <f>'Scope 3 Ratios'!$B$2+AF313+AG313+AH313+AI313</f>
        <v>2542.9488</v>
      </c>
      <c r="AK313" s="60">
        <f>AJ313*'Scope 3 Ratios'!$B$4*(C313/D313)</f>
        <v>1.532931134</v>
      </c>
      <c r="AL313" s="61" t="s">
        <v>452</v>
      </c>
    </row>
    <row r="314" ht="15.0" customHeight="1">
      <c r="A314" s="56" t="s">
        <v>593</v>
      </c>
      <c r="B314" s="56" t="s">
        <v>80</v>
      </c>
      <c r="C314" s="56">
        <v>4.0</v>
      </c>
      <c r="D314" s="56">
        <f>VLOOKUP(E314,'AWS Platforms Ratios'!$A$2:$B$25,2,FALSE)</f>
        <v>96</v>
      </c>
      <c r="E314" s="57" t="s">
        <v>237</v>
      </c>
      <c r="F314" s="56">
        <v>32.0</v>
      </c>
      <c r="G314" s="56">
        <v>768.0</v>
      </c>
      <c r="H314" s="57" t="s">
        <v>148</v>
      </c>
      <c r="I314" s="56" t="s">
        <v>85</v>
      </c>
      <c r="J314" s="56">
        <v>4.0</v>
      </c>
      <c r="K314" s="58" t="s">
        <v>73</v>
      </c>
      <c r="L314" s="58" t="s">
        <v>73</v>
      </c>
      <c r="M314" s="58" t="s">
        <v>73</v>
      </c>
      <c r="N314" s="58" t="s">
        <v>73</v>
      </c>
      <c r="O314" s="59">
        <f>($C314/$D314)*VLOOKUP($E314,'AWS Platforms Ratios'!$A$2:$O$25,7,FALSE)</f>
        <v>2.279583333</v>
      </c>
      <c r="P314" s="59">
        <f>($C314/$D314)*VLOOKUP($E314,'AWS Platforms Ratios'!$A$2:$O$25,8,FALSE)</f>
        <v>5.746666667</v>
      </c>
      <c r="Q314" s="59">
        <f>($C314/$D314)*VLOOKUP($E314,'AWS Platforms Ratios'!$A$2:$O$25,9,FALSE)</f>
        <v>12.78875</v>
      </c>
      <c r="R314" s="59">
        <f>($C314/$D314)*VLOOKUP($E314,'AWS Platforms Ratios'!$A$2:$O$25,10,FALSE)</f>
        <v>18.55760417</v>
      </c>
      <c r="S314" s="59">
        <f>$F314*VLOOKUP($E314,'AWS Platforms Ratios'!$A$2:$O$25,11,FALSE)</f>
        <v>4.97625</v>
      </c>
      <c r="T314" s="59">
        <f>$F314*VLOOKUP($E314,'AWS Platforms Ratios'!$A$2:$O$25,12,FALSE)</f>
        <v>8.235833333</v>
      </c>
      <c r="U314" s="59">
        <f>$F314*VLOOKUP($E314,'AWS Platforms Ratios'!$A$2:$O$25,13,FALSE)</f>
        <v>14.74083333</v>
      </c>
      <c r="V314" s="59">
        <f>$F314*VLOOKUP($E314,'AWS Platforms Ratios'!$A$2:$O$25,14,FALSE)</f>
        <v>21.24583333</v>
      </c>
      <c r="W314" s="60">
        <f>IF($K314&lt;&gt;"N/A",$M314*(VLOOKUP($L314,'GPU Specs &amp; Ratios'!$B$2:$I$8,5,FALSE)),0)</f>
        <v>0</v>
      </c>
      <c r="X314" s="60">
        <f>IF($K314&lt;&gt;"N/A",$M314*(VLOOKUP($L314,'GPU Specs &amp; Ratios'!$B$2:$I$8,6,FALSE)),0)</f>
        <v>0</v>
      </c>
      <c r="Y314" s="60">
        <f>IF($K314&lt;&gt;"N/A",$M314*(VLOOKUP($L314,'GPU Specs &amp; Ratios'!$B$2:$I$8,7,FALSE)),0)</f>
        <v>0</v>
      </c>
      <c r="Z314" s="60">
        <f>IF($K314&lt;&gt;"N/A",$M314*(VLOOKUP($L314,'GPU Specs &amp; Ratios'!$B$2:$I$8,8,FALSE)),0)</f>
        <v>0</v>
      </c>
      <c r="AA314" s="60">
        <f>(C314/D314)*VLOOKUP($E314,'AWS Platforms Ratios'!$A$2:$O$25,15,FALSE)</f>
        <v>3.5</v>
      </c>
      <c r="AB314" s="60">
        <f t="shared" ref="AB314:AE314" si="314">O314+S314+W314+$AA314</f>
        <v>10.75583333</v>
      </c>
      <c r="AC314" s="60">
        <f t="shared" si="314"/>
        <v>17.4825</v>
      </c>
      <c r="AD314" s="60">
        <f t="shared" si="314"/>
        <v>31.02958333</v>
      </c>
      <c r="AE314" s="60">
        <f t="shared" si="314"/>
        <v>43.3034375</v>
      </c>
      <c r="AF314" s="60">
        <f>IF(G314&gt;'Scope 3 Ratios'!$B$5,(G314-'Scope 3 Ratios'!$B$5)*('Scope 3 Ratios'!$B$6/'Scope 3 Ratios'!$B$5),0)</f>
        <v>1042.9488</v>
      </c>
      <c r="AG314" s="60">
        <f>J314*IF(I314="SSD",'Scope 3 Ratios'!$B$9,'Scope 3 Ratios'!$B$8)</f>
        <v>400</v>
      </c>
      <c r="AH314" s="60">
        <f>IF(K314&lt;&gt;"N/A",K314*'Scope 3 Ratios'!$B$10,0)</f>
        <v>0</v>
      </c>
      <c r="AI314" s="60">
        <f>(VLOOKUP($E314,'AWS Platforms Ratios'!$A$2:$O$25,3,FALSE)-1)*'Scope 3 Ratios'!$B$7</f>
        <v>100</v>
      </c>
      <c r="AJ314" s="60">
        <f>'Scope 3 Ratios'!$B$2+AF314+AG314+AH314+AI314</f>
        <v>2542.9488</v>
      </c>
      <c r="AK314" s="60">
        <f>AJ314*'Scope 3 Ratios'!$B$4*(C314/D314)</f>
        <v>3.065862269</v>
      </c>
      <c r="AL314" s="61" t="s">
        <v>452</v>
      </c>
    </row>
    <row r="315" ht="15.0" customHeight="1">
      <c r="A315" s="56" t="s">
        <v>594</v>
      </c>
      <c r="B315" s="56" t="s">
        <v>80</v>
      </c>
      <c r="C315" s="56">
        <v>8.0</v>
      </c>
      <c r="D315" s="56">
        <f>VLOOKUP(E315,'AWS Platforms Ratios'!$A$2:$B$25,2,FALSE)</f>
        <v>96</v>
      </c>
      <c r="E315" s="57" t="s">
        <v>237</v>
      </c>
      <c r="F315" s="56">
        <v>64.0</v>
      </c>
      <c r="G315" s="56">
        <v>768.0</v>
      </c>
      <c r="H315" s="57" t="s">
        <v>150</v>
      </c>
      <c r="I315" s="56" t="s">
        <v>85</v>
      </c>
      <c r="J315" s="56">
        <v>4.0</v>
      </c>
      <c r="K315" s="58" t="s">
        <v>73</v>
      </c>
      <c r="L315" s="58" t="s">
        <v>73</v>
      </c>
      <c r="M315" s="58" t="s">
        <v>73</v>
      </c>
      <c r="N315" s="58" t="s">
        <v>73</v>
      </c>
      <c r="O315" s="59">
        <f>($C315/$D315)*VLOOKUP($E315,'AWS Platforms Ratios'!$A$2:$O$25,7,FALSE)</f>
        <v>4.559166667</v>
      </c>
      <c r="P315" s="59">
        <f>($C315/$D315)*VLOOKUP($E315,'AWS Platforms Ratios'!$A$2:$O$25,8,FALSE)</f>
        <v>11.49333333</v>
      </c>
      <c r="Q315" s="59">
        <f>($C315/$D315)*VLOOKUP($E315,'AWS Platforms Ratios'!$A$2:$O$25,9,FALSE)</f>
        <v>25.5775</v>
      </c>
      <c r="R315" s="59">
        <f>($C315/$D315)*VLOOKUP($E315,'AWS Platforms Ratios'!$A$2:$O$25,10,FALSE)</f>
        <v>37.11520833</v>
      </c>
      <c r="S315" s="59">
        <f>$F315*VLOOKUP($E315,'AWS Platforms Ratios'!$A$2:$O$25,11,FALSE)</f>
        <v>9.9525</v>
      </c>
      <c r="T315" s="59">
        <f>$F315*VLOOKUP($E315,'AWS Platforms Ratios'!$A$2:$O$25,12,FALSE)</f>
        <v>16.47166667</v>
      </c>
      <c r="U315" s="59">
        <f>$F315*VLOOKUP($E315,'AWS Platforms Ratios'!$A$2:$O$25,13,FALSE)</f>
        <v>29.48166667</v>
      </c>
      <c r="V315" s="59">
        <f>$F315*VLOOKUP($E315,'AWS Platforms Ratios'!$A$2:$O$25,14,FALSE)</f>
        <v>42.49166667</v>
      </c>
      <c r="W315" s="60">
        <f>IF($K315&lt;&gt;"N/A",$M315*(VLOOKUP($L315,'GPU Specs &amp; Ratios'!$B$2:$I$8,5,FALSE)),0)</f>
        <v>0</v>
      </c>
      <c r="X315" s="60">
        <f>IF($K315&lt;&gt;"N/A",$M315*(VLOOKUP($L315,'GPU Specs &amp; Ratios'!$B$2:$I$8,6,FALSE)),0)</f>
        <v>0</v>
      </c>
      <c r="Y315" s="60">
        <f>IF($K315&lt;&gt;"N/A",$M315*(VLOOKUP($L315,'GPU Specs &amp; Ratios'!$B$2:$I$8,7,FALSE)),0)</f>
        <v>0</v>
      </c>
      <c r="Z315" s="60">
        <f>IF($K315&lt;&gt;"N/A",$M315*(VLOOKUP($L315,'GPU Specs &amp; Ratios'!$B$2:$I$8,8,FALSE)),0)</f>
        <v>0</v>
      </c>
      <c r="AA315" s="60">
        <f>(C315/D315)*VLOOKUP($E315,'AWS Platforms Ratios'!$A$2:$O$25,15,FALSE)</f>
        <v>7</v>
      </c>
      <c r="AB315" s="60">
        <f t="shared" ref="AB315:AE315" si="315">O315+S315+W315+$AA315</f>
        <v>21.51166667</v>
      </c>
      <c r="AC315" s="60">
        <f t="shared" si="315"/>
        <v>34.965</v>
      </c>
      <c r="AD315" s="60">
        <f t="shared" si="315"/>
        <v>62.05916667</v>
      </c>
      <c r="AE315" s="60">
        <f t="shared" si="315"/>
        <v>86.606875</v>
      </c>
      <c r="AF315" s="60">
        <f>IF(G315&gt;'Scope 3 Ratios'!$B$5,(G315-'Scope 3 Ratios'!$B$5)*('Scope 3 Ratios'!$B$6/'Scope 3 Ratios'!$B$5),0)</f>
        <v>1042.9488</v>
      </c>
      <c r="AG315" s="60">
        <f>J315*IF(I315="SSD",'Scope 3 Ratios'!$B$9,'Scope 3 Ratios'!$B$8)</f>
        <v>400</v>
      </c>
      <c r="AH315" s="60">
        <f>IF(K315&lt;&gt;"N/A",K315*'Scope 3 Ratios'!$B$10,0)</f>
        <v>0</v>
      </c>
      <c r="AI315" s="60">
        <f>(VLOOKUP($E315,'AWS Platforms Ratios'!$A$2:$O$25,3,FALSE)-1)*'Scope 3 Ratios'!$B$7</f>
        <v>100</v>
      </c>
      <c r="AJ315" s="60">
        <f>'Scope 3 Ratios'!$B$2+AF315+AG315+AH315+AI315</f>
        <v>2542.9488</v>
      </c>
      <c r="AK315" s="60">
        <f>AJ315*'Scope 3 Ratios'!$B$4*(C315/D315)</f>
        <v>6.131724537</v>
      </c>
      <c r="AL315" s="61" t="s">
        <v>452</v>
      </c>
    </row>
    <row r="316" ht="15.0" customHeight="1">
      <c r="A316" s="56" t="s">
        <v>595</v>
      </c>
      <c r="B316" s="56" t="s">
        <v>80</v>
      </c>
      <c r="C316" s="56">
        <v>16.0</v>
      </c>
      <c r="D316" s="56">
        <f>VLOOKUP(E316,'AWS Platforms Ratios'!$A$2:$B$25,2,FALSE)</f>
        <v>96</v>
      </c>
      <c r="E316" s="57" t="s">
        <v>237</v>
      </c>
      <c r="F316" s="56">
        <v>128.0</v>
      </c>
      <c r="G316" s="56">
        <v>768.0</v>
      </c>
      <c r="H316" s="57" t="s">
        <v>152</v>
      </c>
      <c r="I316" s="56" t="s">
        <v>85</v>
      </c>
      <c r="J316" s="56">
        <v>4.0</v>
      </c>
      <c r="K316" s="58" t="s">
        <v>73</v>
      </c>
      <c r="L316" s="58" t="s">
        <v>73</v>
      </c>
      <c r="M316" s="58" t="s">
        <v>73</v>
      </c>
      <c r="N316" s="58" t="s">
        <v>73</v>
      </c>
      <c r="O316" s="59">
        <f>($C316/$D316)*VLOOKUP($E316,'AWS Platforms Ratios'!$A$2:$O$25,7,FALSE)</f>
        <v>9.118333333</v>
      </c>
      <c r="P316" s="59">
        <f>($C316/$D316)*VLOOKUP($E316,'AWS Platforms Ratios'!$A$2:$O$25,8,FALSE)</f>
        <v>22.98666667</v>
      </c>
      <c r="Q316" s="59">
        <f>($C316/$D316)*VLOOKUP($E316,'AWS Platforms Ratios'!$A$2:$O$25,9,FALSE)</f>
        <v>51.155</v>
      </c>
      <c r="R316" s="59">
        <f>($C316/$D316)*VLOOKUP($E316,'AWS Platforms Ratios'!$A$2:$O$25,10,FALSE)</f>
        <v>74.23041667</v>
      </c>
      <c r="S316" s="59">
        <f>$F316*VLOOKUP($E316,'AWS Platforms Ratios'!$A$2:$O$25,11,FALSE)</f>
        <v>19.905</v>
      </c>
      <c r="T316" s="59">
        <f>$F316*VLOOKUP($E316,'AWS Platforms Ratios'!$A$2:$O$25,12,FALSE)</f>
        <v>32.94333333</v>
      </c>
      <c r="U316" s="59">
        <f>$F316*VLOOKUP($E316,'AWS Platforms Ratios'!$A$2:$O$25,13,FALSE)</f>
        <v>58.96333333</v>
      </c>
      <c r="V316" s="59">
        <f>$F316*VLOOKUP($E316,'AWS Platforms Ratios'!$A$2:$O$25,14,FALSE)</f>
        <v>84.98333333</v>
      </c>
      <c r="W316" s="60">
        <f>IF($K316&lt;&gt;"N/A",$M316*(VLOOKUP($L316,'GPU Specs &amp; Ratios'!$B$2:$I$8,5,FALSE)),0)</f>
        <v>0</v>
      </c>
      <c r="X316" s="60">
        <f>IF($K316&lt;&gt;"N/A",$M316*(VLOOKUP($L316,'GPU Specs &amp; Ratios'!$B$2:$I$8,6,FALSE)),0)</f>
        <v>0</v>
      </c>
      <c r="Y316" s="60">
        <f>IF($K316&lt;&gt;"N/A",$M316*(VLOOKUP($L316,'GPU Specs &amp; Ratios'!$B$2:$I$8,7,FALSE)),0)</f>
        <v>0</v>
      </c>
      <c r="Z316" s="60">
        <f>IF($K316&lt;&gt;"N/A",$M316*(VLOOKUP($L316,'GPU Specs &amp; Ratios'!$B$2:$I$8,8,FALSE)),0)</f>
        <v>0</v>
      </c>
      <c r="AA316" s="60">
        <f>(C316/D316)*VLOOKUP($E316,'AWS Platforms Ratios'!$A$2:$O$25,15,FALSE)</f>
        <v>14</v>
      </c>
      <c r="AB316" s="60">
        <f t="shared" ref="AB316:AE316" si="316">O316+S316+W316+$AA316</f>
        <v>43.02333333</v>
      </c>
      <c r="AC316" s="60">
        <f t="shared" si="316"/>
        <v>69.93</v>
      </c>
      <c r="AD316" s="60">
        <f t="shared" si="316"/>
        <v>124.1183333</v>
      </c>
      <c r="AE316" s="60">
        <f t="shared" si="316"/>
        <v>173.21375</v>
      </c>
      <c r="AF316" s="60">
        <f>IF(G316&gt;'Scope 3 Ratios'!$B$5,(G316-'Scope 3 Ratios'!$B$5)*('Scope 3 Ratios'!$B$6/'Scope 3 Ratios'!$B$5),0)</f>
        <v>1042.9488</v>
      </c>
      <c r="AG316" s="60">
        <f>J316*IF(I316="SSD",'Scope 3 Ratios'!$B$9,'Scope 3 Ratios'!$B$8)</f>
        <v>400</v>
      </c>
      <c r="AH316" s="60">
        <f>IF(K316&lt;&gt;"N/A",K316*'Scope 3 Ratios'!$B$10,0)</f>
        <v>0</v>
      </c>
      <c r="AI316" s="60">
        <f>(VLOOKUP($E316,'AWS Platforms Ratios'!$A$2:$O$25,3,FALSE)-1)*'Scope 3 Ratios'!$B$7</f>
        <v>100</v>
      </c>
      <c r="AJ316" s="60">
        <f>'Scope 3 Ratios'!$B$2+AF316+AG316+AH316+AI316</f>
        <v>2542.9488</v>
      </c>
      <c r="AK316" s="60">
        <f>AJ316*'Scope 3 Ratios'!$B$4*(C316/D316)</f>
        <v>12.26344907</v>
      </c>
      <c r="AL316" s="61" t="s">
        <v>452</v>
      </c>
    </row>
    <row r="317" ht="15.0" customHeight="1">
      <c r="A317" s="56" t="s">
        <v>596</v>
      </c>
      <c r="B317" s="56" t="s">
        <v>80</v>
      </c>
      <c r="C317" s="56">
        <v>32.0</v>
      </c>
      <c r="D317" s="56">
        <f>VLOOKUP(E317,'AWS Platforms Ratios'!$A$2:$B$25,2,FALSE)</f>
        <v>96</v>
      </c>
      <c r="E317" s="57" t="s">
        <v>237</v>
      </c>
      <c r="F317" s="56">
        <v>256.0</v>
      </c>
      <c r="G317" s="56">
        <v>768.0</v>
      </c>
      <c r="H317" s="57" t="s">
        <v>154</v>
      </c>
      <c r="I317" s="56" t="s">
        <v>85</v>
      </c>
      <c r="J317" s="56">
        <v>4.0</v>
      </c>
      <c r="K317" s="58" t="s">
        <v>73</v>
      </c>
      <c r="L317" s="58" t="s">
        <v>73</v>
      </c>
      <c r="M317" s="58" t="s">
        <v>73</v>
      </c>
      <c r="N317" s="58" t="s">
        <v>73</v>
      </c>
      <c r="O317" s="59">
        <f>($C317/$D317)*VLOOKUP($E317,'AWS Platforms Ratios'!$A$2:$O$25,7,FALSE)</f>
        <v>18.23666667</v>
      </c>
      <c r="P317" s="59">
        <f>($C317/$D317)*VLOOKUP($E317,'AWS Platforms Ratios'!$A$2:$O$25,8,FALSE)</f>
        <v>45.97333333</v>
      </c>
      <c r="Q317" s="59">
        <f>($C317/$D317)*VLOOKUP($E317,'AWS Platforms Ratios'!$A$2:$O$25,9,FALSE)</f>
        <v>102.31</v>
      </c>
      <c r="R317" s="59">
        <f>($C317/$D317)*VLOOKUP($E317,'AWS Platforms Ratios'!$A$2:$O$25,10,FALSE)</f>
        <v>148.4608333</v>
      </c>
      <c r="S317" s="59">
        <f>$F317*VLOOKUP($E317,'AWS Platforms Ratios'!$A$2:$O$25,11,FALSE)</f>
        <v>39.81</v>
      </c>
      <c r="T317" s="59">
        <f>$F317*VLOOKUP($E317,'AWS Platforms Ratios'!$A$2:$O$25,12,FALSE)</f>
        <v>65.88666667</v>
      </c>
      <c r="U317" s="59">
        <f>$F317*VLOOKUP($E317,'AWS Platforms Ratios'!$A$2:$O$25,13,FALSE)</f>
        <v>117.9266667</v>
      </c>
      <c r="V317" s="59">
        <f>$F317*VLOOKUP($E317,'AWS Platforms Ratios'!$A$2:$O$25,14,FALSE)</f>
        <v>169.9666667</v>
      </c>
      <c r="W317" s="60">
        <f>IF($K317&lt;&gt;"N/A",$M317*(VLOOKUP($L317,'GPU Specs &amp; Ratios'!$B$2:$I$8,5,FALSE)),0)</f>
        <v>0</v>
      </c>
      <c r="X317" s="60">
        <f>IF($K317&lt;&gt;"N/A",$M317*(VLOOKUP($L317,'GPU Specs &amp; Ratios'!$B$2:$I$8,6,FALSE)),0)</f>
        <v>0</v>
      </c>
      <c r="Y317" s="60">
        <f>IF($K317&lt;&gt;"N/A",$M317*(VLOOKUP($L317,'GPU Specs &amp; Ratios'!$B$2:$I$8,7,FALSE)),0)</f>
        <v>0</v>
      </c>
      <c r="Z317" s="60">
        <f>IF($K317&lt;&gt;"N/A",$M317*(VLOOKUP($L317,'GPU Specs &amp; Ratios'!$B$2:$I$8,8,FALSE)),0)</f>
        <v>0</v>
      </c>
      <c r="AA317" s="60">
        <f>(C317/D317)*VLOOKUP($E317,'AWS Platforms Ratios'!$A$2:$O$25,15,FALSE)</f>
        <v>28</v>
      </c>
      <c r="AB317" s="60">
        <f t="shared" ref="AB317:AE317" si="317">O317+S317+W317+$AA317</f>
        <v>86.04666667</v>
      </c>
      <c r="AC317" s="60">
        <f t="shared" si="317"/>
        <v>139.86</v>
      </c>
      <c r="AD317" s="60">
        <f t="shared" si="317"/>
        <v>248.2366667</v>
      </c>
      <c r="AE317" s="60">
        <f t="shared" si="317"/>
        <v>346.4275</v>
      </c>
      <c r="AF317" s="60">
        <f>IF(G317&gt;'Scope 3 Ratios'!$B$5,(G317-'Scope 3 Ratios'!$B$5)*('Scope 3 Ratios'!$B$6/'Scope 3 Ratios'!$B$5),0)</f>
        <v>1042.9488</v>
      </c>
      <c r="AG317" s="60">
        <f>J317*IF(I317="SSD",'Scope 3 Ratios'!$B$9,'Scope 3 Ratios'!$B$8)</f>
        <v>400</v>
      </c>
      <c r="AH317" s="60">
        <f>IF(K317&lt;&gt;"N/A",K317*'Scope 3 Ratios'!$B$10,0)</f>
        <v>0</v>
      </c>
      <c r="AI317" s="60">
        <f>(VLOOKUP($E317,'AWS Platforms Ratios'!$A$2:$O$25,3,FALSE)-1)*'Scope 3 Ratios'!$B$7</f>
        <v>100</v>
      </c>
      <c r="AJ317" s="60">
        <f>'Scope 3 Ratios'!$B$2+AF317+AG317+AH317+AI317</f>
        <v>2542.9488</v>
      </c>
      <c r="AK317" s="60">
        <f>AJ317*'Scope 3 Ratios'!$B$4*(C317/D317)</f>
        <v>24.52689815</v>
      </c>
      <c r="AL317" s="61" t="s">
        <v>452</v>
      </c>
    </row>
    <row r="318" ht="15.0" customHeight="1">
      <c r="A318" s="56" t="s">
        <v>597</v>
      </c>
      <c r="B318" s="56" t="s">
        <v>80</v>
      </c>
      <c r="C318" s="56">
        <v>48.0</v>
      </c>
      <c r="D318" s="56">
        <f>VLOOKUP(E318,'AWS Platforms Ratios'!$A$2:$B$25,2,FALSE)</f>
        <v>96</v>
      </c>
      <c r="E318" s="57" t="s">
        <v>237</v>
      </c>
      <c r="F318" s="56">
        <v>384.0</v>
      </c>
      <c r="G318" s="56">
        <v>768.0</v>
      </c>
      <c r="H318" s="57" t="s">
        <v>156</v>
      </c>
      <c r="I318" s="56" t="s">
        <v>85</v>
      </c>
      <c r="J318" s="56">
        <v>4.0</v>
      </c>
      <c r="K318" s="58" t="s">
        <v>73</v>
      </c>
      <c r="L318" s="58" t="s">
        <v>73</v>
      </c>
      <c r="M318" s="58" t="s">
        <v>73</v>
      </c>
      <c r="N318" s="58" t="s">
        <v>73</v>
      </c>
      <c r="O318" s="59">
        <f>($C318/$D318)*VLOOKUP($E318,'AWS Platforms Ratios'!$A$2:$O$25,7,FALSE)</f>
        <v>27.355</v>
      </c>
      <c r="P318" s="59">
        <f>($C318/$D318)*VLOOKUP($E318,'AWS Platforms Ratios'!$A$2:$O$25,8,FALSE)</f>
        <v>68.96</v>
      </c>
      <c r="Q318" s="59">
        <f>($C318/$D318)*VLOOKUP($E318,'AWS Platforms Ratios'!$A$2:$O$25,9,FALSE)</f>
        <v>153.465</v>
      </c>
      <c r="R318" s="59">
        <f>($C318/$D318)*VLOOKUP($E318,'AWS Platforms Ratios'!$A$2:$O$25,10,FALSE)</f>
        <v>222.69125</v>
      </c>
      <c r="S318" s="59">
        <f>$F318*VLOOKUP($E318,'AWS Platforms Ratios'!$A$2:$O$25,11,FALSE)</f>
        <v>59.715</v>
      </c>
      <c r="T318" s="59">
        <f>$F318*VLOOKUP($E318,'AWS Platforms Ratios'!$A$2:$O$25,12,FALSE)</f>
        <v>98.83</v>
      </c>
      <c r="U318" s="59">
        <f>$F318*VLOOKUP($E318,'AWS Platforms Ratios'!$A$2:$O$25,13,FALSE)</f>
        <v>176.89</v>
      </c>
      <c r="V318" s="59">
        <f>$F318*VLOOKUP($E318,'AWS Platforms Ratios'!$A$2:$O$25,14,FALSE)</f>
        <v>254.95</v>
      </c>
      <c r="W318" s="60">
        <f>IF($K318&lt;&gt;"N/A",$M318*(VLOOKUP($L318,'GPU Specs &amp; Ratios'!$B$2:$I$8,5,FALSE)),0)</f>
        <v>0</v>
      </c>
      <c r="X318" s="60">
        <f>IF($K318&lt;&gt;"N/A",$M318*(VLOOKUP($L318,'GPU Specs &amp; Ratios'!$B$2:$I$8,6,FALSE)),0)</f>
        <v>0</v>
      </c>
      <c r="Y318" s="60">
        <f>IF($K318&lt;&gt;"N/A",$M318*(VLOOKUP($L318,'GPU Specs &amp; Ratios'!$B$2:$I$8,7,FALSE)),0)</f>
        <v>0</v>
      </c>
      <c r="Z318" s="60">
        <f>IF($K318&lt;&gt;"N/A",$M318*(VLOOKUP($L318,'GPU Specs &amp; Ratios'!$B$2:$I$8,8,FALSE)),0)</f>
        <v>0</v>
      </c>
      <c r="AA318" s="60">
        <f>(C318/D318)*VLOOKUP($E318,'AWS Platforms Ratios'!$A$2:$O$25,15,FALSE)</f>
        <v>42</v>
      </c>
      <c r="AB318" s="60">
        <f t="shared" ref="AB318:AE318" si="318">O318+S318+W318+$AA318</f>
        <v>129.07</v>
      </c>
      <c r="AC318" s="60">
        <f t="shared" si="318"/>
        <v>209.79</v>
      </c>
      <c r="AD318" s="60">
        <f t="shared" si="318"/>
        <v>372.355</v>
      </c>
      <c r="AE318" s="60">
        <f t="shared" si="318"/>
        <v>519.64125</v>
      </c>
      <c r="AF318" s="60">
        <f>IF(G318&gt;'Scope 3 Ratios'!$B$5,(G318-'Scope 3 Ratios'!$B$5)*('Scope 3 Ratios'!$B$6/'Scope 3 Ratios'!$B$5),0)</f>
        <v>1042.9488</v>
      </c>
      <c r="AG318" s="60">
        <f>J318*IF(I318="SSD",'Scope 3 Ratios'!$B$9,'Scope 3 Ratios'!$B$8)</f>
        <v>400</v>
      </c>
      <c r="AH318" s="60">
        <f>IF(K318&lt;&gt;"N/A",K318*'Scope 3 Ratios'!$B$10,0)</f>
        <v>0</v>
      </c>
      <c r="AI318" s="60">
        <f>(VLOOKUP($E318,'AWS Platforms Ratios'!$A$2:$O$25,3,FALSE)-1)*'Scope 3 Ratios'!$B$7</f>
        <v>100</v>
      </c>
      <c r="AJ318" s="60">
        <f>'Scope 3 Ratios'!$B$2+AF318+AG318+AH318+AI318</f>
        <v>2542.9488</v>
      </c>
      <c r="AK318" s="60">
        <f>AJ318*'Scope 3 Ratios'!$B$4*(C318/D318)</f>
        <v>36.79034722</v>
      </c>
      <c r="AL318" s="61" t="s">
        <v>452</v>
      </c>
    </row>
    <row r="319" ht="15.0" customHeight="1">
      <c r="A319" s="56" t="s">
        <v>598</v>
      </c>
      <c r="B319" s="56" t="s">
        <v>80</v>
      </c>
      <c r="C319" s="56">
        <v>64.0</v>
      </c>
      <c r="D319" s="56">
        <f>VLOOKUP(E319,'AWS Platforms Ratios'!$A$2:$B$25,2,FALSE)</f>
        <v>96</v>
      </c>
      <c r="E319" s="57" t="s">
        <v>237</v>
      </c>
      <c r="F319" s="56">
        <v>512.0</v>
      </c>
      <c r="G319" s="56">
        <v>768.0</v>
      </c>
      <c r="H319" s="57" t="s">
        <v>439</v>
      </c>
      <c r="I319" s="56" t="s">
        <v>85</v>
      </c>
      <c r="J319" s="56">
        <v>4.0</v>
      </c>
      <c r="K319" s="58" t="s">
        <v>73</v>
      </c>
      <c r="L319" s="58" t="s">
        <v>73</v>
      </c>
      <c r="M319" s="58" t="s">
        <v>73</v>
      </c>
      <c r="N319" s="58" t="s">
        <v>73</v>
      </c>
      <c r="O319" s="59">
        <f>($C319/$D319)*VLOOKUP($E319,'AWS Platforms Ratios'!$A$2:$O$25,7,FALSE)</f>
        <v>36.47333333</v>
      </c>
      <c r="P319" s="59">
        <f>($C319/$D319)*VLOOKUP($E319,'AWS Platforms Ratios'!$A$2:$O$25,8,FALSE)</f>
        <v>91.94666667</v>
      </c>
      <c r="Q319" s="59">
        <f>($C319/$D319)*VLOOKUP($E319,'AWS Platforms Ratios'!$A$2:$O$25,9,FALSE)</f>
        <v>204.62</v>
      </c>
      <c r="R319" s="59">
        <f>($C319/$D319)*VLOOKUP($E319,'AWS Platforms Ratios'!$A$2:$O$25,10,FALSE)</f>
        <v>296.9216667</v>
      </c>
      <c r="S319" s="59">
        <f>$F319*VLOOKUP($E319,'AWS Platforms Ratios'!$A$2:$O$25,11,FALSE)</f>
        <v>79.62</v>
      </c>
      <c r="T319" s="59">
        <f>$F319*VLOOKUP($E319,'AWS Platforms Ratios'!$A$2:$O$25,12,FALSE)</f>
        <v>131.7733333</v>
      </c>
      <c r="U319" s="59">
        <f>$F319*VLOOKUP($E319,'AWS Platforms Ratios'!$A$2:$O$25,13,FALSE)</f>
        <v>235.8533333</v>
      </c>
      <c r="V319" s="59">
        <f>$F319*VLOOKUP($E319,'AWS Platforms Ratios'!$A$2:$O$25,14,FALSE)</f>
        <v>339.9333333</v>
      </c>
      <c r="W319" s="60">
        <f>IF($K319&lt;&gt;"N/A",$M319*(VLOOKUP($L319,'GPU Specs &amp; Ratios'!$B$2:$I$8,5,FALSE)),0)</f>
        <v>0</v>
      </c>
      <c r="X319" s="60">
        <f>IF($K319&lt;&gt;"N/A",$M319*(VLOOKUP($L319,'GPU Specs &amp; Ratios'!$B$2:$I$8,6,FALSE)),0)</f>
        <v>0</v>
      </c>
      <c r="Y319" s="60">
        <f>IF($K319&lt;&gt;"N/A",$M319*(VLOOKUP($L319,'GPU Specs &amp; Ratios'!$B$2:$I$8,7,FALSE)),0)</f>
        <v>0</v>
      </c>
      <c r="Z319" s="60">
        <f>IF($K319&lt;&gt;"N/A",$M319*(VLOOKUP($L319,'GPU Specs &amp; Ratios'!$B$2:$I$8,8,FALSE)),0)</f>
        <v>0</v>
      </c>
      <c r="AA319" s="60">
        <f>(C319/D319)*VLOOKUP($E319,'AWS Platforms Ratios'!$A$2:$O$25,15,FALSE)</f>
        <v>56</v>
      </c>
      <c r="AB319" s="60">
        <f t="shared" ref="AB319:AE319" si="319">O319+S319+W319+$AA319</f>
        <v>172.0933333</v>
      </c>
      <c r="AC319" s="60">
        <f t="shared" si="319"/>
        <v>279.72</v>
      </c>
      <c r="AD319" s="60">
        <f t="shared" si="319"/>
        <v>496.4733333</v>
      </c>
      <c r="AE319" s="60">
        <f t="shared" si="319"/>
        <v>692.855</v>
      </c>
      <c r="AF319" s="60">
        <f>IF(G319&gt;'Scope 3 Ratios'!$B$5,(G319-'Scope 3 Ratios'!$B$5)*('Scope 3 Ratios'!$B$6/'Scope 3 Ratios'!$B$5),0)</f>
        <v>1042.9488</v>
      </c>
      <c r="AG319" s="60">
        <f>J319*IF(I319="SSD",'Scope 3 Ratios'!$B$9,'Scope 3 Ratios'!$B$8)</f>
        <v>400</v>
      </c>
      <c r="AH319" s="60">
        <f>IF(K319&lt;&gt;"N/A",K319*'Scope 3 Ratios'!$B$10,0)</f>
        <v>0</v>
      </c>
      <c r="AI319" s="60">
        <f>(VLOOKUP($E319,'AWS Platforms Ratios'!$A$2:$O$25,3,FALSE)-1)*'Scope 3 Ratios'!$B$7</f>
        <v>100</v>
      </c>
      <c r="AJ319" s="60">
        <f>'Scope 3 Ratios'!$B$2+AF319+AG319+AH319+AI319</f>
        <v>2542.9488</v>
      </c>
      <c r="AK319" s="60">
        <f>AJ319*'Scope 3 Ratios'!$B$4*(C319/D319)</f>
        <v>49.0537963</v>
      </c>
      <c r="AL319" s="61" t="s">
        <v>452</v>
      </c>
    </row>
    <row r="320" ht="15.0" customHeight="1">
      <c r="A320" s="56" t="s">
        <v>599</v>
      </c>
      <c r="B320" s="56" t="s">
        <v>80</v>
      </c>
      <c r="C320" s="56">
        <v>96.0</v>
      </c>
      <c r="D320" s="56">
        <f>VLOOKUP(E320,'AWS Platforms Ratios'!$A$2:$B$25,2,FALSE)</f>
        <v>96</v>
      </c>
      <c r="E320" s="57" t="s">
        <v>237</v>
      </c>
      <c r="F320" s="56">
        <v>768.0</v>
      </c>
      <c r="G320" s="56">
        <v>768.0</v>
      </c>
      <c r="H320" s="57" t="s">
        <v>176</v>
      </c>
      <c r="I320" s="56" t="s">
        <v>85</v>
      </c>
      <c r="J320" s="56">
        <v>4.0</v>
      </c>
      <c r="K320" s="58" t="s">
        <v>73</v>
      </c>
      <c r="L320" s="58" t="s">
        <v>73</v>
      </c>
      <c r="M320" s="58" t="s">
        <v>73</v>
      </c>
      <c r="N320" s="58" t="s">
        <v>73</v>
      </c>
      <c r="O320" s="59">
        <f>($C320/$D320)*VLOOKUP($E320,'AWS Platforms Ratios'!$A$2:$O$25,7,FALSE)</f>
        <v>54.71</v>
      </c>
      <c r="P320" s="59">
        <f>($C320/$D320)*VLOOKUP($E320,'AWS Platforms Ratios'!$A$2:$O$25,8,FALSE)</f>
        <v>137.92</v>
      </c>
      <c r="Q320" s="59">
        <f>($C320/$D320)*VLOOKUP($E320,'AWS Platforms Ratios'!$A$2:$O$25,9,FALSE)</f>
        <v>306.93</v>
      </c>
      <c r="R320" s="59">
        <f>($C320/$D320)*VLOOKUP($E320,'AWS Platforms Ratios'!$A$2:$O$25,10,FALSE)</f>
        <v>445.3825</v>
      </c>
      <c r="S320" s="59">
        <f>$F320*VLOOKUP($E320,'AWS Platforms Ratios'!$A$2:$O$25,11,FALSE)</f>
        <v>119.43</v>
      </c>
      <c r="T320" s="59">
        <f>$F320*VLOOKUP($E320,'AWS Platforms Ratios'!$A$2:$O$25,12,FALSE)</f>
        <v>197.66</v>
      </c>
      <c r="U320" s="59">
        <f>$F320*VLOOKUP($E320,'AWS Platforms Ratios'!$A$2:$O$25,13,FALSE)</f>
        <v>353.78</v>
      </c>
      <c r="V320" s="59">
        <f>$F320*VLOOKUP($E320,'AWS Platforms Ratios'!$A$2:$O$25,14,FALSE)</f>
        <v>509.9</v>
      </c>
      <c r="W320" s="60">
        <f>IF($K320&lt;&gt;"N/A",$M320*(VLOOKUP($L320,'GPU Specs &amp; Ratios'!$B$2:$I$8,5,FALSE)),0)</f>
        <v>0</v>
      </c>
      <c r="X320" s="60">
        <f>IF($K320&lt;&gt;"N/A",$M320*(VLOOKUP($L320,'GPU Specs &amp; Ratios'!$B$2:$I$8,6,FALSE)),0)</f>
        <v>0</v>
      </c>
      <c r="Y320" s="60">
        <f>IF($K320&lt;&gt;"N/A",$M320*(VLOOKUP($L320,'GPU Specs &amp; Ratios'!$B$2:$I$8,7,FALSE)),0)</f>
        <v>0</v>
      </c>
      <c r="Z320" s="60">
        <f>IF($K320&lt;&gt;"N/A",$M320*(VLOOKUP($L320,'GPU Specs &amp; Ratios'!$B$2:$I$8,8,FALSE)),0)</f>
        <v>0</v>
      </c>
      <c r="AA320" s="60">
        <f>(C320/D320)*VLOOKUP($E320,'AWS Platforms Ratios'!$A$2:$O$25,15,FALSE)</f>
        <v>84</v>
      </c>
      <c r="AB320" s="60">
        <f t="shared" ref="AB320:AE320" si="320">O320+S320+W320+$AA320</f>
        <v>258.14</v>
      </c>
      <c r="AC320" s="60">
        <f t="shared" si="320"/>
        <v>419.58</v>
      </c>
      <c r="AD320" s="60">
        <f t="shared" si="320"/>
        <v>744.71</v>
      </c>
      <c r="AE320" s="60">
        <f t="shared" si="320"/>
        <v>1039.2825</v>
      </c>
      <c r="AF320" s="60">
        <f>IF(G320&gt;'Scope 3 Ratios'!$B$5,(G320-'Scope 3 Ratios'!$B$5)*('Scope 3 Ratios'!$B$6/'Scope 3 Ratios'!$B$5),0)</f>
        <v>1042.9488</v>
      </c>
      <c r="AG320" s="60">
        <f>J320*IF(I320="SSD",'Scope 3 Ratios'!$B$9,'Scope 3 Ratios'!$B$8)</f>
        <v>400</v>
      </c>
      <c r="AH320" s="60">
        <f>IF(K320&lt;&gt;"N/A",K320*'Scope 3 Ratios'!$B$10,0)</f>
        <v>0</v>
      </c>
      <c r="AI320" s="60">
        <f>(VLOOKUP($E320,'AWS Platforms Ratios'!$A$2:$O$25,3,FALSE)-1)*'Scope 3 Ratios'!$B$7</f>
        <v>100</v>
      </c>
      <c r="AJ320" s="60">
        <f>'Scope 3 Ratios'!$B$2+AF320+AG320+AH320+AI320</f>
        <v>2542.9488</v>
      </c>
      <c r="AK320" s="60">
        <f>AJ320*'Scope 3 Ratios'!$B$4*(C320/D320)</f>
        <v>73.58069444</v>
      </c>
      <c r="AL320" s="61" t="s">
        <v>452</v>
      </c>
    </row>
    <row r="321" ht="15.0" customHeight="1">
      <c r="A321" s="56" t="s">
        <v>600</v>
      </c>
      <c r="B321" s="56" t="s">
        <v>461</v>
      </c>
      <c r="C321" s="56">
        <v>96.0</v>
      </c>
      <c r="D321" s="56">
        <f>VLOOKUP(E321,'AWS Platforms Ratios'!$A$2:$B$25,2,FALSE)</f>
        <v>96</v>
      </c>
      <c r="E321" s="57" t="s">
        <v>237</v>
      </c>
      <c r="F321" s="56">
        <v>768.0</v>
      </c>
      <c r="G321" s="56">
        <v>768.0</v>
      </c>
      <c r="H321" s="57" t="s">
        <v>176</v>
      </c>
      <c r="I321" s="56" t="s">
        <v>85</v>
      </c>
      <c r="J321" s="56">
        <v>4.0</v>
      </c>
      <c r="K321" s="58" t="s">
        <v>73</v>
      </c>
      <c r="L321" s="58" t="s">
        <v>73</v>
      </c>
      <c r="M321" s="58" t="s">
        <v>73</v>
      </c>
      <c r="N321" s="58" t="s">
        <v>73</v>
      </c>
      <c r="O321" s="59">
        <f>($C321/$D321)*VLOOKUP($E321,'AWS Platforms Ratios'!$A$2:$O$25,7,FALSE)</f>
        <v>54.71</v>
      </c>
      <c r="P321" s="59">
        <f>($C321/$D321)*VLOOKUP($E321,'AWS Platforms Ratios'!$A$2:$O$25,8,FALSE)</f>
        <v>137.92</v>
      </c>
      <c r="Q321" s="59">
        <f>($C321/$D321)*VLOOKUP($E321,'AWS Platforms Ratios'!$A$2:$O$25,9,FALSE)</f>
        <v>306.93</v>
      </c>
      <c r="R321" s="59">
        <f>($C321/$D321)*VLOOKUP($E321,'AWS Platforms Ratios'!$A$2:$O$25,10,FALSE)</f>
        <v>445.3825</v>
      </c>
      <c r="S321" s="59">
        <f>$F321*VLOOKUP($E321,'AWS Platforms Ratios'!$A$2:$O$25,11,FALSE)</f>
        <v>119.43</v>
      </c>
      <c r="T321" s="59">
        <f>$F321*VLOOKUP($E321,'AWS Platforms Ratios'!$A$2:$O$25,12,FALSE)</f>
        <v>197.66</v>
      </c>
      <c r="U321" s="59">
        <f>$F321*VLOOKUP($E321,'AWS Platforms Ratios'!$A$2:$O$25,13,FALSE)</f>
        <v>353.78</v>
      </c>
      <c r="V321" s="59">
        <f>$F321*VLOOKUP($E321,'AWS Platforms Ratios'!$A$2:$O$25,14,FALSE)</f>
        <v>509.9</v>
      </c>
      <c r="W321" s="60">
        <f>IF($K321&lt;&gt;"N/A",$M321*(VLOOKUP($L321,'GPU Specs &amp; Ratios'!$B$2:$I$8,5,FALSE)),0)</f>
        <v>0</v>
      </c>
      <c r="X321" s="60">
        <f>IF($K321&lt;&gt;"N/A",$M321*(VLOOKUP($L321,'GPU Specs &amp; Ratios'!$B$2:$I$8,6,FALSE)),0)</f>
        <v>0</v>
      </c>
      <c r="Y321" s="60">
        <f>IF($K321&lt;&gt;"N/A",$M321*(VLOOKUP($L321,'GPU Specs &amp; Ratios'!$B$2:$I$8,7,FALSE)),0)</f>
        <v>0</v>
      </c>
      <c r="Z321" s="60">
        <f>IF($K321&lt;&gt;"N/A",$M321*(VLOOKUP($L321,'GPU Specs &amp; Ratios'!$B$2:$I$8,8,FALSE)),0)</f>
        <v>0</v>
      </c>
      <c r="AA321" s="60">
        <f>(C321/D321)*VLOOKUP($E321,'AWS Platforms Ratios'!$A$2:$O$25,15,FALSE)</f>
        <v>84</v>
      </c>
      <c r="AB321" s="60">
        <f t="shared" ref="AB321:AE321" si="321">O321+S321+W321+$AA321</f>
        <v>258.14</v>
      </c>
      <c r="AC321" s="60">
        <f t="shared" si="321"/>
        <v>419.58</v>
      </c>
      <c r="AD321" s="60">
        <f t="shared" si="321"/>
        <v>744.71</v>
      </c>
      <c r="AE321" s="60">
        <f t="shared" si="321"/>
        <v>1039.2825</v>
      </c>
      <c r="AF321" s="60">
        <f>IF(G321&gt;'Scope 3 Ratios'!$B$5,(G321-'Scope 3 Ratios'!$B$5)*('Scope 3 Ratios'!$B$6/'Scope 3 Ratios'!$B$5),0)</f>
        <v>1042.9488</v>
      </c>
      <c r="AG321" s="60">
        <f>J321*IF(I321="SSD",'Scope 3 Ratios'!$B$9,'Scope 3 Ratios'!$B$8)</f>
        <v>400</v>
      </c>
      <c r="AH321" s="60">
        <f>IF(K321&lt;&gt;"N/A",K321*'Scope 3 Ratios'!$B$10,0)</f>
        <v>0</v>
      </c>
      <c r="AI321" s="60">
        <f>(VLOOKUP($E321,'AWS Platforms Ratios'!$A$2:$O$25,3,FALSE)-1)*'Scope 3 Ratios'!$B$7</f>
        <v>100</v>
      </c>
      <c r="AJ321" s="60">
        <f>'Scope 3 Ratios'!$B$2+AF321+AG321+AH321+AI321</f>
        <v>2542.9488</v>
      </c>
      <c r="AK321" s="60">
        <f>AJ321*'Scope 3 Ratios'!$B$4*(C321/D321)</f>
        <v>73.58069444</v>
      </c>
      <c r="AL321" s="61" t="s">
        <v>452</v>
      </c>
    </row>
    <row r="322" ht="15.0" customHeight="1">
      <c r="A322" s="56" t="s">
        <v>601</v>
      </c>
      <c r="B322" s="56" t="s">
        <v>80</v>
      </c>
      <c r="C322" s="56">
        <v>2.0</v>
      </c>
      <c r="D322" s="56">
        <f>VLOOKUP(E322,'AWS Platforms Ratios'!$A$2:$B$25,2,FALSE)</f>
        <v>96</v>
      </c>
      <c r="E322" s="57" t="s">
        <v>237</v>
      </c>
      <c r="F322" s="56">
        <v>16.0</v>
      </c>
      <c r="G322" s="56">
        <v>768.0</v>
      </c>
      <c r="H322" s="57" t="s">
        <v>71</v>
      </c>
      <c r="I322" s="56" t="s">
        <v>72</v>
      </c>
      <c r="J322" s="63">
        <v>0.0</v>
      </c>
      <c r="K322" s="58" t="s">
        <v>73</v>
      </c>
      <c r="L322" s="58" t="s">
        <v>73</v>
      </c>
      <c r="M322" s="58" t="s">
        <v>73</v>
      </c>
      <c r="N322" s="58" t="s">
        <v>73</v>
      </c>
      <c r="O322" s="59">
        <f>($C322/$D322)*VLOOKUP($E322,'AWS Platforms Ratios'!$A$2:$O$25,7,FALSE)</f>
        <v>1.139791667</v>
      </c>
      <c r="P322" s="59">
        <f>($C322/$D322)*VLOOKUP($E322,'AWS Platforms Ratios'!$A$2:$O$25,8,FALSE)</f>
        <v>2.873333333</v>
      </c>
      <c r="Q322" s="59">
        <f>($C322/$D322)*VLOOKUP($E322,'AWS Platforms Ratios'!$A$2:$O$25,9,FALSE)</f>
        <v>6.394375</v>
      </c>
      <c r="R322" s="59">
        <f>($C322/$D322)*VLOOKUP($E322,'AWS Platforms Ratios'!$A$2:$O$25,10,FALSE)</f>
        <v>9.278802083</v>
      </c>
      <c r="S322" s="59">
        <f>$F322*VLOOKUP($E322,'AWS Platforms Ratios'!$A$2:$O$25,11,FALSE)</f>
        <v>2.488125</v>
      </c>
      <c r="T322" s="59">
        <f>$F322*VLOOKUP($E322,'AWS Platforms Ratios'!$A$2:$O$25,12,FALSE)</f>
        <v>4.117916667</v>
      </c>
      <c r="U322" s="59">
        <f>$F322*VLOOKUP($E322,'AWS Platforms Ratios'!$A$2:$O$25,13,FALSE)</f>
        <v>7.370416667</v>
      </c>
      <c r="V322" s="59">
        <f>$F322*VLOOKUP($E322,'AWS Platforms Ratios'!$A$2:$O$25,14,FALSE)</f>
        <v>10.62291667</v>
      </c>
      <c r="W322" s="60">
        <f>IF($K322&lt;&gt;"N/A",$M322*(VLOOKUP($L322,'GPU Specs &amp; Ratios'!$B$2:$I$8,5,FALSE)),0)</f>
        <v>0</v>
      </c>
      <c r="X322" s="60">
        <f>IF($K322&lt;&gt;"N/A",$M322*(VLOOKUP($L322,'GPU Specs &amp; Ratios'!$B$2:$I$8,6,FALSE)),0)</f>
        <v>0</v>
      </c>
      <c r="Y322" s="60">
        <f>IF($K322&lt;&gt;"N/A",$M322*(VLOOKUP($L322,'GPU Specs &amp; Ratios'!$B$2:$I$8,7,FALSE)),0)</f>
        <v>0</v>
      </c>
      <c r="Z322" s="60">
        <f>IF($K322&lt;&gt;"N/A",$M322*(VLOOKUP($L322,'GPU Specs &amp; Ratios'!$B$2:$I$8,8,FALSE)),0)</f>
        <v>0</v>
      </c>
      <c r="AA322" s="60">
        <f>(C322/D322)*VLOOKUP($E322,'AWS Platforms Ratios'!$A$2:$O$25,15,FALSE)</f>
        <v>1.75</v>
      </c>
      <c r="AB322" s="60">
        <f t="shared" ref="AB322:AE322" si="322">O322+S322+W322+$AA322</f>
        <v>5.377916667</v>
      </c>
      <c r="AC322" s="60">
        <f t="shared" si="322"/>
        <v>8.74125</v>
      </c>
      <c r="AD322" s="60">
        <f t="shared" si="322"/>
        <v>15.51479167</v>
      </c>
      <c r="AE322" s="60">
        <f t="shared" si="322"/>
        <v>21.65171875</v>
      </c>
      <c r="AF322" s="60">
        <f>IF(G322&gt;'Scope 3 Ratios'!$B$5,(G322-'Scope 3 Ratios'!$B$5)*('Scope 3 Ratios'!$B$6/'Scope 3 Ratios'!$B$5),0)</f>
        <v>1042.9488</v>
      </c>
      <c r="AG322" s="60">
        <f>J322*IF(I322="SSD",'Scope 3 Ratios'!$B$9,'Scope 3 Ratios'!$B$8)</f>
        <v>0</v>
      </c>
      <c r="AH322" s="60">
        <f>IF(K322&lt;&gt;"N/A",K322*'Scope 3 Ratios'!$B$10,0)</f>
        <v>0</v>
      </c>
      <c r="AI322" s="60">
        <f>(VLOOKUP($E322,'AWS Platforms Ratios'!$A$2:$O$25,3,FALSE)-1)*'Scope 3 Ratios'!$B$7</f>
        <v>100</v>
      </c>
      <c r="AJ322" s="60">
        <f>'Scope 3 Ratios'!$B$2+AF322+AG322+AH322+AI322</f>
        <v>2142.9488</v>
      </c>
      <c r="AK322" s="60">
        <f>AJ322*'Scope 3 Ratios'!$B$4*(C322/D322)</f>
        <v>1.291804591</v>
      </c>
      <c r="AL322" s="61" t="s">
        <v>452</v>
      </c>
    </row>
    <row r="323" ht="15.0" customHeight="1">
      <c r="A323" s="56" t="s">
        <v>602</v>
      </c>
      <c r="B323" s="56" t="s">
        <v>80</v>
      </c>
      <c r="C323" s="56">
        <v>4.0</v>
      </c>
      <c r="D323" s="56">
        <f>VLOOKUP(E323,'AWS Platforms Ratios'!$A$2:$B$25,2,FALSE)</f>
        <v>96</v>
      </c>
      <c r="E323" s="57" t="s">
        <v>237</v>
      </c>
      <c r="F323" s="56">
        <v>32.0</v>
      </c>
      <c r="G323" s="56">
        <v>768.0</v>
      </c>
      <c r="H323" s="57" t="s">
        <v>71</v>
      </c>
      <c r="I323" s="56" t="s">
        <v>72</v>
      </c>
      <c r="J323" s="63">
        <v>0.0</v>
      </c>
      <c r="K323" s="58" t="s">
        <v>73</v>
      </c>
      <c r="L323" s="58" t="s">
        <v>73</v>
      </c>
      <c r="M323" s="58" t="s">
        <v>73</v>
      </c>
      <c r="N323" s="58" t="s">
        <v>73</v>
      </c>
      <c r="O323" s="59">
        <f>($C323/$D323)*VLOOKUP($E323,'AWS Platforms Ratios'!$A$2:$O$25,7,FALSE)</f>
        <v>2.279583333</v>
      </c>
      <c r="P323" s="59">
        <f>($C323/$D323)*VLOOKUP($E323,'AWS Platforms Ratios'!$A$2:$O$25,8,FALSE)</f>
        <v>5.746666667</v>
      </c>
      <c r="Q323" s="59">
        <f>($C323/$D323)*VLOOKUP($E323,'AWS Platforms Ratios'!$A$2:$O$25,9,FALSE)</f>
        <v>12.78875</v>
      </c>
      <c r="R323" s="59">
        <f>($C323/$D323)*VLOOKUP($E323,'AWS Platforms Ratios'!$A$2:$O$25,10,FALSE)</f>
        <v>18.55760417</v>
      </c>
      <c r="S323" s="59">
        <f>$F323*VLOOKUP($E323,'AWS Platforms Ratios'!$A$2:$O$25,11,FALSE)</f>
        <v>4.97625</v>
      </c>
      <c r="T323" s="59">
        <f>$F323*VLOOKUP($E323,'AWS Platforms Ratios'!$A$2:$O$25,12,FALSE)</f>
        <v>8.235833333</v>
      </c>
      <c r="U323" s="59">
        <f>$F323*VLOOKUP($E323,'AWS Platforms Ratios'!$A$2:$O$25,13,FALSE)</f>
        <v>14.74083333</v>
      </c>
      <c r="V323" s="59">
        <f>$F323*VLOOKUP($E323,'AWS Platforms Ratios'!$A$2:$O$25,14,FALSE)</f>
        <v>21.24583333</v>
      </c>
      <c r="W323" s="60">
        <f>IF($K323&lt;&gt;"N/A",$M323*(VLOOKUP($L323,'GPU Specs &amp; Ratios'!$B$2:$I$8,5,FALSE)),0)</f>
        <v>0</v>
      </c>
      <c r="X323" s="60">
        <f>IF($K323&lt;&gt;"N/A",$M323*(VLOOKUP($L323,'GPU Specs &amp; Ratios'!$B$2:$I$8,6,FALSE)),0)</f>
        <v>0</v>
      </c>
      <c r="Y323" s="60">
        <f>IF($K323&lt;&gt;"N/A",$M323*(VLOOKUP($L323,'GPU Specs &amp; Ratios'!$B$2:$I$8,7,FALSE)),0)</f>
        <v>0</v>
      </c>
      <c r="Z323" s="60">
        <f>IF($K323&lt;&gt;"N/A",$M323*(VLOOKUP($L323,'GPU Specs &amp; Ratios'!$B$2:$I$8,8,FALSE)),0)</f>
        <v>0</v>
      </c>
      <c r="AA323" s="60">
        <f>(C323/D323)*VLOOKUP($E323,'AWS Platforms Ratios'!$A$2:$O$25,15,FALSE)</f>
        <v>3.5</v>
      </c>
      <c r="AB323" s="60">
        <f t="shared" ref="AB323:AE323" si="323">O323+S323+W323+$AA323</f>
        <v>10.75583333</v>
      </c>
      <c r="AC323" s="60">
        <f t="shared" si="323"/>
        <v>17.4825</v>
      </c>
      <c r="AD323" s="60">
        <f t="shared" si="323"/>
        <v>31.02958333</v>
      </c>
      <c r="AE323" s="60">
        <f t="shared" si="323"/>
        <v>43.3034375</v>
      </c>
      <c r="AF323" s="60">
        <f>IF(G323&gt;'Scope 3 Ratios'!$B$5,(G323-'Scope 3 Ratios'!$B$5)*('Scope 3 Ratios'!$B$6/'Scope 3 Ratios'!$B$5),0)</f>
        <v>1042.9488</v>
      </c>
      <c r="AG323" s="60">
        <f>J323*IF(I323="SSD",'Scope 3 Ratios'!$B$9,'Scope 3 Ratios'!$B$8)</f>
        <v>0</v>
      </c>
      <c r="AH323" s="60">
        <f>IF(K323&lt;&gt;"N/A",K323*'Scope 3 Ratios'!$B$10,0)</f>
        <v>0</v>
      </c>
      <c r="AI323" s="60">
        <f>(VLOOKUP($E323,'AWS Platforms Ratios'!$A$2:$O$25,3,FALSE)-1)*'Scope 3 Ratios'!$B$7</f>
        <v>100</v>
      </c>
      <c r="AJ323" s="60">
        <f>'Scope 3 Ratios'!$B$2+AF323+AG323+AH323+AI323</f>
        <v>2142.9488</v>
      </c>
      <c r="AK323" s="60">
        <f>AJ323*'Scope 3 Ratios'!$B$4*(C323/D323)</f>
        <v>2.583609182</v>
      </c>
      <c r="AL323" s="61" t="s">
        <v>452</v>
      </c>
    </row>
    <row r="324" ht="15.0" customHeight="1">
      <c r="A324" s="56" t="s">
        <v>603</v>
      </c>
      <c r="B324" s="56" t="s">
        <v>80</v>
      </c>
      <c r="C324" s="56">
        <v>8.0</v>
      </c>
      <c r="D324" s="56">
        <f>VLOOKUP(E324,'AWS Platforms Ratios'!$A$2:$B$25,2,FALSE)</f>
        <v>96</v>
      </c>
      <c r="E324" s="57" t="s">
        <v>237</v>
      </c>
      <c r="F324" s="56">
        <v>64.0</v>
      </c>
      <c r="G324" s="56">
        <v>768.0</v>
      </c>
      <c r="H324" s="57" t="s">
        <v>71</v>
      </c>
      <c r="I324" s="56" t="s">
        <v>72</v>
      </c>
      <c r="J324" s="63">
        <v>0.0</v>
      </c>
      <c r="K324" s="58" t="s">
        <v>73</v>
      </c>
      <c r="L324" s="58" t="s">
        <v>73</v>
      </c>
      <c r="M324" s="58" t="s">
        <v>73</v>
      </c>
      <c r="N324" s="58" t="s">
        <v>73</v>
      </c>
      <c r="O324" s="59">
        <f>($C324/$D324)*VLOOKUP($E324,'AWS Platforms Ratios'!$A$2:$O$25,7,FALSE)</f>
        <v>4.559166667</v>
      </c>
      <c r="P324" s="59">
        <f>($C324/$D324)*VLOOKUP($E324,'AWS Platforms Ratios'!$A$2:$O$25,8,FALSE)</f>
        <v>11.49333333</v>
      </c>
      <c r="Q324" s="59">
        <f>($C324/$D324)*VLOOKUP($E324,'AWS Platforms Ratios'!$A$2:$O$25,9,FALSE)</f>
        <v>25.5775</v>
      </c>
      <c r="R324" s="59">
        <f>($C324/$D324)*VLOOKUP($E324,'AWS Platforms Ratios'!$A$2:$O$25,10,FALSE)</f>
        <v>37.11520833</v>
      </c>
      <c r="S324" s="59">
        <f>$F324*VLOOKUP($E324,'AWS Platforms Ratios'!$A$2:$O$25,11,FALSE)</f>
        <v>9.9525</v>
      </c>
      <c r="T324" s="59">
        <f>$F324*VLOOKUP($E324,'AWS Platforms Ratios'!$A$2:$O$25,12,FALSE)</f>
        <v>16.47166667</v>
      </c>
      <c r="U324" s="59">
        <f>$F324*VLOOKUP($E324,'AWS Platforms Ratios'!$A$2:$O$25,13,FALSE)</f>
        <v>29.48166667</v>
      </c>
      <c r="V324" s="59">
        <f>$F324*VLOOKUP($E324,'AWS Platforms Ratios'!$A$2:$O$25,14,FALSE)</f>
        <v>42.49166667</v>
      </c>
      <c r="W324" s="60">
        <f>IF($K324&lt;&gt;"N/A",$M324*(VLOOKUP($L324,'GPU Specs &amp; Ratios'!$B$2:$I$8,5,FALSE)),0)</f>
        <v>0</v>
      </c>
      <c r="X324" s="60">
        <f>IF($K324&lt;&gt;"N/A",$M324*(VLOOKUP($L324,'GPU Specs &amp; Ratios'!$B$2:$I$8,6,FALSE)),0)</f>
        <v>0</v>
      </c>
      <c r="Y324" s="60">
        <f>IF($K324&lt;&gt;"N/A",$M324*(VLOOKUP($L324,'GPU Specs &amp; Ratios'!$B$2:$I$8,7,FALSE)),0)</f>
        <v>0</v>
      </c>
      <c r="Z324" s="60">
        <f>IF($K324&lt;&gt;"N/A",$M324*(VLOOKUP($L324,'GPU Specs &amp; Ratios'!$B$2:$I$8,8,FALSE)),0)</f>
        <v>0</v>
      </c>
      <c r="AA324" s="60">
        <f>(C324/D324)*VLOOKUP($E324,'AWS Platforms Ratios'!$A$2:$O$25,15,FALSE)</f>
        <v>7</v>
      </c>
      <c r="AB324" s="60">
        <f t="shared" ref="AB324:AE324" si="324">O324+S324+W324+$AA324</f>
        <v>21.51166667</v>
      </c>
      <c r="AC324" s="60">
        <f t="shared" si="324"/>
        <v>34.965</v>
      </c>
      <c r="AD324" s="60">
        <f t="shared" si="324"/>
        <v>62.05916667</v>
      </c>
      <c r="AE324" s="60">
        <f t="shared" si="324"/>
        <v>86.606875</v>
      </c>
      <c r="AF324" s="60">
        <f>IF(G324&gt;'Scope 3 Ratios'!$B$5,(G324-'Scope 3 Ratios'!$B$5)*('Scope 3 Ratios'!$B$6/'Scope 3 Ratios'!$B$5),0)</f>
        <v>1042.9488</v>
      </c>
      <c r="AG324" s="60">
        <f>J324*IF(I324="SSD",'Scope 3 Ratios'!$B$9,'Scope 3 Ratios'!$B$8)</f>
        <v>0</v>
      </c>
      <c r="AH324" s="60">
        <f>IF(K324&lt;&gt;"N/A",K324*'Scope 3 Ratios'!$B$10,0)</f>
        <v>0</v>
      </c>
      <c r="AI324" s="60">
        <f>(VLOOKUP($E324,'AWS Platforms Ratios'!$A$2:$O$25,3,FALSE)-1)*'Scope 3 Ratios'!$B$7</f>
        <v>100</v>
      </c>
      <c r="AJ324" s="60">
        <f>'Scope 3 Ratios'!$B$2+AF324+AG324+AH324+AI324</f>
        <v>2142.9488</v>
      </c>
      <c r="AK324" s="60">
        <f>AJ324*'Scope 3 Ratios'!$B$4*(C324/D324)</f>
        <v>5.167218364</v>
      </c>
      <c r="AL324" s="61" t="s">
        <v>452</v>
      </c>
    </row>
    <row r="325" ht="15.0" customHeight="1">
      <c r="A325" s="56" t="s">
        <v>604</v>
      </c>
      <c r="B325" s="56" t="s">
        <v>80</v>
      </c>
      <c r="C325" s="56">
        <v>16.0</v>
      </c>
      <c r="D325" s="56">
        <f>VLOOKUP(E325,'AWS Platforms Ratios'!$A$2:$B$25,2,FALSE)</f>
        <v>96</v>
      </c>
      <c r="E325" s="57" t="s">
        <v>237</v>
      </c>
      <c r="F325" s="56">
        <v>128.0</v>
      </c>
      <c r="G325" s="56">
        <v>768.0</v>
      </c>
      <c r="H325" s="57" t="s">
        <v>71</v>
      </c>
      <c r="I325" s="56" t="s">
        <v>72</v>
      </c>
      <c r="J325" s="63">
        <v>0.0</v>
      </c>
      <c r="K325" s="58" t="s">
        <v>73</v>
      </c>
      <c r="L325" s="58" t="s">
        <v>73</v>
      </c>
      <c r="M325" s="58" t="s">
        <v>73</v>
      </c>
      <c r="N325" s="58" t="s">
        <v>73</v>
      </c>
      <c r="O325" s="59">
        <f>($C325/$D325)*VLOOKUP($E325,'AWS Platforms Ratios'!$A$2:$O$25,7,FALSE)</f>
        <v>9.118333333</v>
      </c>
      <c r="P325" s="59">
        <f>($C325/$D325)*VLOOKUP($E325,'AWS Platforms Ratios'!$A$2:$O$25,8,FALSE)</f>
        <v>22.98666667</v>
      </c>
      <c r="Q325" s="59">
        <f>($C325/$D325)*VLOOKUP($E325,'AWS Platforms Ratios'!$A$2:$O$25,9,FALSE)</f>
        <v>51.155</v>
      </c>
      <c r="R325" s="59">
        <f>($C325/$D325)*VLOOKUP($E325,'AWS Platforms Ratios'!$A$2:$O$25,10,FALSE)</f>
        <v>74.23041667</v>
      </c>
      <c r="S325" s="59">
        <f>$F325*VLOOKUP($E325,'AWS Platforms Ratios'!$A$2:$O$25,11,FALSE)</f>
        <v>19.905</v>
      </c>
      <c r="T325" s="59">
        <f>$F325*VLOOKUP($E325,'AWS Platforms Ratios'!$A$2:$O$25,12,FALSE)</f>
        <v>32.94333333</v>
      </c>
      <c r="U325" s="59">
        <f>$F325*VLOOKUP($E325,'AWS Platforms Ratios'!$A$2:$O$25,13,FALSE)</f>
        <v>58.96333333</v>
      </c>
      <c r="V325" s="59">
        <f>$F325*VLOOKUP($E325,'AWS Platforms Ratios'!$A$2:$O$25,14,FALSE)</f>
        <v>84.98333333</v>
      </c>
      <c r="W325" s="60">
        <f>IF($K325&lt;&gt;"N/A",$M325*(VLOOKUP($L325,'GPU Specs &amp; Ratios'!$B$2:$I$8,5,FALSE)),0)</f>
        <v>0</v>
      </c>
      <c r="X325" s="60">
        <f>IF($K325&lt;&gt;"N/A",$M325*(VLOOKUP($L325,'GPU Specs &amp; Ratios'!$B$2:$I$8,6,FALSE)),0)</f>
        <v>0</v>
      </c>
      <c r="Y325" s="60">
        <f>IF($K325&lt;&gt;"N/A",$M325*(VLOOKUP($L325,'GPU Specs &amp; Ratios'!$B$2:$I$8,7,FALSE)),0)</f>
        <v>0</v>
      </c>
      <c r="Z325" s="60">
        <f>IF($K325&lt;&gt;"N/A",$M325*(VLOOKUP($L325,'GPU Specs &amp; Ratios'!$B$2:$I$8,8,FALSE)),0)</f>
        <v>0</v>
      </c>
      <c r="AA325" s="60">
        <f>(C325/D325)*VLOOKUP($E325,'AWS Platforms Ratios'!$A$2:$O$25,15,FALSE)</f>
        <v>14</v>
      </c>
      <c r="AB325" s="60">
        <f t="shared" ref="AB325:AE325" si="325">O325+S325+W325+$AA325</f>
        <v>43.02333333</v>
      </c>
      <c r="AC325" s="60">
        <f t="shared" si="325"/>
        <v>69.93</v>
      </c>
      <c r="AD325" s="60">
        <f t="shared" si="325"/>
        <v>124.1183333</v>
      </c>
      <c r="AE325" s="60">
        <f t="shared" si="325"/>
        <v>173.21375</v>
      </c>
      <c r="AF325" s="60">
        <f>IF(G325&gt;'Scope 3 Ratios'!$B$5,(G325-'Scope 3 Ratios'!$B$5)*('Scope 3 Ratios'!$B$6/'Scope 3 Ratios'!$B$5),0)</f>
        <v>1042.9488</v>
      </c>
      <c r="AG325" s="60">
        <f>J325*IF(I325="SSD",'Scope 3 Ratios'!$B$9,'Scope 3 Ratios'!$B$8)</f>
        <v>0</v>
      </c>
      <c r="AH325" s="60">
        <f>IF(K325&lt;&gt;"N/A",K325*'Scope 3 Ratios'!$B$10,0)</f>
        <v>0</v>
      </c>
      <c r="AI325" s="60">
        <f>(VLOOKUP($E325,'AWS Platforms Ratios'!$A$2:$O$25,3,FALSE)-1)*'Scope 3 Ratios'!$B$7</f>
        <v>100</v>
      </c>
      <c r="AJ325" s="60">
        <f>'Scope 3 Ratios'!$B$2+AF325+AG325+AH325+AI325</f>
        <v>2142.9488</v>
      </c>
      <c r="AK325" s="60">
        <f>AJ325*'Scope 3 Ratios'!$B$4*(C325/D325)</f>
        <v>10.33443673</v>
      </c>
      <c r="AL325" s="61" t="s">
        <v>452</v>
      </c>
    </row>
    <row r="326" ht="15.0" customHeight="1">
      <c r="A326" s="56" t="s">
        <v>605</v>
      </c>
      <c r="B326" s="56" t="s">
        <v>80</v>
      </c>
      <c r="C326" s="56">
        <v>32.0</v>
      </c>
      <c r="D326" s="56">
        <f>VLOOKUP(E326,'AWS Platforms Ratios'!$A$2:$B$25,2,FALSE)</f>
        <v>96</v>
      </c>
      <c r="E326" s="57" t="s">
        <v>237</v>
      </c>
      <c r="F326" s="56">
        <v>256.0</v>
      </c>
      <c r="G326" s="56">
        <v>768.0</v>
      </c>
      <c r="H326" s="57" t="s">
        <v>71</v>
      </c>
      <c r="I326" s="56" t="s">
        <v>72</v>
      </c>
      <c r="J326" s="63">
        <v>0.0</v>
      </c>
      <c r="K326" s="58" t="s">
        <v>73</v>
      </c>
      <c r="L326" s="58" t="s">
        <v>73</v>
      </c>
      <c r="M326" s="58" t="s">
        <v>73</v>
      </c>
      <c r="N326" s="58" t="s">
        <v>73</v>
      </c>
      <c r="O326" s="59">
        <f>($C326/$D326)*VLOOKUP($E326,'AWS Platforms Ratios'!$A$2:$O$25,7,FALSE)</f>
        <v>18.23666667</v>
      </c>
      <c r="P326" s="59">
        <f>($C326/$D326)*VLOOKUP($E326,'AWS Platforms Ratios'!$A$2:$O$25,8,FALSE)</f>
        <v>45.97333333</v>
      </c>
      <c r="Q326" s="59">
        <f>($C326/$D326)*VLOOKUP($E326,'AWS Platforms Ratios'!$A$2:$O$25,9,FALSE)</f>
        <v>102.31</v>
      </c>
      <c r="R326" s="59">
        <f>($C326/$D326)*VLOOKUP($E326,'AWS Platforms Ratios'!$A$2:$O$25,10,FALSE)</f>
        <v>148.4608333</v>
      </c>
      <c r="S326" s="59">
        <f>$F326*VLOOKUP($E326,'AWS Platforms Ratios'!$A$2:$O$25,11,FALSE)</f>
        <v>39.81</v>
      </c>
      <c r="T326" s="59">
        <f>$F326*VLOOKUP($E326,'AWS Platforms Ratios'!$A$2:$O$25,12,FALSE)</f>
        <v>65.88666667</v>
      </c>
      <c r="U326" s="59">
        <f>$F326*VLOOKUP($E326,'AWS Platforms Ratios'!$A$2:$O$25,13,FALSE)</f>
        <v>117.9266667</v>
      </c>
      <c r="V326" s="59">
        <f>$F326*VLOOKUP($E326,'AWS Platforms Ratios'!$A$2:$O$25,14,FALSE)</f>
        <v>169.9666667</v>
      </c>
      <c r="W326" s="60">
        <f>IF($K326&lt;&gt;"N/A",$M326*(VLOOKUP($L326,'GPU Specs &amp; Ratios'!$B$2:$I$8,5,FALSE)),0)</f>
        <v>0</v>
      </c>
      <c r="X326" s="60">
        <f>IF($K326&lt;&gt;"N/A",$M326*(VLOOKUP($L326,'GPU Specs &amp; Ratios'!$B$2:$I$8,6,FALSE)),0)</f>
        <v>0</v>
      </c>
      <c r="Y326" s="60">
        <f>IF($K326&lt;&gt;"N/A",$M326*(VLOOKUP($L326,'GPU Specs &amp; Ratios'!$B$2:$I$8,7,FALSE)),0)</f>
        <v>0</v>
      </c>
      <c r="Z326" s="60">
        <f>IF($K326&lt;&gt;"N/A",$M326*(VLOOKUP($L326,'GPU Specs &amp; Ratios'!$B$2:$I$8,8,FALSE)),0)</f>
        <v>0</v>
      </c>
      <c r="AA326" s="60">
        <f>(C326/D326)*VLOOKUP($E326,'AWS Platforms Ratios'!$A$2:$O$25,15,FALSE)</f>
        <v>28</v>
      </c>
      <c r="AB326" s="60">
        <f t="shared" ref="AB326:AE326" si="326">O326+S326+W326+$AA326</f>
        <v>86.04666667</v>
      </c>
      <c r="AC326" s="60">
        <f t="shared" si="326"/>
        <v>139.86</v>
      </c>
      <c r="AD326" s="60">
        <f t="shared" si="326"/>
        <v>248.2366667</v>
      </c>
      <c r="AE326" s="60">
        <f t="shared" si="326"/>
        <v>346.4275</v>
      </c>
      <c r="AF326" s="60">
        <f>IF(G326&gt;'Scope 3 Ratios'!$B$5,(G326-'Scope 3 Ratios'!$B$5)*('Scope 3 Ratios'!$B$6/'Scope 3 Ratios'!$B$5),0)</f>
        <v>1042.9488</v>
      </c>
      <c r="AG326" s="60">
        <f>J326*IF(I326="SSD",'Scope 3 Ratios'!$B$9,'Scope 3 Ratios'!$B$8)</f>
        <v>0</v>
      </c>
      <c r="AH326" s="60">
        <f>IF(K326&lt;&gt;"N/A",K326*'Scope 3 Ratios'!$B$10,0)</f>
        <v>0</v>
      </c>
      <c r="AI326" s="60">
        <f>(VLOOKUP($E326,'AWS Platforms Ratios'!$A$2:$O$25,3,FALSE)-1)*'Scope 3 Ratios'!$B$7</f>
        <v>100</v>
      </c>
      <c r="AJ326" s="60">
        <f>'Scope 3 Ratios'!$B$2+AF326+AG326+AH326+AI326</f>
        <v>2142.9488</v>
      </c>
      <c r="AK326" s="60">
        <f>AJ326*'Scope 3 Ratios'!$B$4*(C326/D326)</f>
        <v>20.66887346</v>
      </c>
      <c r="AL326" s="61" t="s">
        <v>452</v>
      </c>
    </row>
    <row r="327" ht="15.0" customHeight="1">
      <c r="A327" s="56" t="s">
        <v>606</v>
      </c>
      <c r="B327" s="56" t="s">
        <v>80</v>
      </c>
      <c r="C327" s="56">
        <v>48.0</v>
      </c>
      <c r="D327" s="56">
        <f>VLOOKUP(E327,'AWS Platforms Ratios'!$A$2:$B$25,2,FALSE)</f>
        <v>96</v>
      </c>
      <c r="E327" s="57" t="s">
        <v>237</v>
      </c>
      <c r="F327" s="56">
        <v>384.0</v>
      </c>
      <c r="G327" s="56">
        <v>768.0</v>
      </c>
      <c r="H327" s="57" t="s">
        <v>71</v>
      </c>
      <c r="I327" s="56" t="s">
        <v>72</v>
      </c>
      <c r="J327" s="63">
        <v>0.0</v>
      </c>
      <c r="K327" s="58" t="s">
        <v>73</v>
      </c>
      <c r="L327" s="58" t="s">
        <v>73</v>
      </c>
      <c r="M327" s="58" t="s">
        <v>73</v>
      </c>
      <c r="N327" s="58" t="s">
        <v>73</v>
      </c>
      <c r="O327" s="59">
        <f>($C327/$D327)*VLOOKUP($E327,'AWS Platforms Ratios'!$A$2:$O$25,7,FALSE)</f>
        <v>27.355</v>
      </c>
      <c r="P327" s="59">
        <f>($C327/$D327)*VLOOKUP($E327,'AWS Platforms Ratios'!$A$2:$O$25,8,FALSE)</f>
        <v>68.96</v>
      </c>
      <c r="Q327" s="59">
        <f>($C327/$D327)*VLOOKUP($E327,'AWS Platforms Ratios'!$A$2:$O$25,9,FALSE)</f>
        <v>153.465</v>
      </c>
      <c r="R327" s="59">
        <f>($C327/$D327)*VLOOKUP($E327,'AWS Platforms Ratios'!$A$2:$O$25,10,FALSE)</f>
        <v>222.69125</v>
      </c>
      <c r="S327" s="59">
        <f>$F327*VLOOKUP($E327,'AWS Platforms Ratios'!$A$2:$O$25,11,FALSE)</f>
        <v>59.715</v>
      </c>
      <c r="T327" s="59">
        <f>$F327*VLOOKUP($E327,'AWS Platforms Ratios'!$A$2:$O$25,12,FALSE)</f>
        <v>98.83</v>
      </c>
      <c r="U327" s="59">
        <f>$F327*VLOOKUP($E327,'AWS Platforms Ratios'!$A$2:$O$25,13,FALSE)</f>
        <v>176.89</v>
      </c>
      <c r="V327" s="59">
        <f>$F327*VLOOKUP($E327,'AWS Platforms Ratios'!$A$2:$O$25,14,FALSE)</f>
        <v>254.95</v>
      </c>
      <c r="W327" s="60">
        <f>IF($K327&lt;&gt;"N/A",$M327*(VLOOKUP($L327,'GPU Specs &amp; Ratios'!$B$2:$I$8,5,FALSE)),0)</f>
        <v>0</v>
      </c>
      <c r="X327" s="60">
        <f>IF($K327&lt;&gt;"N/A",$M327*(VLOOKUP($L327,'GPU Specs &amp; Ratios'!$B$2:$I$8,6,FALSE)),0)</f>
        <v>0</v>
      </c>
      <c r="Y327" s="60">
        <f>IF($K327&lt;&gt;"N/A",$M327*(VLOOKUP($L327,'GPU Specs &amp; Ratios'!$B$2:$I$8,7,FALSE)),0)</f>
        <v>0</v>
      </c>
      <c r="Z327" s="60">
        <f>IF($K327&lt;&gt;"N/A",$M327*(VLOOKUP($L327,'GPU Specs &amp; Ratios'!$B$2:$I$8,8,FALSE)),0)</f>
        <v>0</v>
      </c>
      <c r="AA327" s="60">
        <f>(C327/D327)*VLOOKUP($E327,'AWS Platforms Ratios'!$A$2:$O$25,15,FALSE)</f>
        <v>42</v>
      </c>
      <c r="AB327" s="60">
        <f t="shared" ref="AB327:AE327" si="327">O327+S327+W327+$AA327</f>
        <v>129.07</v>
      </c>
      <c r="AC327" s="60">
        <f t="shared" si="327"/>
        <v>209.79</v>
      </c>
      <c r="AD327" s="60">
        <f t="shared" si="327"/>
        <v>372.355</v>
      </c>
      <c r="AE327" s="60">
        <f t="shared" si="327"/>
        <v>519.64125</v>
      </c>
      <c r="AF327" s="60">
        <f>IF(G327&gt;'Scope 3 Ratios'!$B$5,(G327-'Scope 3 Ratios'!$B$5)*('Scope 3 Ratios'!$B$6/'Scope 3 Ratios'!$B$5),0)</f>
        <v>1042.9488</v>
      </c>
      <c r="AG327" s="60">
        <f>J327*IF(I327="SSD",'Scope 3 Ratios'!$B$9,'Scope 3 Ratios'!$B$8)</f>
        <v>0</v>
      </c>
      <c r="AH327" s="60">
        <f>IF(K327&lt;&gt;"N/A",K327*'Scope 3 Ratios'!$B$10,0)</f>
        <v>0</v>
      </c>
      <c r="AI327" s="60">
        <f>(VLOOKUP($E327,'AWS Platforms Ratios'!$A$2:$O$25,3,FALSE)-1)*'Scope 3 Ratios'!$B$7</f>
        <v>100</v>
      </c>
      <c r="AJ327" s="60">
        <f>'Scope 3 Ratios'!$B$2+AF327+AG327+AH327+AI327</f>
        <v>2142.9488</v>
      </c>
      <c r="AK327" s="60">
        <f>AJ327*'Scope 3 Ratios'!$B$4*(C327/D327)</f>
        <v>31.00331019</v>
      </c>
      <c r="AL327" s="61" t="s">
        <v>452</v>
      </c>
    </row>
    <row r="328" ht="15.0" customHeight="1">
      <c r="A328" s="56" t="s">
        <v>607</v>
      </c>
      <c r="B328" s="56" t="s">
        <v>80</v>
      </c>
      <c r="C328" s="56">
        <v>64.0</v>
      </c>
      <c r="D328" s="56">
        <f>VLOOKUP(E328,'AWS Platforms Ratios'!$A$2:$B$25,2,FALSE)</f>
        <v>96</v>
      </c>
      <c r="E328" s="57" t="s">
        <v>237</v>
      </c>
      <c r="F328" s="56">
        <v>512.0</v>
      </c>
      <c r="G328" s="56">
        <v>768.0</v>
      </c>
      <c r="H328" s="57" t="s">
        <v>71</v>
      </c>
      <c r="I328" s="56" t="s">
        <v>72</v>
      </c>
      <c r="J328" s="63">
        <v>0.0</v>
      </c>
      <c r="K328" s="58" t="s">
        <v>73</v>
      </c>
      <c r="L328" s="58" t="s">
        <v>73</v>
      </c>
      <c r="M328" s="58" t="s">
        <v>73</v>
      </c>
      <c r="N328" s="58" t="s">
        <v>73</v>
      </c>
      <c r="O328" s="59">
        <f>($C328/$D328)*VLOOKUP($E328,'AWS Platforms Ratios'!$A$2:$O$25,7,FALSE)</f>
        <v>36.47333333</v>
      </c>
      <c r="P328" s="59">
        <f>($C328/$D328)*VLOOKUP($E328,'AWS Platforms Ratios'!$A$2:$O$25,8,FALSE)</f>
        <v>91.94666667</v>
      </c>
      <c r="Q328" s="59">
        <f>($C328/$D328)*VLOOKUP($E328,'AWS Platforms Ratios'!$A$2:$O$25,9,FALSE)</f>
        <v>204.62</v>
      </c>
      <c r="R328" s="59">
        <f>($C328/$D328)*VLOOKUP($E328,'AWS Platforms Ratios'!$A$2:$O$25,10,FALSE)</f>
        <v>296.9216667</v>
      </c>
      <c r="S328" s="59">
        <f>$F328*VLOOKUP($E328,'AWS Platforms Ratios'!$A$2:$O$25,11,FALSE)</f>
        <v>79.62</v>
      </c>
      <c r="T328" s="59">
        <f>$F328*VLOOKUP($E328,'AWS Platforms Ratios'!$A$2:$O$25,12,FALSE)</f>
        <v>131.7733333</v>
      </c>
      <c r="U328" s="59">
        <f>$F328*VLOOKUP($E328,'AWS Platforms Ratios'!$A$2:$O$25,13,FALSE)</f>
        <v>235.8533333</v>
      </c>
      <c r="V328" s="59">
        <f>$F328*VLOOKUP($E328,'AWS Platforms Ratios'!$A$2:$O$25,14,FALSE)</f>
        <v>339.9333333</v>
      </c>
      <c r="W328" s="60">
        <f>IF($K328&lt;&gt;"N/A",$M328*(VLOOKUP($L328,'GPU Specs &amp; Ratios'!$B$2:$I$8,5,FALSE)),0)</f>
        <v>0</v>
      </c>
      <c r="X328" s="60">
        <f>IF($K328&lt;&gt;"N/A",$M328*(VLOOKUP($L328,'GPU Specs &amp; Ratios'!$B$2:$I$8,6,FALSE)),0)</f>
        <v>0</v>
      </c>
      <c r="Y328" s="60">
        <f>IF($K328&lt;&gt;"N/A",$M328*(VLOOKUP($L328,'GPU Specs &amp; Ratios'!$B$2:$I$8,7,FALSE)),0)</f>
        <v>0</v>
      </c>
      <c r="Z328" s="60">
        <f>IF($K328&lt;&gt;"N/A",$M328*(VLOOKUP($L328,'GPU Specs &amp; Ratios'!$B$2:$I$8,8,FALSE)),0)</f>
        <v>0</v>
      </c>
      <c r="AA328" s="60">
        <f>(C328/D328)*VLOOKUP($E328,'AWS Platforms Ratios'!$A$2:$O$25,15,FALSE)</f>
        <v>56</v>
      </c>
      <c r="AB328" s="60">
        <f t="shared" ref="AB328:AE328" si="328">O328+S328+W328+$AA328</f>
        <v>172.0933333</v>
      </c>
      <c r="AC328" s="60">
        <f t="shared" si="328"/>
        <v>279.72</v>
      </c>
      <c r="AD328" s="60">
        <f t="shared" si="328"/>
        <v>496.4733333</v>
      </c>
      <c r="AE328" s="60">
        <f t="shared" si="328"/>
        <v>692.855</v>
      </c>
      <c r="AF328" s="60">
        <f>IF(G328&gt;'Scope 3 Ratios'!$B$5,(G328-'Scope 3 Ratios'!$B$5)*('Scope 3 Ratios'!$B$6/'Scope 3 Ratios'!$B$5),0)</f>
        <v>1042.9488</v>
      </c>
      <c r="AG328" s="60">
        <f>J328*IF(I328="SSD",'Scope 3 Ratios'!$B$9,'Scope 3 Ratios'!$B$8)</f>
        <v>0</v>
      </c>
      <c r="AH328" s="60">
        <f>IF(K328&lt;&gt;"N/A",K328*'Scope 3 Ratios'!$B$10,0)</f>
        <v>0</v>
      </c>
      <c r="AI328" s="60">
        <f>(VLOOKUP($E328,'AWS Platforms Ratios'!$A$2:$O$25,3,FALSE)-1)*'Scope 3 Ratios'!$B$7</f>
        <v>100</v>
      </c>
      <c r="AJ328" s="60">
        <f>'Scope 3 Ratios'!$B$2+AF328+AG328+AH328+AI328</f>
        <v>2142.9488</v>
      </c>
      <c r="AK328" s="60">
        <f>AJ328*'Scope 3 Ratios'!$B$4*(C328/D328)</f>
        <v>41.33774691</v>
      </c>
      <c r="AL328" s="61" t="s">
        <v>452</v>
      </c>
    </row>
    <row r="329" ht="15.0" customHeight="1">
      <c r="A329" s="56" t="s">
        <v>608</v>
      </c>
      <c r="B329" s="56" t="s">
        <v>80</v>
      </c>
      <c r="C329" s="56">
        <v>96.0</v>
      </c>
      <c r="D329" s="56">
        <f>VLOOKUP(E329,'AWS Platforms Ratios'!$A$2:$B$25,2,FALSE)</f>
        <v>96</v>
      </c>
      <c r="E329" s="57" t="s">
        <v>237</v>
      </c>
      <c r="F329" s="56">
        <v>768.0</v>
      </c>
      <c r="G329" s="56">
        <v>768.0</v>
      </c>
      <c r="H329" s="57" t="s">
        <v>71</v>
      </c>
      <c r="I329" s="56" t="s">
        <v>72</v>
      </c>
      <c r="J329" s="63">
        <v>0.0</v>
      </c>
      <c r="K329" s="58" t="s">
        <v>73</v>
      </c>
      <c r="L329" s="58" t="s">
        <v>73</v>
      </c>
      <c r="M329" s="58" t="s">
        <v>73</v>
      </c>
      <c r="N329" s="58" t="s">
        <v>73</v>
      </c>
      <c r="O329" s="59">
        <f>($C329/$D329)*VLOOKUP($E329,'AWS Platforms Ratios'!$A$2:$O$25,7,FALSE)</f>
        <v>54.71</v>
      </c>
      <c r="P329" s="59">
        <f>($C329/$D329)*VLOOKUP($E329,'AWS Platforms Ratios'!$A$2:$O$25,8,FALSE)</f>
        <v>137.92</v>
      </c>
      <c r="Q329" s="59">
        <f>($C329/$D329)*VLOOKUP($E329,'AWS Platforms Ratios'!$A$2:$O$25,9,FALSE)</f>
        <v>306.93</v>
      </c>
      <c r="R329" s="59">
        <f>($C329/$D329)*VLOOKUP($E329,'AWS Platforms Ratios'!$A$2:$O$25,10,FALSE)</f>
        <v>445.3825</v>
      </c>
      <c r="S329" s="59">
        <f>$F329*VLOOKUP($E329,'AWS Platforms Ratios'!$A$2:$O$25,11,FALSE)</f>
        <v>119.43</v>
      </c>
      <c r="T329" s="59">
        <f>$F329*VLOOKUP($E329,'AWS Platforms Ratios'!$A$2:$O$25,12,FALSE)</f>
        <v>197.66</v>
      </c>
      <c r="U329" s="59">
        <f>$F329*VLOOKUP($E329,'AWS Platforms Ratios'!$A$2:$O$25,13,FALSE)</f>
        <v>353.78</v>
      </c>
      <c r="V329" s="59">
        <f>$F329*VLOOKUP($E329,'AWS Platforms Ratios'!$A$2:$O$25,14,FALSE)</f>
        <v>509.9</v>
      </c>
      <c r="W329" s="60">
        <f>IF($K329&lt;&gt;"N/A",$M329*(VLOOKUP($L329,'GPU Specs &amp; Ratios'!$B$2:$I$8,5,FALSE)),0)</f>
        <v>0</v>
      </c>
      <c r="X329" s="60">
        <f>IF($K329&lt;&gt;"N/A",$M329*(VLOOKUP($L329,'GPU Specs &amp; Ratios'!$B$2:$I$8,6,FALSE)),0)</f>
        <v>0</v>
      </c>
      <c r="Y329" s="60">
        <f>IF($K329&lt;&gt;"N/A",$M329*(VLOOKUP($L329,'GPU Specs &amp; Ratios'!$B$2:$I$8,7,FALSE)),0)</f>
        <v>0</v>
      </c>
      <c r="Z329" s="60">
        <f>IF($K329&lt;&gt;"N/A",$M329*(VLOOKUP($L329,'GPU Specs &amp; Ratios'!$B$2:$I$8,8,FALSE)),0)</f>
        <v>0</v>
      </c>
      <c r="AA329" s="60">
        <f>(C329/D329)*VLOOKUP($E329,'AWS Platforms Ratios'!$A$2:$O$25,15,FALSE)</f>
        <v>84</v>
      </c>
      <c r="AB329" s="60">
        <f t="shared" ref="AB329:AE329" si="329">O329+S329+W329+$AA329</f>
        <v>258.14</v>
      </c>
      <c r="AC329" s="60">
        <f t="shared" si="329"/>
        <v>419.58</v>
      </c>
      <c r="AD329" s="60">
        <f t="shared" si="329"/>
        <v>744.71</v>
      </c>
      <c r="AE329" s="60">
        <f t="shared" si="329"/>
        <v>1039.2825</v>
      </c>
      <c r="AF329" s="60">
        <f>IF(G329&gt;'Scope 3 Ratios'!$B$5,(G329-'Scope 3 Ratios'!$B$5)*('Scope 3 Ratios'!$B$6/'Scope 3 Ratios'!$B$5),0)</f>
        <v>1042.9488</v>
      </c>
      <c r="AG329" s="60">
        <f>J329*IF(I329="SSD",'Scope 3 Ratios'!$B$9,'Scope 3 Ratios'!$B$8)</f>
        <v>0</v>
      </c>
      <c r="AH329" s="60">
        <f>IF(K329&lt;&gt;"N/A",K329*'Scope 3 Ratios'!$B$10,0)</f>
        <v>0</v>
      </c>
      <c r="AI329" s="60">
        <f>(VLOOKUP($E329,'AWS Platforms Ratios'!$A$2:$O$25,3,FALSE)-1)*'Scope 3 Ratios'!$B$7</f>
        <v>100</v>
      </c>
      <c r="AJ329" s="60">
        <f>'Scope 3 Ratios'!$B$2+AF329+AG329+AH329+AI329</f>
        <v>2142.9488</v>
      </c>
      <c r="AK329" s="60">
        <f>AJ329*'Scope 3 Ratios'!$B$4*(C329/D329)</f>
        <v>62.00662037</v>
      </c>
      <c r="AL329" s="61" t="s">
        <v>452</v>
      </c>
    </row>
    <row r="330" ht="15.0" customHeight="1">
      <c r="A330" s="56" t="s">
        <v>609</v>
      </c>
      <c r="B330" s="56" t="s">
        <v>461</v>
      </c>
      <c r="C330" s="56">
        <v>96.0</v>
      </c>
      <c r="D330" s="56">
        <f>VLOOKUP(E330,'AWS Platforms Ratios'!$A$2:$B$25,2,FALSE)</f>
        <v>96</v>
      </c>
      <c r="E330" s="57" t="s">
        <v>237</v>
      </c>
      <c r="F330" s="56">
        <v>768.0</v>
      </c>
      <c r="G330" s="56">
        <v>768.0</v>
      </c>
      <c r="H330" s="57" t="s">
        <v>71</v>
      </c>
      <c r="I330" s="56" t="s">
        <v>72</v>
      </c>
      <c r="J330" s="63">
        <v>0.0</v>
      </c>
      <c r="K330" s="58" t="s">
        <v>73</v>
      </c>
      <c r="L330" s="58" t="s">
        <v>73</v>
      </c>
      <c r="M330" s="58" t="s">
        <v>73</v>
      </c>
      <c r="N330" s="58" t="s">
        <v>73</v>
      </c>
      <c r="O330" s="59">
        <f>($C330/$D330)*VLOOKUP($E330,'AWS Platforms Ratios'!$A$2:$O$25,7,FALSE)</f>
        <v>54.71</v>
      </c>
      <c r="P330" s="59">
        <f>($C330/$D330)*VLOOKUP($E330,'AWS Platforms Ratios'!$A$2:$O$25,8,FALSE)</f>
        <v>137.92</v>
      </c>
      <c r="Q330" s="59">
        <f>($C330/$D330)*VLOOKUP($E330,'AWS Platforms Ratios'!$A$2:$O$25,9,FALSE)</f>
        <v>306.93</v>
      </c>
      <c r="R330" s="59">
        <f>($C330/$D330)*VLOOKUP($E330,'AWS Platforms Ratios'!$A$2:$O$25,10,FALSE)</f>
        <v>445.3825</v>
      </c>
      <c r="S330" s="59">
        <f>$F330*VLOOKUP($E330,'AWS Platforms Ratios'!$A$2:$O$25,11,FALSE)</f>
        <v>119.43</v>
      </c>
      <c r="T330" s="59">
        <f>$F330*VLOOKUP($E330,'AWS Platforms Ratios'!$A$2:$O$25,12,FALSE)</f>
        <v>197.66</v>
      </c>
      <c r="U330" s="59">
        <f>$F330*VLOOKUP($E330,'AWS Platforms Ratios'!$A$2:$O$25,13,FALSE)</f>
        <v>353.78</v>
      </c>
      <c r="V330" s="59">
        <f>$F330*VLOOKUP($E330,'AWS Platforms Ratios'!$A$2:$O$25,14,FALSE)</f>
        <v>509.9</v>
      </c>
      <c r="W330" s="60">
        <f>IF($K330&lt;&gt;"N/A",$M330*(VLOOKUP($L330,'GPU Specs &amp; Ratios'!$B$2:$I$8,5,FALSE)),0)</f>
        <v>0</v>
      </c>
      <c r="X330" s="60">
        <f>IF($K330&lt;&gt;"N/A",$M330*(VLOOKUP($L330,'GPU Specs &amp; Ratios'!$B$2:$I$8,6,FALSE)),0)</f>
        <v>0</v>
      </c>
      <c r="Y330" s="60">
        <f>IF($K330&lt;&gt;"N/A",$M330*(VLOOKUP($L330,'GPU Specs &amp; Ratios'!$B$2:$I$8,7,FALSE)),0)</f>
        <v>0</v>
      </c>
      <c r="Z330" s="60">
        <f>IF($K330&lt;&gt;"N/A",$M330*(VLOOKUP($L330,'GPU Specs &amp; Ratios'!$B$2:$I$8,8,FALSE)),0)</f>
        <v>0</v>
      </c>
      <c r="AA330" s="60">
        <f>(C330/D330)*VLOOKUP($E330,'AWS Platforms Ratios'!$A$2:$O$25,15,FALSE)</f>
        <v>84</v>
      </c>
      <c r="AB330" s="60">
        <f t="shared" ref="AB330:AE330" si="330">O330+S330+W330+$AA330</f>
        <v>258.14</v>
      </c>
      <c r="AC330" s="60">
        <f t="shared" si="330"/>
        <v>419.58</v>
      </c>
      <c r="AD330" s="60">
        <f t="shared" si="330"/>
        <v>744.71</v>
      </c>
      <c r="AE330" s="60">
        <f t="shared" si="330"/>
        <v>1039.2825</v>
      </c>
      <c r="AF330" s="60">
        <f>IF(G330&gt;'Scope 3 Ratios'!$B$5,(G330-'Scope 3 Ratios'!$B$5)*('Scope 3 Ratios'!$B$6/'Scope 3 Ratios'!$B$5),0)</f>
        <v>1042.9488</v>
      </c>
      <c r="AG330" s="60">
        <f>J330*IF(I330="SSD",'Scope 3 Ratios'!$B$9,'Scope 3 Ratios'!$B$8)</f>
        <v>0</v>
      </c>
      <c r="AH330" s="60">
        <f>IF(K330&lt;&gt;"N/A",K330*'Scope 3 Ratios'!$B$10,0)</f>
        <v>0</v>
      </c>
      <c r="AI330" s="60">
        <f>(VLOOKUP($E330,'AWS Platforms Ratios'!$A$2:$O$25,3,FALSE)-1)*'Scope 3 Ratios'!$B$7</f>
        <v>100</v>
      </c>
      <c r="AJ330" s="60">
        <f>'Scope 3 Ratios'!$B$2+AF330+AG330+AH330+AI330</f>
        <v>2142.9488</v>
      </c>
      <c r="AK330" s="60">
        <f>AJ330*'Scope 3 Ratios'!$B$4*(C330/D330)</f>
        <v>62.00662037</v>
      </c>
      <c r="AL330" s="61" t="s">
        <v>452</v>
      </c>
    </row>
    <row r="331" ht="15.0" customHeight="1">
      <c r="A331" s="63" t="s">
        <v>610</v>
      </c>
      <c r="B331" s="56" t="s">
        <v>236</v>
      </c>
      <c r="C331" s="63">
        <v>2.0</v>
      </c>
      <c r="D331" s="56">
        <f>VLOOKUP(E331,'AWS Platforms Ratios'!$A$2:$B$25,2,FALSE)</f>
        <v>96</v>
      </c>
      <c r="E331" s="63" t="s">
        <v>237</v>
      </c>
      <c r="F331" s="63">
        <v>16.0</v>
      </c>
      <c r="G331" s="56">
        <v>768.0</v>
      </c>
      <c r="H331" s="64" t="s">
        <v>71</v>
      </c>
      <c r="I331" s="56" t="s">
        <v>72</v>
      </c>
      <c r="J331" s="63">
        <v>0.0</v>
      </c>
      <c r="K331" s="58" t="s">
        <v>73</v>
      </c>
      <c r="L331" s="58" t="s">
        <v>73</v>
      </c>
      <c r="M331" s="58" t="s">
        <v>73</v>
      </c>
      <c r="N331" s="58" t="s">
        <v>73</v>
      </c>
      <c r="O331" s="59">
        <f>($C331/$D331)*VLOOKUP($E331,'AWS Platforms Ratios'!$A$2:$O$25,7,FALSE)</f>
        <v>1.139791667</v>
      </c>
      <c r="P331" s="59">
        <f>($C331/$D331)*VLOOKUP($E331,'AWS Platforms Ratios'!$A$2:$O$25,8,FALSE)</f>
        <v>2.873333333</v>
      </c>
      <c r="Q331" s="59">
        <f>($C331/$D331)*VLOOKUP($E331,'AWS Platforms Ratios'!$A$2:$O$25,9,FALSE)</f>
        <v>6.394375</v>
      </c>
      <c r="R331" s="59">
        <f>($C331/$D331)*VLOOKUP($E331,'AWS Platforms Ratios'!$A$2:$O$25,10,FALSE)</f>
        <v>9.278802083</v>
      </c>
      <c r="S331" s="59">
        <f>$F331*VLOOKUP($E331,'AWS Platforms Ratios'!$A$2:$O$25,11,FALSE)</f>
        <v>2.488125</v>
      </c>
      <c r="T331" s="59">
        <f>$F331*VLOOKUP($E331,'AWS Platforms Ratios'!$A$2:$O$25,12,FALSE)</f>
        <v>4.117916667</v>
      </c>
      <c r="U331" s="59">
        <f>$F331*VLOOKUP($E331,'AWS Platforms Ratios'!$A$2:$O$25,13,FALSE)</f>
        <v>7.370416667</v>
      </c>
      <c r="V331" s="59">
        <f>$F331*VLOOKUP($E331,'AWS Platforms Ratios'!$A$2:$O$25,14,FALSE)</f>
        <v>10.62291667</v>
      </c>
      <c r="W331" s="60">
        <f>IF($K331&lt;&gt;"N/A",$M331*(VLOOKUP($L331,'GPU Specs &amp; Ratios'!$B$2:$I$8,5,FALSE)),0)</f>
        <v>0</v>
      </c>
      <c r="X331" s="60">
        <f>IF($K331&lt;&gt;"N/A",$M331*(VLOOKUP($L331,'GPU Specs &amp; Ratios'!$B$2:$I$8,6,FALSE)),0)</f>
        <v>0</v>
      </c>
      <c r="Y331" s="60">
        <f>IF($K331&lt;&gt;"N/A",$M331*(VLOOKUP($L331,'GPU Specs &amp; Ratios'!$B$2:$I$8,7,FALSE)),0)</f>
        <v>0</v>
      </c>
      <c r="Z331" s="60">
        <f>IF($K331&lt;&gt;"N/A",$M331*(VLOOKUP($L331,'GPU Specs &amp; Ratios'!$B$2:$I$8,8,FALSE)),0)</f>
        <v>0</v>
      </c>
      <c r="AA331" s="60">
        <f>(C331/D331)*VLOOKUP($E331,'AWS Platforms Ratios'!$A$2:$O$25,15,FALSE)</f>
        <v>1.75</v>
      </c>
      <c r="AB331" s="60">
        <f t="shared" ref="AB331:AE331" si="331">O331+S331+W331+$AA331</f>
        <v>5.377916667</v>
      </c>
      <c r="AC331" s="60">
        <f t="shared" si="331"/>
        <v>8.74125</v>
      </c>
      <c r="AD331" s="60">
        <f t="shared" si="331"/>
        <v>15.51479167</v>
      </c>
      <c r="AE331" s="60">
        <f t="shared" si="331"/>
        <v>21.65171875</v>
      </c>
      <c r="AF331" s="60">
        <f>IF(G331&gt;'Scope 3 Ratios'!$B$5,(G331-'Scope 3 Ratios'!$B$5)*('Scope 3 Ratios'!$B$6/'Scope 3 Ratios'!$B$5),0)</f>
        <v>1042.9488</v>
      </c>
      <c r="AG331" s="60">
        <f>J331*IF(I331="SSD",'Scope 3 Ratios'!$B$9,'Scope 3 Ratios'!$B$8)</f>
        <v>0</v>
      </c>
      <c r="AH331" s="60">
        <f>IF(K331&lt;&gt;"N/A",K331*'Scope 3 Ratios'!$B$10,0)</f>
        <v>0</v>
      </c>
      <c r="AI331" s="60">
        <f>(VLOOKUP($E331,'AWS Platforms Ratios'!$A$2:$O$25,3,FALSE)-1)*'Scope 3 Ratios'!$B$7</f>
        <v>100</v>
      </c>
      <c r="AJ331" s="60">
        <f>'Scope 3 Ratios'!$B$2+AF331+AG331+AH331+AI331</f>
        <v>2142.9488</v>
      </c>
      <c r="AK331" s="60">
        <f>AJ331*'Scope 3 Ratios'!$B$4*(C331/D331)</f>
        <v>1.291804591</v>
      </c>
      <c r="AL331" s="65"/>
    </row>
    <row r="332" ht="15.0" customHeight="1">
      <c r="A332" s="63" t="s">
        <v>611</v>
      </c>
      <c r="B332" s="56" t="s">
        <v>236</v>
      </c>
      <c r="C332" s="63">
        <v>4.0</v>
      </c>
      <c r="D332" s="56">
        <f>VLOOKUP(E332,'AWS Platforms Ratios'!$A$2:$B$25,2,FALSE)</f>
        <v>96</v>
      </c>
      <c r="E332" s="63" t="s">
        <v>237</v>
      </c>
      <c r="F332" s="63">
        <v>32.0</v>
      </c>
      <c r="G332" s="56">
        <v>768.0</v>
      </c>
      <c r="H332" s="64" t="s">
        <v>71</v>
      </c>
      <c r="I332" s="56" t="s">
        <v>72</v>
      </c>
      <c r="J332" s="63">
        <v>0.0</v>
      </c>
      <c r="K332" s="58" t="s">
        <v>73</v>
      </c>
      <c r="L332" s="58" t="s">
        <v>73</v>
      </c>
      <c r="M332" s="58" t="s">
        <v>73</v>
      </c>
      <c r="N332" s="58" t="s">
        <v>73</v>
      </c>
      <c r="O332" s="59">
        <f>($C332/$D332)*VLOOKUP($E332,'AWS Platforms Ratios'!$A$2:$O$25,7,FALSE)</f>
        <v>2.279583333</v>
      </c>
      <c r="P332" s="59">
        <f>($C332/$D332)*VLOOKUP($E332,'AWS Platforms Ratios'!$A$2:$O$25,8,FALSE)</f>
        <v>5.746666667</v>
      </c>
      <c r="Q332" s="59">
        <f>($C332/$D332)*VLOOKUP($E332,'AWS Platforms Ratios'!$A$2:$O$25,9,FALSE)</f>
        <v>12.78875</v>
      </c>
      <c r="R332" s="59">
        <f>($C332/$D332)*VLOOKUP($E332,'AWS Platforms Ratios'!$A$2:$O$25,10,FALSE)</f>
        <v>18.55760417</v>
      </c>
      <c r="S332" s="59">
        <f>$F332*VLOOKUP($E332,'AWS Platforms Ratios'!$A$2:$O$25,11,FALSE)</f>
        <v>4.97625</v>
      </c>
      <c r="T332" s="59">
        <f>$F332*VLOOKUP($E332,'AWS Platforms Ratios'!$A$2:$O$25,12,FALSE)</f>
        <v>8.235833333</v>
      </c>
      <c r="U332" s="59">
        <f>$F332*VLOOKUP($E332,'AWS Platforms Ratios'!$A$2:$O$25,13,FALSE)</f>
        <v>14.74083333</v>
      </c>
      <c r="V332" s="59">
        <f>$F332*VLOOKUP($E332,'AWS Platforms Ratios'!$A$2:$O$25,14,FALSE)</f>
        <v>21.24583333</v>
      </c>
      <c r="W332" s="60">
        <f>IF($K332&lt;&gt;"N/A",$M332*(VLOOKUP($L332,'GPU Specs &amp; Ratios'!$B$2:$I$8,5,FALSE)),0)</f>
        <v>0</v>
      </c>
      <c r="X332" s="60">
        <f>IF($K332&lt;&gt;"N/A",$M332*(VLOOKUP($L332,'GPU Specs &amp; Ratios'!$B$2:$I$8,6,FALSE)),0)</f>
        <v>0</v>
      </c>
      <c r="Y332" s="60">
        <f>IF($K332&lt;&gt;"N/A",$M332*(VLOOKUP($L332,'GPU Specs &amp; Ratios'!$B$2:$I$8,7,FALSE)),0)</f>
        <v>0</v>
      </c>
      <c r="Z332" s="60">
        <f>IF($K332&lt;&gt;"N/A",$M332*(VLOOKUP($L332,'GPU Specs &amp; Ratios'!$B$2:$I$8,8,FALSE)),0)</f>
        <v>0</v>
      </c>
      <c r="AA332" s="60">
        <f>(C332/D332)*VLOOKUP($E332,'AWS Platforms Ratios'!$A$2:$O$25,15,FALSE)</f>
        <v>3.5</v>
      </c>
      <c r="AB332" s="60">
        <f t="shared" ref="AB332:AE332" si="332">O332+S332+W332+$AA332</f>
        <v>10.75583333</v>
      </c>
      <c r="AC332" s="60">
        <f t="shared" si="332"/>
        <v>17.4825</v>
      </c>
      <c r="AD332" s="60">
        <f t="shared" si="332"/>
        <v>31.02958333</v>
      </c>
      <c r="AE332" s="60">
        <f t="shared" si="332"/>
        <v>43.3034375</v>
      </c>
      <c r="AF332" s="60">
        <f>IF(G332&gt;'Scope 3 Ratios'!$B$5,(G332-'Scope 3 Ratios'!$B$5)*('Scope 3 Ratios'!$B$6/'Scope 3 Ratios'!$B$5),0)</f>
        <v>1042.9488</v>
      </c>
      <c r="AG332" s="60">
        <f>J332*IF(I332="SSD",'Scope 3 Ratios'!$B$9,'Scope 3 Ratios'!$B$8)</f>
        <v>0</v>
      </c>
      <c r="AH332" s="60">
        <f>IF(K332&lt;&gt;"N/A",K332*'Scope 3 Ratios'!$B$10,0)</f>
        <v>0</v>
      </c>
      <c r="AI332" s="60">
        <f>(VLOOKUP($E332,'AWS Platforms Ratios'!$A$2:$O$25,3,FALSE)-1)*'Scope 3 Ratios'!$B$7</f>
        <v>100</v>
      </c>
      <c r="AJ332" s="60">
        <f>'Scope 3 Ratios'!$B$2+AF332+AG332+AH332+AI332</f>
        <v>2142.9488</v>
      </c>
      <c r="AK332" s="60">
        <f>AJ332*'Scope 3 Ratios'!$B$4*(C332/D332)</f>
        <v>2.583609182</v>
      </c>
      <c r="AL332" s="65"/>
    </row>
    <row r="333" ht="15.0" customHeight="1">
      <c r="A333" s="63" t="s">
        <v>612</v>
      </c>
      <c r="B333" s="56" t="s">
        <v>236</v>
      </c>
      <c r="C333" s="63">
        <v>8.0</v>
      </c>
      <c r="D333" s="56">
        <f>VLOOKUP(E333,'AWS Platforms Ratios'!$A$2:$B$25,2,FALSE)</f>
        <v>96</v>
      </c>
      <c r="E333" s="63" t="s">
        <v>237</v>
      </c>
      <c r="F333" s="63">
        <v>64.0</v>
      </c>
      <c r="G333" s="56">
        <v>768.0</v>
      </c>
      <c r="H333" s="64" t="s">
        <v>71</v>
      </c>
      <c r="I333" s="56" t="s">
        <v>72</v>
      </c>
      <c r="J333" s="63">
        <v>0.0</v>
      </c>
      <c r="K333" s="58" t="s">
        <v>73</v>
      </c>
      <c r="L333" s="58" t="s">
        <v>73</v>
      </c>
      <c r="M333" s="58" t="s">
        <v>73</v>
      </c>
      <c r="N333" s="58" t="s">
        <v>73</v>
      </c>
      <c r="O333" s="59">
        <f>($C333/$D333)*VLOOKUP($E333,'AWS Platforms Ratios'!$A$2:$O$25,7,FALSE)</f>
        <v>4.559166667</v>
      </c>
      <c r="P333" s="59">
        <f>($C333/$D333)*VLOOKUP($E333,'AWS Platforms Ratios'!$A$2:$O$25,8,FALSE)</f>
        <v>11.49333333</v>
      </c>
      <c r="Q333" s="59">
        <f>($C333/$D333)*VLOOKUP($E333,'AWS Platforms Ratios'!$A$2:$O$25,9,FALSE)</f>
        <v>25.5775</v>
      </c>
      <c r="R333" s="59">
        <f>($C333/$D333)*VLOOKUP($E333,'AWS Platforms Ratios'!$A$2:$O$25,10,FALSE)</f>
        <v>37.11520833</v>
      </c>
      <c r="S333" s="59">
        <f>$F333*VLOOKUP($E333,'AWS Platforms Ratios'!$A$2:$O$25,11,FALSE)</f>
        <v>9.9525</v>
      </c>
      <c r="T333" s="59">
        <f>$F333*VLOOKUP($E333,'AWS Platforms Ratios'!$A$2:$O$25,12,FALSE)</f>
        <v>16.47166667</v>
      </c>
      <c r="U333" s="59">
        <f>$F333*VLOOKUP($E333,'AWS Platforms Ratios'!$A$2:$O$25,13,FALSE)</f>
        <v>29.48166667</v>
      </c>
      <c r="V333" s="59">
        <f>$F333*VLOOKUP($E333,'AWS Platforms Ratios'!$A$2:$O$25,14,FALSE)</f>
        <v>42.49166667</v>
      </c>
      <c r="W333" s="60">
        <f>IF($K333&lt;&gt;"N/A",$M333*(VLOOKUP($L333,'GPU Specs &amp; Ratios'!$B$2:$I$8,5,FALSE)),0)</f>
        <v>0</v>
      </c>
      <c r="X333" s="60">
        <f>IF($K333&lt;&gt;"N/A",$M333*(VLOOKUP($L333,'GPU Specs &amp; Ratios'!$B$2:$I$8,6,FALSE)),0)</f>
        <v>0</v>
      </c>
      <c r="Y333" s="60">
        <f>IF($K333&lt;&gt;"N/A",$M333*(VLOOKUP($L333,'GPU Specs &amp; Ratios'!$B$2:$I$8,7,FALSE)),0)</f>
        <v>0</v>
      </c>
      <c r="Z333" s="60">
        <f>IF($K333&lt;&gt;"N/A",$M333*(VLOOKUP($L333,'GPU Specs &amp; Ratios'!$B$2:$I$8,8,FALSE)),0)</f>
        <v>0</v>
      </c>
      <c r="AA333" s="60">
        <f>(C333/D333)*VLOOKUP($E333,'AWS Platforms Ratios'!$A$2:$O$25,15,FALSE)</f>
        <v>7</v>
      </c>
      <c r="AB333" s="60">
        <f t="shared" ref="AB333:AE333" si="333">O333+S333+W333+$AA333</f>
        <v>21.51166667</v>
      </c>
      <c r="AC333" s="60">
        <f t="shared" si="333"/>
        <v>34.965</v>
      </c>
      <c r="AD333" s="60">
        <f t="shared" si="333"/>
        <v>62.05916667</v>
      </c>
      <c r="AE333" s="60">
        <f t="shared" si="333"/>
        <v>86.606875</v>
      </c>
      <c r="AF333" s="60">
        <f>IF(G333&gt;'Scope 3 Ratios'!$B$5,(G333-'Scope 3 Ratios'!$B$5)*('Scope 3 Ratios'!$B$6/'Scope 3 Ratios'!$B$5),0)</f>
        <v>1042.9488</v>
      </c>
      <c r="AG333" s="60">
        <f>J333*IF(I333="SSD",'Scope 3 Ratios'!$B$9,'Scope 3 Ratios'!$B$8)</f>
        <v>0</v>
      </c>
      <c r="AH333" s="60">
        <f>IF(K333&lt;&gt;"N/A",K333*'Scope 3 Ratios'!$B$10,0)</f>
        <v>0</v>
      </c>
      <c r="AI333" s="60">
        <f>(VLOOKUP($E333,'AWS Platforms Ratios'!$A$2:$O$25,3,FALSE)-1)*'Scope 3 Ratios'!$B$7</f>
        <v>100</v>
      </c>
      <c r="AJ333" s="60">
        <f>'Scope 3 Ratios'!$B$2+AF333+AG333+AH333+AI333</f>
        <v>2142.9488</v>
      </c>
      <c r="AK333" s="60">
        <f>AJ333*'Scope 3 Ratios'!$B$4*(C333/D333)</f>
        <v>5.167218364</v>
      </c>
      <c r="AL333" s="65"/>
    </row>
    <row r="334" ht="15.0" customHeight="1">
      <c r="A334" s="63" t="s">
        <v>613</v>
      </c>
      <c r="B334" s="56" t="s">
        <v>236</v>
      </c>
      <c r="C334" s="63">
        <v>16.0</v>
      </c>
      <c r="D334" s="56">
        <f>VLOOKUP(E334,'AWS Platforms Ratios'!$A$2:$B$25,2,FALSE)</f>
        <v>96</v>
      </c>
      <c r="E334" s="63" t="s">
        <v>237</v>
      </c>
      <c r="F334" s="63">
        <v>128.0</v>
      </c>
      <c r="G334" s="56">
        <v>768.0</v>
      </c>
      <c r="H334" s="64" t="s">
        <v>71</v>
      </c>
      <c r="I334" s="56" t="s">
        <v>72</v>
      </c>
      <c r="J334" s="63">
        <v>0.0</v>
      </c>
      <c r="K334" s="58" t="s">
        <v>73</v>
      </c>
      <c r="L334" s="58" t="s">
        <v>73</v>
      </c>
      <c r="M334" s="58" t="s">
        <v>73</v>
      </c>
      <c r="N334" s="58" t="s">
        <v>73</v>
      </c>
      <c r="O334" s="59">
        <f>($C334/$D334)*VLOOKUP($E334,'AWS Platforms Ratios'!$A$2:$O$25,7,FALSE)</f>
        <v>9.118333333</v>
      </c>
      <c r="P334" s="59">
        <f>($C334/$D334)*VLOOKUP($E334,'AWS Platforms Ratios'!$A$2:$O$25,8,FALSE)</f>
        <v>22.98666667</v>
      </c>
      <c r="Q334" s="59">
        <f>($C334/$D334)*VLOOKUP($E334,'AWS Platforms Ratios'!$A$2:$O$25,9,FALSE)</f>
        <v>51.155</v>
      </c>
      <c r="R334" s="59">
        <f>($C334/$D334)*VLOOKUP($E334,'AWS Platforms Ratios'!$A$2:$O$25,10,FALSE)</f>
        <v>74.23041667</v>
      </c>
      <c r="S334" s="59">
        <f>$F334*VLOOKUP($E334,'AWS Platforms Ratios'!$A$2:$O$25,11,FALSE)</f>
        <v>19.905</v>
      </c>
      <c r="T334" s="59">
        <f>$F334*VLOOKUP($E334,'AWS Platforms Ratios'!$A$2:$O$25,12,FALSE)</f>
        <v>32.94333333</v>
      </c>
      <c r="U334" s="59">
        <f>$F334*VLOOKUP($E334,'AWS Platforms Ratios'!$A$2:$O$25,13,FALSE)</f>
        <v>58.96333333</v>
      </c>
      <c r="V334" s="59">
        <f>$F334*VLOOKUP($E334,'AWS Platforms Ratios'!$A$2:$O$25,14,FALSE)</f>
        <v>84.98333333</v>
      </c>
      <c r="W334" s="60">
        <f>IF($K334&lt;&gt;"N/A",$M334*(VLOOKUP($L334,'GPU Specs &amp; Ratios'!$B$2:$I$8,5,FALSE)),0)</f>
        <v>0</v>
      </c>
      <c r="X334" s="60">
        <f>IF($K334&lt;&gt;"N/A",$M334*(VLOOKUP($L334,'GPU Specs &amp; Ratios'!$B$2:$I$8,6,FALSE)),0)</f>
        <v>0</v>
      </c>
      <c r="Y334" s="60">
        <f>IF($K334&lt;&gt;"N/A",$M334*(VLOOKUP($L334,'GPU Specs &amp; Ratios'!$B$2:$I$8,7,FALSE)),0)</f>
        <v>0</v>
      </c>
      <c r="Z334" s="60">
        <f>IF($K334&lt;&gt;"N/A",$M334*(VLOOKUP($L334,'GPU Specs &amp; Ratios'!$B$2:$I$8,8,FALSE)),0)</f>
        <v>0</v>
      </c>
      <c r="AA334" s="60">
        <f>(C334/D334)*VLOOKUP($E334,'AWS Platforms Ratios'!$A$2:$O$25,15,FALSE)</f>
        <v>14</v>
      </c>
      <c r="AB334" s="60">
        <f t="shared" ref="AB334:AE334" si="334">O334+S334+W334+$AA334</f>
        <v>43.02333333</v>
      </c>
      <c r="AC334" s="60">
        <f t="shared" si="334"/>
        <v>69.93</v>
      </c>
      <c r="AD334" s="60">
        <f t="shared" si="334"/>
        <v>124.1183333</v>
      </c>
      <c r="AE334" s="60">
        <f t="shared" si="334"/>
        <v>173.21375</v>
      </c>
      <c r="AF334" s="60">
        <f>IF(G334&gt;'Scope 3 Ratios'!$B$5,(G334-'Scope 3 Ratios'!$B$5)*('Scope 3 Ratios'!$B$6/'Scope 3 Ratios'!$B$5),0)</f>
        <v>1042.9488</v>
      </c>
      <c r="AG334" s="60">
        <f>J334*IF(I334="SSD",'Scope 3 Ratios'!$B$9,'Scope 3 Ratios'!$B$8)</f>
        <v>0</v>
      </c>
      <c r="AH334" s="60">
        <f>IF(K334&lt;&gt;"N/A",K334*'Scope 3 Ratios'!$B$10,0)</f>
        <v>0</v>
      </c>
      <c r="AI334" s="60">
        <f>(VLOOKUP($E334,'AWS Platforms Ratios'!$A$2:$O$25,3,FALSE)-1)*'Scope 3 Ratios'!$B$7</f>
        <v>100</v>
      </c>
      <c r="AJ334" s="60">
        <f>'Scope 3 Ratios'!$B$2+AF334+AG334+AH334+AI334</f>
        <v>2142.9488</v>
      </c>
      <c r="AK334" s="60">
        <f>AJ334*'Scope 3 Ratios'!$B$4*(C334/D334)</f>
        <v>10.33443673</v>
      </c>
      <c r="AL334" s="65"/>
    </row>
    <row r="335" ht="15.0" customHeight="1">
      <c r="A335" s="63" t="s">
        <v>614</v>
      </c>
      <c r="B335" s="56" t="s">
        <v>236</v>
      </c>
      <c r="C335" s="63">
        <v>32.0</v>
      </c>
      <c r="D335" s="56">
        <f>VLOOKUP(E335,'AWS Platforms Ratios'!$A$2:$B$25,2,FALSE)</f>
        <v>96</v>
      </c>
      <c r="E335" s="63" t="s">
        <v>237</v>
      </c>
      <c r="F335" s="63">
        <v>256.0</v>
      </c>
      <c r="G335" s="56">
        <v>768.0</v>
      </c>
      <c r="H335" s="64" t="s">
        <v>71</v>
      </c>
      <c r="I335" s="56" t="s">
        <v>72</v>
      </c>
      <c r="J335" s="63">
        <v>0.0</v>
      </c>
      <c r="K335" s="58" t="s">
        <v>73</v>
      </c>
      <c r="L335" s="58" t="s">
        <v>73</v>
      </c>
      <c r="M335" s="58" t="s">
        <v>73</v>
      </c>
      <c r="N335" s="58" t="s">
        <v>73</v>
      </c>
      <c r="O335" s="59">
        <f>($C335/$D335)*VLOOKUP($E335,'AWS Platforms Ratios'!$A$2:$O$25,7,FALSE)</f>
        <v>18.23666667</v>
      </c>
      <c r="P335" s="59">
        <f>($C335/$D335)*VLOOKUP($E335,'AWS Platforms Ratios'!$A$2:$O$25,8,FALSE)</f>
        <v>45.97333333</v>
      </c>
      <c r="Q335" s="59">
        <f>($C335/$D335)*VLOOKUP($E335,'AWS Platforms Ratios'!$A$2:$O$25,9,FALSE)</f>
        <v>102.31</v>
      </c>
      <c r="R335" s="59">
        <f>($C335/$D335)*VLOOKUP($E335,'AWS Platforms Ratios'!$A$2:$O$25,10,FALSE)</f>
        <v>148.4608333</v>
      </c>
      <c r="S335" s="59">
        <f>$F335*VLOOKUP($E335,'AWS Platforms Ratios'!$A$2:$O$25,11,FALSE)</f>
        <v>39.81</v>
      </c>
      <c r="T335" s="59">
        <f>$F335*VLOOKUP($E335,'AWS Platforms Ratios'!$A$2:$O$25,12,FALSE)</f>
        <v>65.88666667</v>
      </c>
      <c r="U335" s="59">
        <f>$F335*VLOOKUP($E335,'AWS Platforms Ratios'!$A$2:$O$25,13,FALSE)</f>
        <v>117.9266667</v>
      </c>
      <c r="V335" s="59">
        <f>$F335*VLOOKUP($E335,'AWS Platforms Ratios'!$A$2:$O$25,14,FALSE)</f>
        <v>169.9666667</v>
      </c>
      <c r="W335" s="60">
        <f>IF($K335&lt;&gt;"N/A",$M335*(VLOOKUP($L335,'GPU Specs &amp; Ratios'!$B$2:$I$8,5,FALSE)),0)</f>
        <v>0</v>
      </c>
      <c r="X335" s="60">
        <f>IF($K335&lt;&gt;"N/A",$M335*(VLOOKUP($L335,'GPU Specs &amp; Ratios'!$B$2:$I$8,6,FALSE)),0)</f>
        <v>0</v>
      </c>
      <c r="Y335" s="60">
        <f>IF($K335&lt;&gt;"N/A",$M335*(VLOOKUP($L335,'GPU Specs &amp; Ratios'!$B$2:$I$8,7,FALSE)),0)</f>
        <v>0</v>
      </c>
      <c r="Z335" s="60">
        <f>IF($K335&lt;&gt;"N/A",$M335*(VLOOKUP($L335,'GPU Specs &amp; Ratios'!$B$2:$I$8,8,FALSE)),0)</f>
        <v>0</v>
      </c>
      <c r="AA335" s="60">
        <f>(C335/D335)*VLOOKUP($E335,'AWS Platforms Ratios'!$A$2:$O$25,15,FALSE)</f>
        <v>28</v>
      </c>
      <c r="AB335" s="60">
        <f t="shared" ref="AB335:AE335" si="335">O335+S335+W335+$AA335</f>
        <v>86.04666667</v>
      </c>
      <c r="AC335" s="60">
        <f t="shared" si="335"/>
        <v>139.86</v>
      </c>
      <c r="AD335" s="60">
        <f t="shared" si="335"/>
        <v>248.2366667</v>
      </c>
      <c r="AE335" s="60">
        <f t="shared" si="335"/>
        <v>346.4275</v>
      </c>
      <c r="AF335" s="60">
        <f>IF(G335&gt;'Scope 3 Ratios'!$B$5,(G335-'Scope 3 Ratios'!$B$5)*('Scope 3 Ratios'!$B$6/'Scope 3 Ratios'!$B$5),0)</f>
        <v>1042.9488</v>
      </c>
      <c r="AG335" s="60">
        <f>J335*IF(I335="SSD",'Scope 3 Ratios'!$B$9,'Scope 3 Ratios'!$B$8)</f>
        <v>0</v>
      </c>
      <c r="AH335" s="60">
        <f>IF(K335&lt;&gt;"N/A",K335*'Scope 3 Ratios'!$B$10,0)</f>
        <v>0</v>
      </c>
      <c r="AI335" s="60">
        <f>(VLOOKUP($E335,'AWS Platforms Ratios'!$A$2:$O$25,3,FALSE)-1)*'Scope 3 Ratios'!$B$7</f>
        <v>100</v>
      </c>
      <c r="AJ335" s="60">
        <f>'Scope 3 Ratios'!$B$2+AF335+AG335+AH335+AI335</f>
        <v>2142.9488</v>
      </c>
      <c r="AK335" s="60">
        <f>AJ335*'Scope 3 Ratios'!$B$4*(C335/D335)</f>
        <v>20.66887346</v>
      </c>
      <c r="AL335" s="65"/>
    </row>
    <row r="336" ht="15.0" customHeight="1">
      <c r="A336" s="63" t="s">
        <v>615</v>
      </c>
      <c r="B336" s="56" t="s">
        <v>236</v>
      </c>
      <c r="C336" s="63">
        <v>48.0</v>
      </c>
      <c r="D336" s="56">
        <f>VLOOKUP(E336,'AWS Platforms Ratios'!$A$2:$B$25,2,FALSE)</f>
        <v>96</v>
      </c>
      <c r="E336" s="63" t="s">
        <v>237</v>
      </c>
      <c r="F336" s="63">
        <v>384.0</v>
      </c>
      <c r="G336" s="56">
        <v>768.0</v>
      </c>
      <c r="H336" s="64" t="s">
        <v>71</v>
      </c>
      <c r="I336" s="56" t="s">
        <v>72</v>
      </c>
      <c r="J336" s="63">
        <v>0.0</v>
      </c>
      <c r="K336" s="58" t="s">
        <v>73</v>
      </c>
      <c r="L336" s="58" t="s">
        <v>73</v>
      </c>
      <c r="M336" s="58" t="s">
        <v>73</v>
      </c>
      <c r="N336" s="58" t="s">
        <v>73</v>
      </c>
      <c r="O336" s="59">
        <f>($C336/$D336)*VLOOKUP($E336,'AWS Platforms Ratios'!$A$2:$O$25,7,FALSE)</f>
        <v>27.355</v>
      </c>
      <c r="P336" s="59">
        <f>($C336/$D336)*VLOOKUP($E336,'AWS Platforms Ratios'!$A$2:$O$25,8,FALSE)</f>
        <v>68.96</v>
      </c>
      <c r="Q336" s="59">
        <f>($C336/$D336)*VLOOKUP($E336,'AWS Platforms Ratios'!$A$2:$O$25,9,FALSE)</f>
        <v>153.465</v>
      </c>
      <c r="R336" s="59">
        <f>($C336/$D336)*VLOOKUP($E336,'AWS Platforms Ratios'!$A$2:$O$25,10,FALSE)</f>
        <v>222.69125</v>
      </c>
      <c r="S336" s="59">
        <f>$F336*VLOOKUP($E336,'AWS Platforms Ratios'!$A$2:$O$25,11,FALSE)</f>
        <v>59.715</v>
      </c>
      <c r="T336" s="59">
        <f>$F336*VLOOKUP($E336,'AWS Platforms Ratios'!$A$2:$O$25,12,FALSE)</f>
        <v>98.83</v>
      </c>
      <c r="U336" s="59">
        <f>$F336*VLOOKUP($E336,'AWS Platforms Ratios'!$A$2:$O$25,13,FALSE)</f>
        <v>176.89</v>
      </c>
      <c r="V336" s="59">
        <f>$F336*VLOOKUP($E336,'AWS Platforms Ratios'!$A$2:$O$25,14,FALSE)</f>
        <v>254.95</v>
      </c>
      <c r="W336" s="60">
        <f>IF($K336&lt;&gt;"N/A",$M336*(VLOOKUP($L336,'GPU Specs &amp; Ratios'!$B$2:$I$8,5,FALSE)),0)</f>
        <v>0</v>
      </c>
      <c r="X336" s="60">
        <f>IF($K336&lt;&gt;"N/A",$M336*(VLOOKUP($L336,'GPU Specs &amp; Ratios'!$B$2:$I$8,6,FALSE)),0)</f>
        <v>0</v>
      </c>
      <c r="Y336" s="60">
        <f>IF($K336&lt;&gt;"N/A",$M336*(VLOOKUP($L336,'GPU Specs &amp; Ratios'!$B$2:$I$8,7,FALSE)),0)</f>
        <v>0</v>
      </c>
      <c r="Z336" s="60">
        <f>IF($K336&lt;&gt;"N/A",$M336*(VLOOKUP($L336,'GPU Specs &amp; Ratios'!$B$2:$I$8,8,FALSE)),0)</f>
        <v>0</v>
      </c>
      <c r="AA336" s="60">
        <f>(C336/D336)*VLOOKUP($E336,'AWS Platforms Ratios'!$A$2:$O$25,15,FALSE)</f>
        <v>42</v>
      </c>
      <c r="AB336" s="60">
        <f t="shared" ref="AB336:AE336" si="336">O336+S336+W336+$AA336</f>
        <v>129.07</v>
      </c>
      <c r="AC336" s="60">
        <f t="shared" si="336"/>
        <v>209.79</v>
      </c>
      <c r="AD336" s="60">
        <f t="shared" si="336"/>
        <v>372.355</v>
      </c>
      <c r="AE336" s="60">
        <f t="shared" si="336"/>
        <v>519.64125</v>
      </c>
      <c r="AF336" s="60">
        <f>IF(G336&gt;'Scope 3 Ratios'!$B$5,(G336-'Scope 3 Ratios'!$B$5)*('Scope 3 Ratios'!$B$6/'Scope 3 Ratios'!$B$5),0)</f>
        <v>1042.9488</v>
      </c>
      <c r="AG336" s="60">
        <f>J336*IF(I336="SSD",'Scope 3 Ratios'!$B$9,'Scope 3 Ratios'!$B$8)</f>
        <v>0</v>
      </c>
      <c r="AH336" s="60">
        <f>IF(K336&lt;&gt;"N/A",K336*'Scope 3 Ratios'!$B$10,0)</f>
        <v>0</v>
      </c>
      <c r="AI336" s="60">
        <f>(VLOOKUP($E336,'AWS Platforms Ratios'!$A$2:$O$25,3,FALSE)-1)*'Scope 3 Ratios'!$B$7</f>
        <v>100</v>
      </c>
      <c r="AJ336" s="60">
        <f>'Scope 3 Ratios'!$B$2+AF336+AG336+AH336+AI336</f>
        <v>2142.9488</v>
      </c>
      <c r="AK336" s="60">
        <f>AJ336*'Scope 3 Ratios'!$B$4*(C336/D336)</f>
        <v>31.00331019</v>
      </c>
      <c r="AL336" s="65"/>
    </row>
    <row r="337" ht="15.0" customHeight="1">
      <c r="A337" s="63" t="s">
        <v>616</v>
      </c>
      <c r="B337" s="56" t="s">
        <v>236</v>
      </c>
      <c r="C337" s="63">
        <v>64.0</v>
      </c>
      <c r="D337" s="56">
        <f>VLOOKUP(E337,'AWS Platforms Ratios'!$A$2:$B$25,2,FALSE)</f>
        <v>96</v>
      </c>
      <c r="E337" s="63" t="s">
        <v>237</v>
      </c>
      <c r="F337" s="63">
        <v>512.0</v>
      </c>
      <c r="G337" s="56">
        <v>768.0</v>
      </c>
      <c r="H337" s="64" t="s">
        <v>478</v>
      </c>
      <c r="I337" s="56" t="s">
        <v>72</v>
      </c>
      <c r="J337" s="63">
        <v>0.0</v>
      </c>
      <c r="K337" s="58" t="s">
        <v>73</v>
      </c>
      <c r="L337" s="58" t="s">
        <v>73</v>
      </c>
      <c r="M337" s="58" t="s">
        <v>73</v>
      </c>
      <c r="N337" s="58" t="s">
        <v>73</v>
      </c>
      <c r="O337" s="59">
        <f>($C337/$D337)*VLOOKUP($E337,'AWS Platforms Ratios'!$A$2:$O$25,7,FALSE)</f>
        <v>36.47333333</v>
      </c>
      <c r="P337" s="59">
        <f>($C337/$D337)*VLOOKUP($E337,'AWS Platforms Ratios'!$A$2:$O$25,8,FALSE)</f>
        <v>91.94666667</v>
      </c>
      <c r="Q337" s="59">
        <f>($C337/$D337)*VLOOKUP($E337,'AWS Platforms Ratios'!$A$2:$O$25,9,FALSE)</f>
        <v>204.62</v>
      </c>
      <c r="R337" s="59">
        <f>($C337/$D337)*VLOOKUP($E337,'AWS Platforms Ratios'!$A$2:$O$25,10,FALSE)</f>
        <v>296.9216667</v>
      </c>
      <c r="S337" s="59">
        <f>$F337*VLOOKUP($E337,'AWS Platforms Ratios'!$A$2:$O$25,11,FALSE)</f>
        <v>79.62</v>
      </c>
      <c r="T337" s="59">
        <f>$F337*VLOOKUP($E337,'AWS Platforms Ratios'!$A$2:$O$25,12,FALSE)</f>
        <v>131.7733333</v>
      </c>
      <c r="U337" s="59">
        <f>$F337*VLOOKUP($E337,'AWS Platforms Ratios'!$A$2:$O$25,13,FALSE)</f>
        <v>235.8533333</v>
      </c>
      <c r="V337" s="59">
        <f>$F337*VLOOKUP($E337,'AWS Platforms Ratios'!$A$2:$O$25,14,FALSE)</f>
        <v>339.9333333</v>
      </c>
      <c r="W337" s="60">
        <f>IF($K337&lt;&gt;"N/A",$M337*(VLOOKUP($L337,'GPU Specs &amp; Ratios'!$B$2:$I$8,5,FALSE)),0)</f>
        <v>0</v>
      </c>
      <c r="X337" s="60">
        <f>IF($K337&lt;&gt;"N/A",$M337*(VLOOKUP($L337,'GPU Specs &amp; Ratios'!$B$2:$I$8,6,FALSE)),0)</f>
        <v>0</v>
      </c>
      <c r="Y337" s="60">
        <f>IF($K337&lt;&gt;"N/A",$M337*(VLOOKUP($L337,'GPU Specs &amp; Ratios'!$B$2:$I$8,7,FALSE)),0)</f>
        <v>0</v>
      </c>
      <c r="Z337" s="60">
        <f>IF($K337&lt;&gt;"N/A",$M337*(VLOOKUP($L337,'GPU Specs &amp; Ratios'!$B$2:$I$8,8,FALSE)),0)</f>
        <v>0</v>
      </c>
      <c r="AA337" s="60">
        <f>(C337/D337)*VLOOKUP($E337,'AWS Platforms Ratios'!$A$2:$O$25,15,FALSE)</f>
        <v>56</v>
      </c>
      <c r="AB337" s="60">
        <f t="shared" ref="AB337:AE337" si="337">O337+S337+W337+$AA337</f>
        <v>172.0933333</v>
      </c>
      <c r="AC337" s="60">
        <f t="shared" si="337"/>
        <v>279.72</v>
      </c>
      <c r="AD337" s="60">
        <f t="shared" si="337"/>
        <v>496.4733333</v>
      </c>
      <c r="AE337" s="60">
        <f t="shared" si="337"/>
        <v>692.855</v>
      </c>
      <c r="AF337" s="60">
        <f>IF(G337&gt;'Scope 3 Ratios'!$B$5,(G337-'Scope 3 Ratios'!$B$5)*('Scope 3 Ratios'!$B$6/'Scope 3 Ratios'!$B$5),0)</f>
        <v>1042.9488</v>
      </c>
      <c r="AG337" s="60">
        <f>J337*IF(I337="SSD",'Scope 3 Ratios'!$B$9,'Scope 3 Ratios'!$B$8)</f>
        <v>0</v>
      </c>
      <c r="AH337" s="60">
        <f>IF(K337&lt;&gt;"N/A",K337*'Scope 3 Ratios'!$B$10,0)</f>
        <v>0</v>
      </c>
      <c r="AI337" s="60">
        <f>(VLOOKUP($E337,'AWS Platforms Ratios'!$A$2:$O$25,3,FALSE)-1)*'Scope 3 Ratios'!$B$7</f>
        <v>100</v>
      </c>
      <c r="AJ337" s="60">
        <f>'Scope 3 Ratios'!$B$2+AF337+AG337+AH337+AI337</f>
        <v>2142.9488</v>
      </c>
      <c r="AK337" s="60">
        <f>AJ337*'Scope 3 Ratios'!$B$4*(C337/D337)</f>
        <v>41.33774691</v>
      </c>
      <c r="AL337" s="65"/>
    </row>
    <row r="338" ht="15.0" customHeight="1">
      <c r="A338" s="63" t="s">
        <v>617</v>
      </c>
      <c r="B338" s="56" t="s">
        <v>236</v>
      </c>
      <c r="C338" s="63">
        <v>96.0</v>
      </c>
      <c r="D338" s="56">
        <f>VLOOKUP(E338,'AWS Platforms Ratios'!$A$2:$B$25,2,FALSE)</f>
        <v>96</v>
      </c>
      <c r="E338" s="63" t="s">
        <v>237</v>
      </c>
      <c r="F338" s="63">
        <v>768.0</v>
      </c>
      <c r="G338" s="56">
        <v>768.0</v>
      </c>
      <c r="H338" s="64" t="s">
        <v>71</v>
      </c>
      <c r="I338" s="56" t="s">
        <v>72</v>
      </c>
      <c r="J338" s="63">
        <v>0.0</v>
      </c>
      <c r="K338" s="58" t="s">
        <v>73</v>
      </c>
      <c r="L338" s="58" t="s">
        <v>73</v>
      </c>
      <c r="M338" s="58" t="s">
        <v>73</v>
      </c>
      <c r="N338" s="58" t="s">
        <v>73</v>
      </c>
      <c r="O338" s="59">
        <f>($C338/$D338)*VLOOKUP($E338,'AWS Platforms Ratios'!$A$2:$O$25,7,FALSE)</f>
        <v>54.71</v>
      </c>
      <c r="P338" s="59">
        <f>($C338/$D338)*VLOOKUP($E338,'AWS Platforms Ratios'!$A$2:$O$25,8,FALSE)</f>
        <v>137.92</v>
      </c>
      <c r="Q338" s="59">
        <f>($C338/$D338)*VLOOKUP($E338,'AWS Platforms Ratios'!$A$2:$O$25,9,FALSE)</f>
        <v>306.93</v>
      </c>
      <c r="R338" s="59">
        <f>($C338/$D338)*VLOOKUP($E338,'AWS Platforms Ratios'!$A$2:$O$25,10,FALSE)</f>
        <v>445.3825</v>
      </c>
      <c r="S338" s="59">
        <f>$F338*VLOOKUP($E338,'AWS Platforms Ratios'!$A$2:$O$25,11,FALSE)</f>
        <v>119.43</v>
      </c>
      <c r="T338" s="59">
        <f>$F338*VLOOKUP($E338,'AWS Platforms Ratios'!$A$2:$O$25,12,FALSE)</f>
        <v>197.66</v>
      </c>
      <c r="U338" s="59">
        <f>$F338*VLOOKUP($E338,'AWS Platforms Ratios'!$A$2:$O$25,13,FALSE)</f>
        <v>353.78</v>
      </c>
      <c r="V338" s="59">
        <f>$F338*VLOOKUP($E338,'AWS Platforms Ratios'!$A$2:$O$25,14,FALSE)</f>
        <v>509.9</v>
      </c>
      <c r="W338" s="60">
        <f>IF($K338&lt;&gt;"N/A",$M338*(VLOOKUP($L338,'GPU Specs &amp; Ratios'!$B$2:$I$8,5,FALSE)),0)</f>
        <v>0</v>
      </c>
      <c r="X338" s="60">
        <f>IF($K338&lt;&gt;"N/A",$M338*(VLOOKUP($L338,'GPU Specs &amp; Ratios'!$B$2:$I$8,6,FALSE)),0)</f>
        <v>0</v>
      </c>
      <c r="Y338" s="60">
        <f>IF($K338&lt;&gt;"N/A",$M338*(VLOOKUP($L338,'GPU Specs &amp; Ratios'!$B$2:$I$8,7,FALSE)),0)</f>
        <v>0</v>
      </c>
      <c r="Z338" s="60">
        <f>IF($K338&lt;&gt;"N/A",$M338*(VLOOKUP($L338,'GPU Specs &amp; Ratios'!$B$2:$I$8,8,FALSE)),0)</f>
        <v>0</v>
      </c>
      <c r="AA338" s="60">
        <f>(C338/D338)*VLOOKUP($E338,'AWS Platforms Ratios'!$A$2:$O$25,15,FALSE)</f>
        <v>84</v>
      </c>
      <c r="AB338" s="60">
        <f t="shared" ref="AB338:AE338" si="338">O338+S338+W338+$AA338</f>
        <v>258.14</v>
      </c>
      <c r="AC338" s="60">
        <f t="shared" si="338"/>
        <v>419.58</v>
      </c>
      <c r="AD338" s="60">
        <f t="shared" si="338"/>
        <v>744.71</v>
      </c>
      <c r="AE338" s="60">
        <f t="shared" si="338"/>
        <v>1039.2825</v>
      </c>
      <c r="AF338" s="60">
        <f>IF(G338&gt;'Scope 3 Ratios'!$B$5,(G338-'Scope 3 Ratios'!$B$5)*('Scope 3 Ratios'!$B$6/'Scope 3 Ratios'!$B$5),0)</f>
        <v>1042.9488</v>
      </c>
      <c r="AG338" s="60">
        <f>J338*IF(I338="SSD",'Scope 3 Ratios'!$B$9,'Scope 3 Ratios'!$B$8)</f>
        <v>0</v>
      </c>
      <c r="AH338" s="60">
        <f>IF(K338&lt;&gt;"N/A",K338*'Scope 3 Ratios'!$B$10,0)</f>
        <v>0</v>
      </c>
      <c r="AI338" s="60">
        <f>(VLOOKUP($E338,'AWS Platforms Ratios'!$A$2:$O$25,3,FALSE)-1)*'Scope 3 Ratios'!$B$7</f>
        <v>100</v>
      </c>
      <c r="AJ338" s="60">
        <f>'Scope 3 Ratios'!$B$2+AF338+AG338+AH338+AI338</f>
        <v>2142.9488</v>
      </c>
      <c r="AK338" s="60">
        <f>AJ338*'Scope 3 Ratios'!$B$4*(C338/D338)</f>
        <v>62.00662037</v>
      </c>
      <c r="AL338" s="65"/>
    </row>
    <row r="339" ht="15.0" customHeight="1">
      <c r="A339" s="63" t="s">
        <v>618</v>
      </c>
      <c r="B339" s="56" t="s">
        <v>236</v>
      </c>
      <c r="C339" s="63">
        <v>96.0</v>
      </c>
      <c r="D339" s="56">
        <f>VLOOKUP(E339,'AWS Platforms Ratios'!$A$2:$B$25,2,FALSE)</f>
        <v>96</v>
      </c>
      <c r="E339" s="63" t="s">
        <v>237</v>
      </c>
      <c r="F339" s="63">
        <v>768.0</v>
      </c>
      <c r="G339" s="56">
        <v>768.0</v>
      </c>
      <c r="H339" s="64" t="s">
        <v>71</v>
      </c>
      <c r="I339" s="56" t="s">
        <v>72</v>
      </c>
      <c r="J339" s="63">
        <v>0.0</v>
      </c>
      <c r="K339" s="58" t="s">
        <v>73</v>
      </c>
      <c r="L339" s="58" t="s">
        <v>73</v>
      </c>
      <c r="M339" s="58" t="s">
        <v>73</v>
      </c>
      <c r="N339" s="58" t="s">
        <v>73</v>
      </c>
      <c r="O339" s="59">
        <f>($C339/$D339)*VLOOKUP($E339,'AWS Platforms Ratios'!$A$2:$O$25,7,FALSE)</f>
        <v>54.71</v>
      </c>
      <c r="P339" s="59">
        <f>($C339/$D339)*VLOOKUP($E339,'AWS Platforms Ratios'!$A$2:$O$25,8,FALSE)</f>
        <v>137.92</v>
      </c>
      <c r="Q339" s="59">
        <f>($C339/$D339)*VLOOKUP($E339,'AWS Platforms Ratios'!$A$2:$O$25,9,FALSE)</f>
        <v>306.93</v>
      </c>
      <c r="R339" s="59">
        <f>($C339/$D339)*VLOOKUP($E339,'AWS Platforms Ratios'!$A$2:$O$25,10,FALSE)</f>
        <v>445.3825</v>
      </c>
      <c r="S339" s="59">
        <f>$F339*VLOOKUP($E339,'AWS Platforms Ratios'!$A$2:$O$25,11,FALSE)</f>
        <v>119.43</v>
      </c>
      <c r="T339" s="59">
        <f>$F339*VLOOKUP($E339,'AWS Platforms Ratios'!$A$2:$O$25,12,FALSE)</f>
        <v>197.66</v>
      </c>
      <c r="U339" s="59">
        <f>$F339*VLOOKUP($E339,'AWS Platforms Ratios'!$A$2:$O$25,13,FALSE)</f>
        <v>353.78</v>
      </c>
      <c r="V339" s="59">
        <f>$F339*VLOOKUP($E339,'AWS Platforms Ratios'!$A$2:$O$25,14,FALSE)</f>
        <v>509.9</v>
      </c>
      <c r="W339" s="60">
        <f>IF($K339&lt;&gt;"N/A",$M339*(VLOOKUP($L339,'GPU Specs &amp; Ratios'!$B$2:$I$8,5,FALSE)),0)</f>
        <v>0</v>
      </c>
      <c r="X339" s="60">
        <f>IF($K339&lt;&gt;"N/A",$M339*(VLOOKUP($L339,'GPU Specs &amp; Ratios'!$B$2:$I$8,6,FALSE)),0)</f>
        <v>0</v>
      </c>
      <c r="Y339" s="60">
        <f>IF($K339&lt;&gt;"N/A",$M339*(VLOOKUP($L339,'GPU Specs &amp; Ratios'!$B$2:$I$8,7,FALSE)),0)</f>
        <v>0</v>
      </c>
      <c r="Z339" s="60">
        <f>IF($K339&lt;&gt;"N/A",$M339*(VLOOKUP($L339,'GPU Specs &amp; Ratios'!$B$2:$I$8,8,FALSE)),0)</f>
        <v>0</v>
      </c>
      <c r="AA339" s="60">
        <f>(C339/D339)*VLOOKUP($E339,'AWS Platforms Ratios'!$A$2:$O$25,15,FALSE)</f>
        <v>84</v>
      </c>
      <c r="AB339" s="60">
        <f t="shared" ref="AB339:AE339" si="339">O339+S339+W339+$AA339</f>
        <v>258.14</v>
      </c>
      <c r="AC339" s="60">
        <f t="shared" si="339"/>
        <v>419.58</v>
      </c>
      <c r="AD339" s="60">
        <f t="shared" si="339"/>
        <v>744.71</v>
      </c>
      <c r="AE339" s="60">
        <f t="shared" si="339"/>
        <v>1039.2825</v>
      </c>
      <c r="AF339" s="60">
        <f>IF(G339&gt;'Scope 3 Ratios'!$B$5,(G339-'Scope 3 Ratios'!$B$5)*('Scope 3 Ratios'!$B$6/'Scope 3 Ratios'!$B$5),0)</f>
        <v>1042.9488</v>
      </c>
      <c r="AG339" s="60">
        <f>J339*IF(I339="SSD",'Scope 3 Ratios'!$B$9,'Scope 3 Ratios'!$B$8)</f>
        <v>0</v>
      </c>
      <c r="AH339" s="60">
        <f>IF(K339&lt;&gt;"N/A",K339*'Scope 3 Ratios'!$B$10,0)</f>
        <v>0</v>
      </c>
      <c r="AI339" s="60">
        <f>(VLOOKUP($E339,'AWS Platforms Ratios'!$A$2:$O$25,3,FALSE)-1)*'Scope 3 Ratios'!$B$7</f>
        <v>100</v>
      </c>
      <c r="AJ339" s="60">
        <f>'Scope 3 Ratios'!$B$2+AF339+AG339+AH339+AI339</f>
        <v>2142.9488</v>
      </c>
      <c r="AK339" s="60">
        <f>AJ339*'Scope 3 Ratios'!$B$4*(C339/D339)</f>
        <v>62.00662037</v>
      </c>
      <c r="AL339" s="65"/>
    </row>
    <row r="340" ht="15.0" customHeight="1">
      <c r="A340" s="63" t="s">
        <v>619</v>
      </c>
      <c r="B340" s="56" t="s">
        <v>188</v>
      </c>
      <c r="C340" s="63">
        <v>1.0</v>
      </c>
      <c r="D340" s="56">
        <f>VLOOKUP(E340,'AWS Platforms Ratios'!$A$2:$B$25,2,FALSE)</f>
        <v>64</v>
      </c>
      <c r="E340" s="63" t="s">
        <v>189</v>
      </c>
      <c r="F340" s="63">
        <v>8.0</v>
      </c>
      <c r="G340" s="63">
        <v>512.0</v>
      </c>
      <c r="H340" s="64" t="s">
        <v>71</v>
      </c>
      <c r="I340" s="56" t="s">
        <v>72</v>
      </c>
      <c r="J340" s="63">
        <v>0.0</v>
      </c>
      <c r="K340" s="58" t="s">
        <v>73</v>
      </c>
      <c r="L340" s="58" t="s">
        <v>73</v>
      </c>
      <c r="M340" s="58" t="s">
        <v>73</v>
      </c>
      <c r="N340" s="58" t="s">
        <v>73</v>
      </c>
      <c r="O340" s="59">
        <f>($C340/$D340)*VLOOKUP($E340,'AWS Platforms Ratios'!$A$2:$O$25,7,FALSE)</f>
        <v>0.2721764469</v>
      </c>
      <c r="P340" s="59">
        <f>($C340/$D340)*VLOOKUP($E340,'AWS Platforms Ratios'!$A$2:$O$25,8,FALSE)</f>
        <v>0.7459229301</v>
      </c>
      <c r="Q340" s="59">
        <f>($C340/$D340)*VLOOKUP($E340,'AWS Platforms Ratios'!$A$2:$O$25,9,FALSE)</f>
        <v>1.763117966</v>
      </c>
      <c r="R340" s="59">
        <f>($C340/$D340)*VLOOKUP($E340,'AWS Platforms Ratios'!$A$2:$O$25,10,FALSE)</f>
        <v>2.387214881</v>
      </c>
      <c r="S340" s="59">
        <f>$F340*VLOOKUP($E340,'AWS Platforms Ratios'!$A$2:$O$25,11,FALSE)</f>
        <v>1.6</v>
      </c>
      <c r="T340" s="59">
        <f>$F340*VLOOKUP($E340,'AWS Platforms Ratios'!$A$2:$O$25,12,FALSE)</f>
        <v>2.4</v>
      </c>
      <c r="U340" s="59">
        <f>$F340*VLOOKUP($E340,'AWS Platforms Ratios'!$A$2:$O$25,13,FALSE)</f>
        <v>3.2</v>
      </c>
      <c r="V340" s="59">
        <f>$F340*VLOOKUP($E340,'AWS Platforms Ratios'!$A$2:$O$25,14,FALSE)</f>
        <v>4.8</v>
      </c>
      <c r="W340" s="60">
        <f>IF($K340&lt;&gt;"N/A",$M340*(VLOOKUP($L340,'GPU Specs &amp; Ratios'!$B$2:$I$8,5,FALSE)),0)</f>
        <v>0</v>
      </c>
      <c r="X340" s="60">
        <f>IF($K340&lt;&gt;"N/A",$M340*(VLOOKUP($L340,'GPU Specs &amp; Ratios'!$B$2:$I$8,6,FALSE)),0)</f>
        <v>0</v>
      </c>
      <c r="Y340" s="60">
        <f>IF($K340&lt;&gt;"N/A",$M340*(VLOOKUP($L340,'GPU Specs &amp; Ratios'!$B$2:$I$8,7,FALSE)),0)</f>
        <v>0</v>
      </c>
      <c r="Z340" s="60">
        <f>IF($K340&lt;&gt;"N/A",$M340*(VLOOKUP($L340,'GPU Specs &amp; Ratios'!$B$2:$I$8,8,FALSE)),0)</f>
        <v>0</v>
      </c>
      <c r="AA340" s="60">
        <f>(C340/D340)*VLOOKUP($E340,'AWS Platforms Ratios'!$A$2:$O$25,15,FALSE)</f>
        <v>0.46875</v>
      </c>
      <c r="AB340" s="60">
        <f t="shared" ref="AB340:AE340" si="340">O340+S340+W340+$AA340</f>
        <v>2.340926447</v>
      </c>
      <c r="AC340" s="60">
        <f t="shared" si="340"/>
        <v>3.61467293</v>
      </c>
      <c r="AD340" s="60">
        <f t="shared" si="340"/>
        <v>5.431867966</v>
      </c>
      <c r="AE340" s="60">
        <f t="shared" si="340"/>
        <v>7.655964881</v>
      </c>
      <c r="AF340" s="60">
        <f>IF(G340&gt;'Scope 3 Ratios'!$B$5,(G340-'Scope 3 Ratios'!$B$5)*('Scope 3 Ratios'!$B$6/'Scope 3 Ratios'!$B$5),0)</f>
        <v>687.9024</v>
      </c>
      <c r="AG340" s="60">
        <f>J340*IF(I340="SSD",'Scope 3 Ratios'!$B$9,'Scope 3 Ratios'!$B$8)</f>
        <v>0</v>
      </c>
      <c r="AH340" s="60">
        <f>IF(K340&lt;&gt;"N/A",K340*'Scope 3 Ratios'!$B$10,0)</f>
        <v>0</v>
      </c>
      <c r="AI340" s="60">
        <f>(VLOOKUP($E340,'AWS Platforms Ratios'!$A$2:$O$25,3,FALSE)-1)*'Scope 3 Ratios'!$B$7</f>
        <v>0</v>
      </c>
      <c r="AJ340" s="60">
        <f>'Scope 3 Ratios'!$B$2+AF340+AG340+AH340+AI340</f>
        <v>1687.9024</v>
      </c>
      <c r="AK340" s="60">
        <f>AJ340*'Scope 3 Ratios'!$B$4*(C340/D340)</f>
        <v>0.7631213831</v>
      </c>
      <c r="AL340" s="61" t="s">
        <v>190</v>
      </c>
    </row>
    <row r="341" ht="15.0" customHeight="1">
      <c r="A341" s="63" t="s">
        <v>620</v>
      </c>
      <c r="B341" s="56" t="s">
        <v>188</v>
      </c>
      <c r="C341" s="63">
        <v>2.0</v>
      </c>
      <c r="D341" s="56">
        <f>VLOOKUP(E341,'AWS Platforms Ratios'!$A$2:$B$25,2,FALSE)</f>
        <v>64</v>
      </c>
      <c r="E341" s="63" t="s">
        <v>189</v>
      </c>
      <c r="F341" s="63">
        <v>16.0</v>
      </c>
      <c r="G341" s="63">
        <v>512.0</v>
      </c>
      <c r="H341" s="64" t="s">
        <v>71</v>
      </c>
      <c r="I341" s="56" t="s">
        <v>72</v>
      </c>
      <c r="J341" s="63">
        <v>0.0</v>
      </c>
      <c r="K341" s="58" t="s">
        <v>73</v>
      </c>
      <c r="L341" s="58" t="s">
        <v>73</v>
      </c>
      <c r="M341" s="58" t="s">
        <v>73</v>
      </c>
      <c r="N341" s="58" t="s">
        <v>73</v>
      </c>
      <c r="O341" s="59">
        <f>($C341/$D341)*VLOOKUP($E341,'AWS Platforms Ratios'!$A$2:$O$25,7,FALSE)</f>
        <v>0.5443528939</v>
      </c>
      <c r="P341" s="59">
        <f>($C341/$D341)*VLOOKUP($E341,'AWS Platforms Ratios'!$A$2:$O$25,8,FALSE)</f>
        <v>1.49184586</v>
      </c>
      <c r="Q341" s="59">
        <f>($C341/$D341)*VLOOKUP($E341,'AWS Platforms Ratios'!$A$2:$O$25,9,FALSE)</f>
        <v>3.526235932</v>
      </c>
      <c r="R341" s="59">
        <f>($C341/$D341)*VLOOKUP($E341,'AWS Platforms Ratios'!$A$2:$O$25,10,FALSE)</f>
        <v>4.774429763</v>
      </c>
      <c r="S341" s="59">
        <f>$F341*VLOOKUP($E341,'AWS Platforms Ratios'!$A$2:$O$25,11,FALSE)</f>
        <v>3.2</v>
      </c>
      <c r="T341" s="59">
        <f>$F341*VLOOKUP($E341,'AWS Platforms Ratios'!$A$2:$O$25,12,FALSE)</f>
        <v>4.8</v>
      </c>
      <c r="U341" s="59">
        <f>$F341*VLOOKUP($E341,'AWS Platforms Ratios'!$A$2:$O$25,13,FALSE)</f>
        <v>6.4</v>
      </c>
      <c r="V341" s="59">
        <f>$F341*VLOOKUP($E341,'AWS Platforms Ratios'!$A$2:$O$25,14,FALSE)</f>
        <v>9.6</v>
      </c>
      <c r="W341" s="60">
        <f>IF($K341&lt;&gt;"N/A",$M341*(VLOOKUP($L341,'GPU Specs &amp; Ratios'!$B$2:$I$8,5,FALSE)),0)</f>
        <v>0</v>
      </c>
      <c r="X341" s="60">
        <f>IF($K341&lt;&gt;"N/A",$M341*(VLOOKUP($L341,'GPU Specs &amp; Ratios'!$B$2:$I$8,6,FALSE)),0)</f>
        <v>0</v>
      </c>
      <c r="Y341" s="60">
        <f>IF($K341&lt;&gt;"N/A",$M341*(VLOOKUP($L341,'GPU Specs &amp; Ratios'!$B$2:$I$8,7,FALSE)),0)</f>
        <v>0</v>
      </c>
      <c r="Z341" s="60">
        <f>IF($K341&lt;&gt;"N/A",$M341*(VLOOKUP($L341,'GPU Specs &amp; Ratios'!$B$2:$I$8,8,FALSE)),0)</f>
        <v>0</v>
      </c>
      <c r="AA341" s="60">
        <f>(C341/D341)*VLOOKUP($E341,'AWS Platforms Ratios'!$A$2:$O$25,15,FALSE)</f>
        <v>0.9375</v>
      </c>
      <c r="AB341" s="60">
        <f t="shared" ref="AB341:AE341" si="341">O341+S341+W341+$AA341</f>
        <v>4.681852894</v>
      </c>
      <c r="AC341" s="60">
        <f t="shared" si="341"/>
        <v>7.22934586</v>
      </c>
      <c r="AD341" s="60">
        <f t="shared" si="341"/>
        <v>10.86373593</v>
      </c>
      <c r="AE341" s="60">
        <f t="shared" si="341"/>
        <v>15.31192976</v>
      </c>
      <c r="AF341" s="60">
        <f>IF(G341&gt;'Scope 3 Ratios'!$B$5,(G341-'Scope 3 Ratios'!$B$5)*('Scope 3 Ratios'!$B$6/'Scope 3 Ratios'!$B$5),0)</f>
        <v>687.9024</v>
      </c>
      <c r="AG341" s="60">
        <f>J341*IF(I341="SSD",'Scope 3 Ratios'!$B$9,'Scope 3 Ratios'!$B$8)</f>
        <v>0</v>
      </c>
      <c r="AH341" s="60">
        <f>IF(K341&lt;&gt;"N/A",K341*'Scope 3 Ratios'!$B$10,0)</f>
        <v>0</v>
      </c>
      <c r="AI341" s="60">
        <f>(VLOOKUP($E341,'AWS Platforms Ratios'!$A$2:$O$25,3,FALSE)-1)*'Scope 3 Ratios'!$B$7</f>
        <v>0</v>
      </c>
      <c r="AJ341" s="60">
        <f>'Scope 3 Ratios'!$B$2+AF341+AG341+AH341+AI341</f>
        <v>1687.9024</v>
      </c>
      <c r="AK341" s="60">
        <f>AJ341*'Scope 3 Ratios'!$B$4*(C341/D341)</f>
        <v>1.526242766</v>
      </c>
      <c r="AL341" s="61" t="s">
        <v>190</v>
      </c>
    </row>
    <row r="342" ht="15.0" customHeight="1">
      <c r="A342" s="63" t="s">
        <v>621</v>
      </c>
      <c r="B342" s="56" t="s">
        <v>188</v>
      </c>
      <c r="C342" s="63">
        <v>4.0</v>
      </c>
      <c r="D342" s="56">
        <f>VLOOKUP(E342,'AWS Platforms Ratios'!$A$2:$B$25,2,FALSE)</f>
        <v>64</v>
      </c>
      <c r="E342" s="63" t="s">
        <v>189</v>
      </c>
      <c r="F342" s="63">
        <v>32.0</v>
      </c>
      <c r="G342" s="63">
        <v>512.0</v>
      </c>
      <c r="H342" s="64" t="s">
        <v>71</v>
      </c>
      <c r="I342" s="56" t="s">
        <v>72</v>
      </c>
      <c r="J342" s="63">
        <v>0.0</v>
      </c>
      <c r="K342" s="58" t="s">
        <v>73</v>
      </c>
      <c r="L342" s="58" t="s">
        <v>73</v>
      </c>
      <c r="M342" s="58" t="s">
        <v>73</v>
      </c>
      <c r="N342" s="58" t="s">
        <v>73</v>
      </c>
      <c r="O342" s="59">
        <f>($C342/$D342)*VLOOKUP($E342,'AWS Platforms Ratios'!$A$2:$O$25,7,FALSE)</f>
        <v>1.088705788</v>
      </c>
      <c r="P342" s="59">
        <f>($C342/$D342)*VLOOKUP($E342,'AWS Platforms Ratios'!$A$2:$O$25,8,FALSE)</f>
        <v>2.98369172</v>
      </c>
      <c r="Q342" s="59">
        <f>($C342/$D342)*VLOOKUP($E342,'AWS Platforms Ratios'!$A$2:$O$25,9,FALSE)</f>
        <v>7.052471865</v>
      </c>
      <c r="R342" s="59">
        <f>($C342/$D342)*VLOOKUP($E342,'AWS Platforms Ratios'!$A$2:$O$25,10,FALSE)</f>
        <v>9.548859526</v>
      </c>
      <c r="S342" s="59">
        <f>$F342*VLOOKUP($E342,'AWS Platforms Ratios'!$A$2:$O$25,11,FALSE)</f>
        <v>6.4</v>
      </c>
      <c r="T342" s="59">
        <f>$F342*VLOOKUP($E342,'AWS Platforms Ratios'!$A$2:$O$25,12,FALSE)</f>
        <v>9.6</v>
      </c>
      <c r="U342" s="59">
        <f>$F342*VLOOKUP($E342,'AWS Platforms Ratios'!$A$2:$O$25,13,FALSE)</f>
        <v>12.8</v>
      </c>
      <c r="V342" s="59">
        <f>$F342*VLOOKUP($E342,'AWS Platforms Ratios'!$A$2:$O$25,14,FALSE)</f>
        <v>19.2</v>
      </c>
      <c r="W342" s="60">
        <f>IF($K342&lt;&gt;"N/A",$M342*(VLOOKUP($L342,'GPU Specs &amp; Ratios'!$B$2:$I$8,5,FALSE)),0)</f>
        <v>0</v>
      </c>
      <c r="X342" s="60">
        <f>IF($K342&lt;&gt;"N/A",$M342*(VLOOKUP($L342,'GPU Specs &amp; Ratios'!$B$2:$I$8,6,FALSE)),0)</f>
        <v>0</v>
      </c>
      <c r="Y342" s="60">
        <f>IF($K342&lt;&gt;"N/A",$M342*(VLOOKUP($L342,'GPU Specs &amp; Ratios'!$B$2:$I$8,7,FALSE)),0)</f>
        <v>0</v>
      </c>
      <c r="Z342" s="60">
        <f>IF($K342&lt;&gt;"N/A",$M342*(VLOOKUP($L342,'GPU Specs &amp; Ratios'!$B$2:$I$8,8,FALSE)),0)</f>
        <v>0</v>
      </c>
      <c r="AA342" s="60">
        <f>(C342/D342)*VLOOKUP($E342,'AWS Platforms Ratios'!$A$2:$O$25,15,FALSE)</f>
        <v>1.875</v>
      </c>
      <c r="AB342" s="60">
        <f t="shared" ref="AB342:AE342" si="342">O342+S342+W342+$AA342</f>
        <v>9.363705788</v>
      </c>
      <c r="AC342" s="60">
        <f t="shared" si="342"/>
        <v>14.45869172</v>
      </c>
      <c r="AD342" s="60">
        <f t="shared" si="342"/>
        <v>21.72747186</v>
      </c>
      <c r="AE342" s="60">
        <f t="shared" si="342"/>
        <v>30.62385953</v>
      </c>
      <c r="AF342" s="60">
        <f>IF(G342&gt;'Scope 3 Ratios'!$B$5,(G342-'Scope 3 Ratios'!$B$5)*('Scope 3 Ratios'!$B$6/'Scope 3 Ratios'!$B$5),0)</f>
        <v>687.9024</v>
      </c>
      <c r="AG342" s="60">
        <f>J342*IF(I342="SSD",'Scope 3 Ratios'!$B$9,'Scope 3 Ratios'!$B$8)</f>
        <v>0</v>
      </c>
      <c r="AH342" s="60">
        <f>IF(K342&lt;&gt;"N/A",K342*'Scope 3 Ratios'!$B$10,0)</f>
        <v>0</v>
      </c>
      <c r="AI342" s="60">
        <f>(VLOOKUP($E342,'AWS Platforms Ratios'!$A$2:$O$25,3,FALSE)-1)*'Scope 3 Ratios'!$B$7</f>
        <v>0</v>
      </c>
      <c r="AJ342" s="60">
        <f>'Scope 3 Ratios'!$B$2+AF342+AG342+AH342+AI342</f>
        <v>1687.9024</v>
      </c>
      <c r="AK342" s="60">
        <f>AJ342*'Scope 3 Ratios'!$B$4*(C342/D342)</f>
        <v>3.052485532</v>
      </c>
      <c r="AL342" s="61" t="s">
        <v>190</v>
      </c>
    </row>
    <row r="343" ht="15.0" customHeight="1">
      <c r="A343" s="63" t="s">
        <v>622</v>
      </c>
      <c r="B343" s="56" t="s">
        <v>188</v>
      </c>
      <c r="C343" s="63">
        <v>8.0</v>
      </c>
      <c r="D343" s="56">
        <f>VLOOKUP(E343,'AWS Platforms Ratios'!$A$2:$B$25,2,FALSE)</f>
        <v>64</v>
      </c>
      <c r="E343" s="63" t="s">
        <v>189</v>
      </c>
      <c r="F343" s="63">
        <v>64.0</v>
      </c>
      <c r="G343" s="63">
        <v>512.0</v>
      </c>
      <c r="H343" s="64" t="s">
        <v>71</v>
      </c>
      <c r="I343" s="56" t="s">
        <v>72</v>
      </c>
      <c r="J343" s="63">
        <v>0.0</v>
      </c>
      <c r="K343" s="58" t="s">
        <v>73</v>
      </c>
      <c r="L343" s="58" t="s">
        <v>73</v>
      </c>
      <c r="M343" s="58" t="s">
        <v>73</v>
      </c>
      <c r="N343" s="58" t="s">
        <v>73</v>
      </c>
      <c r="O343" s="59">
        <f>($C343/$D343)*VLOOKUP($E343,'AWS Platforms Ratios'!$A$2:$O$25,7,FALSE)</f>
        <v>2.177411576</v>
      </c>
      <c r="P343" s="59">
        <f>($C343/$D343)*VLOOKUP($E343,'AWS Platforms Ratios'!$A$2:$O$25,8,FALSE)</f>
        <v>5.967383441</v>
      </c>
      <c r="Q343" s="59">
        <f>($C343/$D343)*VLOOKUP($E343,'AWS Platforms Ratios'!$A$2:$O$25,9,FALSE)</f>
        <v>14.10494373</v>
      </c>
      <c r="R343" s="59">
        <f>($C343/$D343)*VLOOKUP($E343,'AWS Platforms Ratios'!$A$2:$O$25,10,FALSE)</f>
        <v>19.09771905</v>
      </c>
      <c r="S343" s="59">
        <f>$F343*VLOOKUP($E343,'AWS Platforms Ratios'!$A$2:$O$25,11,FALSE)</f>
        <v>12.8</v>
      </c>
      <c r="T343" s="59">
        <f>$F343*VLOOKUP($E343,'AWS Platforms Ratios'!$A$2:$O$25,12,FALSE)</f>
        <v>19.2</v>
      </c>
      <c r="U343" s="59">
        <f>$F343*VLOOKUP($E343,'AWS Platforms Ratios'!$A$2:$O$25,13,FALSE)</f>
        <v>25.6</v>
      </c>
      <c r="V343" s="59">
        <f>$F343*VLOOKUP($E343,'AWS Platforms Ratios'!$A$2:$O$25,14,FALSE)</f>
        <v>38.4</v>
      </c>
      <c r="W343" s="60">
        <f>IF($K343&lt;&gt;"N/A",$M343*(VLOOKUP($L343,'GPU Specs &amp; Ratios'!$B$2:$I$8,5,FALSE)),0)</f>
        <v>0</v>
      </c>
      <c r="X343" s="60">
        <f>IF($K343&lt;&gt;"N/A",$M343*(VLOOKUP($L343,'GPU Specs &amp; Ratios'!$B$2:$I$8,6,FALSE)),0)</f>
        <v>0</v>
      </c>
      <c r="Y343" s="60">
        <f>IF($K343&lt;&gt;"N/A",$M343*(VLOOKUP($L343,'GPU Specs &amp; Ratios'!$B$2:$I$8,7,FALSE)),0)</f>
        <v>0</v>
      </c>
      <c r="Z343" s="60">
        <f>IF($K343&lt;&gt;"N/A",$M343*(VLOOKUP($L343,'GPU Specs &amp; Ratios'!$B$2:$I$8,8,FALSE)),0)</f>
        <v>0</v>
      </c>
      <c r="AA343" s="60">
        <f>(C343/D343)*VLOOKUP($E343,'AWS Platforms Ratios'!$A$2:$O$25,15,FALSE)</f>
        <v>3.75</v>
      </c>
      <c r="AB343" s="60">
        <f t="shared" ref="AB343:AE343" si="343">O343+S343+W343+$AA343</f>
        <v>18.72741158</v>
      </c>
      <c r="AC343" s="60">
        <f t="shared" si="343"/>
        <v>28.91738344</v>
      </c>
      <c r="AD343" s="60">
        <f t="shared" si="343"/>
        <v>43.45494373</v>
      </c>
      <c r="AE343" s="60">
        <f t="shared" si="343"/>
        <v>61.24771905</v>
      </c>
      <c r="AF343" s="60">
        <f>IF(G343&gt;'Scope 3 Ratios'!$B$5,(G343-'Scope 3 Ratios'!$B$5)*('Scope 3 Ratios'!$B$6/'Scope 3 Ratios'!$B$5),0)</f>
        <v>687.9024</v>
      </c>
      <c r="AG343" s="60">
        <f>J343*IF(I343="SSD",'Scope 3 Ratios'!$B$9,'Scope 3 Ratios'!$B$8)</f>
        <v>0</v>
      </c>
      <c r="AH343" s="60">
        <f>IF(K343&lt;&gt;"N/A",K343*'Scope 3 Ratios'!$B$10,0)</f>
        <v>0</v>
      </c>
      <c r="AI343" s="60">
        <f>(VLOOKUP($E343,'AWS Platforms Ratios'!$A$2:$O$25,3,FALSE)-1)*'Scope 3 Ratios'!$B$7</f>
        <v>0</v>
      </c>
      <c r="AJ343" s="60">
        <f>'Scope 3 Ratios'!$B$2+AF343+AG343+AH343+AI343</f>
        <v>1687.9024</v>
      </c>
      <c r="AK343" s="60">
        <f>AJ343*'Scope 3 Ratios'!$B$4*(C343/D343)</f>
        <v>6.104971065</v>
      </c>
      <c r="AL343" s="61" t="s">
        <v>190</v>
      </c>
    </row>
    <row r="344" ht="15.0" customHeight="1">
      <c r="A344" s="63" t="s">
        <v>623</v>
      </c>
      <c r="B344" s="56" t="s">
        <v>188</v>
      </c>
      <c r="C344" s="63">
        <v>16.0</v>
      </c>
      <c r="D344" s="56">
        <f>VLOOKUP(E344,'AWS Platforms Ratios'!$A$2:$B$25,2,FALSE)</f>
        <v>64</v>
      </c>
      <c r="E344" s="63" t="s">
        <v>189</v>
      </c>
      <c r="F344" s="63">
        <v>128.0</v>
      </c>
      <c r="G344" s="63">
        <v>512.0</v>
      </c>
      <c r="H344" s="64" t="s">
        <v>71</v>
      </c>
      <c r="I344" s="56" t="s">
        <v>72</v>
      </c>
      <c r="J344" s="63">
        <v>0.0</v>
      </c>
      <c r="K344" s="58" t="s">
        <v>73</v>
      </c>
      <c r="L344" s="58" t="s">
        <v>73</v>
      </c>
      <c r="M344" s="58" t="s">
        <v>73</v>
      </c>
      <c r="N344" s="58" t="s">
        <v>73</v>
      </c>
      <c r="O344" s="59">
        <f>($C344/$D344)*VLOOKUP($E344,'AWS Platforms Ratios'!$A$2:$O$25,7,FALSE)</f>
        <v>4.354823151</v>
      </c>
      <c r="P344" s="59">
        <f>($C344/$D344)*VLOOKUP($E344,'AWS Platforms Ratios'!$A$2:$O$25,8,FALSE)</f>
        <v>11.93476688</v>
      </c>
      <c r="Q344" s="59">
        <f>($C344/$D344)*VLOOKUP($E344,'AWS Platforms Ratios'!$A$2:$O$25,9,FALSE)</f>
        <v>28.20988746</v>
      </c>
      <c r="R344" s="59">
        <f>($C344/$D344)*VLOOKUP($E344,'AWS Platforms Ratios'!$A$2:$O$25,10,FALSE)</f>
        <v>38.1954381</v>
      </c>
      <c r="S344" s="59">
        <f>$F344*VLOOKUP($E344,'AWS Platforms Ratios'!$A$2:$O$25,11,FALSE)</f>
        <v>25.6</v>
      </c>
      <c r="T344" s="59">
        <f>$F344*VLOOKUP($E344,'AWS Platforms Ratios'!$A$2:$O$25,12,FALSE)</f>
        <v>38.4</v>
      </c>
      <c r="U344" s="59">
        <f>$F344*VLOOKUP($E344,'AWS Platforms Ratios'!$A$2:$O$25,13,FALSE)</f>
        <v>51.2</v>
      </c>
      <c r="V344" s="59">
        <f>$F344*VLOOKUP($E344,'AWS Platforms Ratios'!$A$2:$O$25,14,FALSE)</f>
        <v>76.8</v>
      </c>
      <c r="W344" s="60">
        <f>IF($K344&lt;&gt;"N/A",$M344*(VLOOKUP($L344,'GPU Specs &amp; Ratios'!$B$2:$I$8,5,FALSE)),0)</f>
        <v>0</v>
      </c>
      <c r="X344" s="60">
        <f>IF($K344&lt;&gt;"N/A",$M344*(VLOOKUP($L344,'GPU Specs &amp; Ratios'!$B$2:$I$8,6,FALSE)),0)</f>
        <v>0</v>
      </c>
      <c r="Y344" s="60">
        <f>IF($K344&lt;&gt;"N/A",$M344*(VLOOKUP($L344,'GPU Specs &amp; Ratios'!$B$2:$I$8,7,FALSE)),0)</f>
        <v>0</v>
      </c>
      <c r="Z344" s="60">
        <f>IF($K344&lt;&gt;"N/A",$M344*(VLOOKUP($L344,'GPU Specs &amp; Ratios'!$B$2:$I$8,8,FALSE)),0)</f>
        <v>0</v>
      </c>
      <c r="AA344" s="60">
        <f>(C344/D344)*VLOOKUP($E344,'AWS Platforms Ratios'!$A$2:$O$25,15,FALSE)</f>
        <v>7.5</v>
      </c>
      <c r="AB344" s="60">
        <f t="shared" ref="AB344:AE344" si="344">O344+S344+W344+$AA344</f>
        <v>37.45482315</v>
      </c>
      <c r="AC344" s="60">
        <f t="shared" si="344"/>
        <v>57.83476688</v>
      </c>
      <c r="AD344" s="60">
        <f t="shared" si="344"/>
        <v>86.90988746</v>
      </c>
      <c r="AE344" s="60">
        <f t="shared" si="344"/>
        <v>122.4954381</v>
      </c>
      <c r="AF344" s="60">
        <f>IF(G344&gt;'Scope 3 Ratios'!$B$5,(G344-'Scope 3 Ratios'!$B$5)*('Scope 3 Ratios'!$B$6/'Scope 3 Ratios'!$B$5),0)</f>
        <v>687.9024</v>
      </c>
      <c r="AG344" s="60">
        <f>J344*IF(I344="SSD",'Scope 3 Ratios'!$B$9,'Scope 3 Ratios'!$B$8)</f>
        <v>0</v>
      </c>
      <c r="AH344" s="60">
        <f>IF(K344&lt;&gt;"N/A",K344*'Scope 3 Ratios'!$B$10,0)</f>
        <v>0</v>
      </c>
      <c r="AI344" s="60">
        <f>(VLOOKUP($E344,'AWS Platforms Ratios'!$A$2:$O$25,3,FALSE)-1)*'Scope 3 Ratios'!$B$7</f>
        <v>0</v>
      </c>
      <c r="AJ344" s="60">
        <f>'Scope 3 Ratios'!$B$2+AF344+AG344+AH344+AI344</f>
        <v>1687.9024</v>
      </c>
      <c r="AK344" s="60">
        <f>AJ344*'Scope 3 Ratios'!$B$4*(C344/D344)</f>
        <v>12.20994213</v>
      </c>
      <c r="AL344" s="61" t="s">
        <v>190</v>
      </c>
    </row>
    <row r="345" ht="15.0" customHeight="1">
      <c r="A345" s="63" t="s">
        <v>624</v>
      </c>
      <c r="B345" s="56" t="s">
        <v>188</v>
      </c>
      <c r="C345" s="63">
        <v>32.0</v>
      </c>
      <c r="D345" s="56">
        <f>VLOOKUP(E345,'AWS Platforms Ratios'!$A$2:$B$25,2,FALSE)</f>
        <v>64</v>
      </c>
      <c r="E345" s="63" t="s">
        <v>189</v>
      </c>
      <c r="F345" s="63">
        <v>256.0</v>
      </c>
      <c r="G345" s="63">
        <v>512.0</v>
      </c>
      <c r="H345" s="64" t="s">
        <v>71</v>
      </c>
      <c r="I345" s="56" t="s">
        <v>72</v>
      </c>
      <c r="J345" s="63">
        <v>0.0</v>
      </c>
      <c r="K345" s="58" t="s">
        <v>73</v>
      </c>
      <c r="L345" s="58" t="s">
        <v>73</v>
      </c>
      <c r="M345" s="58" t="s">
        <v>73</v>
      </c>
      <c r="N345" s="58" t="s">
        <v>73</v>
      </c>
      <c r="O345" s="59">
        <f>($C345/$D345)*VLOOKUP($E345,'AWS Platforms Ratios'!$A$2:$O$25,7,FALSE)</f>
        <v>8.709646302</v>
      </c>
      <c r="P345" s="59">
        <f>($C345/$D345)*VLOOKUP($E345,'AWS Platforms Ratios'!$A$2:$O$25,8,FALSE)</f>
        <v>23.86953376</v>
      </c>
      <c r="Q345" s="59">
        <f>($C345/$D345)*VLOOKUP($E345,'AWS Platforms Ratios'!$A$2:$O$25,9,FALSE)</f>
        <v>56.41977492</v>
      </c>
      <c r="R345" s="59">
        <f>($C345/$D345)*VLOOKUP($E345,'AWS Platforms Ratios'!$A$2:$O$25,10,FALSE)</f>
        <v>76.39087621</v>
      </c>
      <c r="S345" s="59">
        <f>$F345*VLOOKUP($E345,'AWS Platforms Ratios'!$A$2:$O$25,11,FALSE)</f>
        <v>51.2</v>
      </c>
      <c r="T345" s="59">
        <f>$F345*VLOOKUP($E345,'AWS Platforms Ratios'!$A$2:$O$25,12,FALSE)</f>
        <v>76.8</v>
      </c>
      <c r="U345" s="59">
        <f>$F345*VLOOKUP($E345,'AWS Platforms Ratios'!$A$2:$O$25,13,FALSE)</f>
        <v>102.4</v>
      </c>
      <c r="V345" s="59">
        <f>$F345*VLOOKUP($E345,'AWS Platforms Ratios'!$A$2:$O$25,14,FALSE)</f>
        <v>153.6</v>
      </c>
      <c r="W345" s="60">
        <f>IF($K345&lt;&gt;"N/A",$M345*(VLOOKUP($L345,'GPU Specs &amp; Ratios'!$B$2:$I$8,5,FALSE)),0)</f>
        <v>0</v>
      </c>
      <c r="X345" s="60">
        <f>IF($K345&lt;&gt;"N/A",$M345*(VLOOKUP($L345,'GPU Specs &amp; Ratios'!$B$2:$I$8,6,FALSE)),0)</f>
        <v>0</v>
      </c>
      <c r="Y345" s="60">
        <f>IF($K345&lt;&gt;"N/A",$M345*(VLOOKUP($L345,'GPU Specs &amp; Ratios'!$B$2:$I$8,7,FALSE)),0)</f>
        <v>0</v>
      </c>
      <c r="Z345" s="60">
        <f>IF($K345&lt;&gt;"N/A",$M345*(VLOOKUP($L345,'GPU Specs &amp; Ratios'!$B$2:$I$8,8,FALSE)),0)</f>
        <v>0</v>
      </c>
      <c r="AA345" s="60">
        <f>(C345/D345)*VLOOKUP($E345,'AWS Platforms Ratios'!$A$2:$O$25,15,FALSE)</f>
        <v>15</v>
      </c>
      <c r="AB345" s="60">
        <f t="shared" ref="AB345:AE345" si="345">O345+S345+W345+$AA345</f>
        <v>74.9096463</v>
      </c>
      <c r="AC345" s="60">
        <f t="shared" si="345"/>
        <v>115.6695338</v>
      </c>
      <c r="AD345" s="60">
        <f t="shared" si="345"/>
        <v>173.8197749</v>
      </c>
      <c r="AE345" s="60">
        <f t="shared" si="345"/>
        <v>244.9908762</v>
      </c>
      <c r="AF345" s="60">
        <f>IF(G345&gt;'Scope 3 Ratios'!$B$5,(G345-'Scope 3 Ratios'!$B$5)*('Scope 3 Ratios'!$B$6/'Scope 3 Ratios'!$B$5),0)</f>
        <v>687.9024</v>
      </c>
      <c r="AG345" s="60">
        <f>J345*IF(I345="SSD",'Scope 3 Ratios'!$B$9,'Scope 3 Ratios'!$B$8)</f>
        <v>0</v>
      </c>
      <c r="AH345" s="60">
        <f>IF(K345&lt;&gt;"N/A",K345*'Scope 3 Ratios'!$B$10,0)</f>
        <v>0</v>
      </c>
      <c r="AI345" s="60">
        <f>(VLOOKUP($E345,'AWS Platforms Ratios'!$A$2:$O$25,3,FALSE)-1)*'Scope 3 Ratios'!$B$7</f>
        <v>0</v>
      </c>
      <c r="AJ345" s="60">
        <f>'Scope 3 Ratios'!$B$2+AF345+AG345+AH345+AI345</f>
        <v>1687.9024</v>
      </c>
      <c r="AK345" s="60">
        <f>AJ345*'Scope 3 Ratios'!$B$4*(C345/D345)</f>
        <v>24.41988426</v>
      </c>
      <c r="AL345" s="61" t="s">
        <v>190</v>
      </c>
    </row>
    <row r="346" ht="15.0" customHeight="1">
      <c r="A346" s="63" t="s">
        <v>625</v>
      </c>
      <c r="B346" s="56" t="s">
        <v>188</v>
      </c>
      <c r="C346" s="63">
        <v>48.0</v>
      </c>
      <c r="D346" s="56">
        <f>VLOOKUP(E346,'AWS Platforms Ratios'!$A$2:$B$25,2,FALSE)</f>
        <v>64</v>
      </c>
      <c r="E346" s="63" t="s">
        <v>189</v>
      </c>
      <c r="F346" s="63">
        <v>384.0</v>
      </c>
      <c r="G346" s="63">
        <v>512.0</v>
      </c>
      <c r="H346" s="64" t="s">
        <v>71</v>
      </c>
      <c r="I346" s="56" t="s">
        <v>72</v>
      </c>
      <c r="J346" s="63">
        <v>0.0</v>
      </c>
      <c r="K346" s="58" t="s">
        <v>73</v>
      </c>
      <c r="L346" s="58" t="s">
        <v>73</v>
      </c>
      <c r="M346" s="58" t="s">
        <v>73</v>
      </c>
      <c r="N346" s="58" t="s">
        <v>73</v>
      </c>
      <c r="O346" s="59">
        <f>($C346/$D346)*VLOOKUP($E346,'AWS Platforms Ratios'!$A$2:$O$25,7,FALSE)</f>
        <v>13.06446945</v>
      </c>
      <c r="P346" s="59">
        <f>($C346/$D346)*VLOOKUP($E346,'AWS Platforms Ratios'!$A$2:$O$25,8,FALSE)</f>
        <v>35.80430064</v>
      </c>
      <c r="Q346" s="59">
        <f>($C346/$D346)*VLOOKUP($E346,'AWS Platforms Ratios'!$A$2:$O$25,9,FALSE)</f>
        <v>84.62966238</v>
      </c>
      <c r="R346" s="59">
        <f>($C346/$D346)*VLOOKUP($E346,'AWS Platforms Ratios'!$A$2:$O$25,10,FALSE)</f>
        <v>114.5863143</v>
      </c>
      <c r="S346" s="59">
        <f>$F346*VLOOKUP($E346,'AWS Platforms Ratios'!$A$2:$O$25,11,FALSE)</f>
        <v>76.8</v>
      </c>
      <c r="T346" s="59">
        <f>$F346*VLOOKUP($E346,'AWS Platforms Ratios'!$A$2:$O$25,12,FALSE)</f>
        <v>115.2</v>
      </c>
      <c r="U346" s="59">
        <f>$F346*VLOOKUP($E346,'AWS Platforms Ratios'!$A$2:$O$25,13,FALSE)</f>
        <v>153.6</v>
      </c>
      <c r="V346" s="59">
        <f>$F346*VLOOKUP($E346,'AWS Platforms Ratios'!$A$2:$O$25,14,FALSE)</f>
        <v>230.4</v>
      </c>
      <c r="W346" s="60">
        <f>IF($K346&lt;&gt;"N/A",$M346*(VLOOKUP($L346,'GPU Specs &amp; Ratios'!$B$2:$I$8,5,FALSE)),0)</f>
        <v>0</v>
      </c>
      <c r="X346" s="60">
        <f>IF($K346&lt;&gt;"N/A",$M346*(VLOOKUP($L346,'GPU Specs &amp; Ratios'!$B$2:$I$8,6,FALSE)),0)</f>
        <v>0</v>
      </c>
      <c r="Y346" s="60">
        <f>IF($K346&lt;&gt;"N/A",$M346*(VLOOKUP($L346,'GPU Specs &amp; Ratios'!$B$2:$I$8,7,FALSE)),0)</f>
        <v>0</v>
      </c>
      <c r="Z346" s="60">
        <f>IF($K346&lt;&gt;"N/A",$M346*(VLOOKUP($L346,'GPU Specs &amp; Ratios'!$B$2:$I$8,8,FALSE)),0)</f>
        <v>0</v>
      </c>
      <c r="AA346" s="60">
        <f>(C346/D346)*VLOOKUP($E346,'AWS Platforms Ratios'!$A$2:$O$25,15,FALSE)</f>
        <v>22.5</v>
      </c>
      <c r="AB346" s="60">
        <f t="shared" ref="AB346:AE346" si="346">O346+S346+W346+$AA346</f>
        <v>112.3644695</v>
      </c>
      <c r="AC346" s="60">
        <f t="shared" si="346"/>
        <v>173.5043006</v>
      </c>
      <c r="AD346" s="60">
        <f t="shared" si="346"/>
        <v>260.7296624</v>
      </c>
      <c r="AE346" s="60">
        <f t="shared" si="346"/>
        <v>367.4863143</v>
      </c>
      <c r="AF346" s="60">
        <f>IF(G346&gt;'Scope 3 Ratios'!$B$5,(G346-'Scope 3 Ratios'!$B$5)*('Scope 3 Ratios'!$B$6/'Scope 3 Ratios'!$B$5),0)</f>
        <v>687.9024</v>
      </c>
      <c r="AG346" s="60">
        <f>J346*IF(I346="SSD",'Scope 3 Ratios'!$B$9,'Scope 3 Ratios'!$B$8)</f>
        <v>0</v>
      </c>
      <c r="AH346" s="60">
        <f>IF(K346&lt;&gt;"N/A",K346*'Scope 3 Ratios'!$B$10,0)</f>
        <v>0</v>
      </c>
      <c r="AI346" s="60">
        <f>(VLOOKUP($E346,'AWS Platforms Ratios'!$A$2:$O$25,3,FALSE)-1)*'Scope 3 Ratios'!$B$7</f>
        <v>0</v>
      </c>
      <c r="AJ346" s="60">
        <f>'Scope 3 Ratios'!$B$2+AF346+AG346+AH346+AI346</f>
        <v>1687.9024</v>
      </c>
      <c r="AK346" s="60">
        <f>AJ346*'Scope 3 Ratios'!$B$4*(C346/D346)</f>
        <v>36.62982639</v>
      </c>
      <c r="AL346" s="61" t="s">
        <v>190</v>
      </c>
    </row>
    <row r="347" ht="15.0" customHeight="1">
      <c r="A347" s="63" t="s">
        <v>626</v>
      </c>
      <c r="B347" s="56" t="s">
        <v>188</v>
      </c>
      <c r="C347" s="63">
        <v>64.0</v>
      </c>
      <c r="D347" s="56">
        <f>VLOOKUP(E347,'AWS Platforms Ratios'!$A$2:$B$25,2,FALSE)</f>
        <v>64</v>
      </c>
      <c r="E347" s="63" t="s">
        <v>189</v>
      </c>
      <c r="F347" s="63">
        <v>512.0</v>
      </c>
      <c r="G347" s="63">
        <v>512.0</v>
      </c>
      <c r="H347" s="64" t="s">
        <v>71</v>
      </c>
      <c r="I347" s="56" t="s">
        <v>72</v>
      </c>
      <c r="J347" s="63">
        <v>0.0</v>
      </c>
      <c r="K347" s="58" t="s">
        <v>73</v>
      </c>
      <c r="L347" s="58" t="s">
        <v>73</v>
      </c>
      <c r="M347" s="58" t="s">
        <v>73</v>
      </c>
      <c r="N347" s="58" t="s">
        <v>73</v>
      </c>
      <c r="O347" s="59">
        <f>($C347/$D347)*VLOOKUP($E347,'AWS Platforms Ratios'!$A$2:$O$25,7,FALSE)</f>
        <v>17.4192926</v>
      </c>
      <c r="P347" s="59">
        <f>($C347/$D347)*VLOOKUP($E347,'AWS Platforms Ratios'!$A$2:$O$25,8,FALSE)</f>
        <v>47.73906752</v>
      </c>
      <c r="Q347" s="59">
        <f>($C347/$D347)*VLOOKUP($E347,'AWS Platforms Ratios'!$A$2:$O$25,9,FALSE)</f>
        <v>112.8395498</v>
      </c>
      <c r="R347" s="59">
        <f>($C347/$D347)*VLOOKUP($E347,'AWS Platforms Ratios'!$A$2:$O$25,10,FALSE)</f>
        <v>152.7817524</v>
      </c>
      <c r="S347" s="59">
        <f>$F347*VLOOKUP($E347,'AWS Platforms Ratios'!$A$2:$O$25,11,FALSE)</f>
        <v>102.4</v>
      </c>
      <c r="T347" s="59">
        <f>$F347*VLOOKUP($E347,'AWS Platforms Ratios'!$A$2:$O$25,12,FALSE)</f>
        <v>153.6</v>
      </c>
      <c r="U347" s="59">
        <f>$F347*VLOOKUP($E347,'AWS Platforms Ratios'!$A$2:$O$25,13,FALSE)</f>
        <v>204.8</v>
      </c>
      <c r="V347" s="59">
        <f>$F347*VLOOKUP($E347,'AWS Platforms Ratios'!$A$2:$O$25,14,FALSE)</f>
        <v>307.2</v>
      </c>
      <c r="W347" s="60">
        <f>IF($K347&lt;&gt;"N/A",$M347*(VLOOKUP($L347,'GPU Specs &amp; Ratios'!$B$2:$I$8,5,FALSE)),0)</f>
        <v>0</v>
      </c>
      <c r="X347" s="60">
        <f>IF($K347&lt;&gt;"N/A",$M347*(VLOOKUP($L347,'GPU Specs &amp; Ratios'!$B$2:$I$8,6,FALSE)),0)</f>
        <v>0</v>
      </c>
      <c r="Y347" s="60">
        <f>IF($K347&lt;&gt;"N/A",$M347*(VLOOKUP($L347,'GPU Specs &amp; Ratios'!$B$2:$I$8,7,FALSE)),0)</f>
        <v>0</v>
      </c>
      <c r="Z347" s="60">
        <f>IF($K347&lt;&gt;"N/A",$M347*(VLOOKUP($L347,'GPU Specs &amp; Ratios'!$B$2:$I$8,8,FALSE)),0)</f>
        <v>0</v>
      </c>
      <c r="AA347" s="60">
        <f>(C347/D347)*VLOOKUP($E347,'AWS Platforms Ratios'!$A$2:$O$25,15,FALSE)</f>
        <v>30</v>
      </c>
      <c r="AB347" s="60">
        <f t="shared" ref="AB347:AE347" si="347">O347+S347+W347+$AA347</f>
        <v>149.8192926</v>
      </c>
      <c r="AC347" s="60">
        <f t="shared" si="347"/>
        <v>231.3390675</v>
      </c>
      <c r="AD347" s="60">
        <f t="shared" si="347"/>
        <v>347.6395498</v>
      </c>
      <c r="AE347" s="60">
        <f t="shared" si="347"/>
        <v>489.9817524</v>
      </c>
      <c r="AF347" s="60">
        <f>IF(G347&gt;'Scope 3 Ratios'!$B$5,(G347-'Scope 3 Ratios'!$B$5)*('Scope 3 Ratios'!$B$6/'Scope 3 Ratios'!$B$5),0)</f>
        <v>687.9024</v>
      </c>
      <c r="AG347" s="60">
        <f>J347*IF(I347="SSD",'Scope 3 Ratios'!$B$9,'Scope 3 Ratios'!$B$8)</f>
        <v>0</v>
      </c>
      <c r="AH347" s="60">
        <f>IF(K347&lt;&gt;"N/A",K347*'Scope 3 Ratios'!$B$10,0)</f>
        <v>0</v>
      </c>
      <c r="AI347" s="60">
        <f>(VLOOKUP($E347,'AWS Platforms Ratios'!$A$2:$O$25,3,FALSE)-1)*'Scope 3 Ratios'!$B$7</f>
        <v>0</v>
      </c>
      <c r="AJ347" s="60">
        <f>'Scope 3 Ratios'!$B$2+AF347+AG347+AH347+AI347</f>
        <v>1687.9024</v>
      </c>
      <c r="AK347" s="60">
        <f>AJ347*'Scope 3 Ratios'!$B$4*(C347/D347)</f>
        <v>48.83976852</v>
      </c>
      <c r="AL347" s="61" t="s">
        <v>190</v>
      </c>
    </row>
    <row r="348" ht="15.0" customHeight="1">
      <c r="A348" s="63" t="s">
        <v>627</v>
      </c>
      <c r="B348" s="56" t="s">
        <v>188</v>
      </c>
      <c r="C348" s="63">
        <v>64.0</v>
      </c>
      <c r="D348" s="56">
        <f>VLOOKUP(E348,'AWS Platforms Ratios'!$A$2:$B$25,2,FALSE)</f>
        <v>64</v>
      </c>
      <c r="E348" s="63" t="s">
        <v>189</v>
      </c>
      <c r="F348" s="63">
        <v>512.0</v>
      </c>
      <c r="G348" s="63">
        <v>512.0</v>
      </c>
      <c r="H348" s="64" t="s">
        <v>71</v>
      </c>
      <c r="I348" s="56" t="s">
        <v>72</v>
      </c>
      <c r="J348" s="63">
        <v>0.0</v>
      </c>
      <c r="K348" s="58" t="s">
        <v>73</v>
      </c>
      <c r="L348" s="58" t="s">
        <v>73</v>
      </c>
      <c r="M348" s="58" t="s">
        <v>73</v>
      </c>
      <c r="N348" s="58" t="s">
        <v>73</v>
      </c>
      <c r="O348" s="59">
        <f>($C348/$D348)*VLOOKUP($E348,'AWS Platforms Ratios'!$A$2:$O$25,7,FALSE)</f>
        <v>17.4192926</v>
      </c>
      <c r="P348" s="59">
        <f>($C348/$D348)*VLOOKUP($E348,'AWS Platforms Ratios'!$A$2:$O$25,8,FALSE)</f>
        <v>47.73906752</v>
      </c>
      <c r="Q348" s="59">
        <f>($C348/$D348)*VLOOKUP($E348,'AWS Platforms Ratios'!$A$2:$O$25,9,FALSE)</f>
        <v>112.8395498</v>
      </c>
      <c r="R348" s="59">
        <f>($C348/$D348)*VLOOKUP($E348,'AWS Platforms Ratios'!$A$2:$O$25,10,FALSE)</f>
        <v>152.7817524</v>
      </c>
      <c r="S348" s="59">
        <f>$F348*VLOOKUP($E348,'AWS Platforms Ratios'!$A$2:$O$25,11,FALSE)</f>
        <v>102.4</v>
      </c>
      <c r="T348" s="59">
        <f>$F348*VLOOKUP($E348,'AWS Platforms Ratios'!$A$2:$O$25,12,FALSE)</f>
        <v>153.6</v>
      </c>
      <c r="U348" s="59">
        <f>$F348*VLOOKUP($E348,'AWS Platforms Ratios'!$A$2:$O$25,13,FALSE)</f>
        <v>204.8</v>
      </c>
      <c r="V348" s="59">
        <f>$F348*VLOOKUP($E348,'AWS Platforms Ratios'!$A$2:$O$25,14,FALSE)</f>
        <v>307.2</v>
      </c>
      <c r="W348" s="60">
        <f>IF($K348&lt;&gt;"N/A",$M348*(VLOOKUP($L348,'GPU Specs &amp; Ratios'!$B$2:$I$8,5,FALSE)),0)</f>
        <v>0</v>
      </c>
      <c r="X348" s="60">
        <f>IF($K348&lt;&gt;"N/A",$M348*(VLOOKUP($L348,'GPU Specs &amp; Ratios'!$B$2:$I$8,6,FALSE)),0)</f>
        <v>0</v>
      </c>
      <c r="Y348" s="60">
        <f>IF($K348&lt;&gt;"N/A",$M348*(VLOOKUP($L348,'GPU Specs &amp; Ratios'!$B$2:$I$8,7,FALSE)),0)</f>
        <v>0</v>
      </c>
      <c r="Z348" s="60">
        <f>IF($K348&lt;&gt;"N/A",$M348*(VLOOKUP($L348,'GPU Specs &amp; Ratios'!$B$2:$I$8,8,FALSE)),0)</f>
        <v>0</v>
      </c>
      <c r="AA348" s="60">
        <f>(C348/D348)*VLOOKUP($E348,'AWS Platforms Ratios'!$A$2:$O$25,15,FALSE)</f>
        <v>30</v>
      </c>
      <c r="AB348" s="60">
        <f t="shared" ref="AB348:AE348" si="348">O348+S348+W348+$AA348</f>
        <v>149.8192926</v>
      </c>
      <c r="AC348" s="60">
        <f t="shared" si="348"/>
        <v>231.3390675</v>
      </c>
      <c r="AD348" s="60">
        <f t="shared" si="348"/>
        <v>347.6395498</v>
      </c>
      <c r="AE348" s="60">
        <f t="shared" si="348"/>
        <v>489.9817524</v>
      </c>
      <c r="AF348" s="60">
        <f>IF(G348&gt;'Scope 3 Ratios'!$B$5,(G348-'Scope 3 Ratios'!$B$5)*('Scope 3 Ratios'!$B$6/'Scope 3 Ratios'!$B$5),0)</f>
        <v>687.9024</v>
      </c>
      <c r="AG348" s="60">
        <f>J348*IF(I348="SSD",'Scope 3 Ratios'!$B$9,'Scope 3 Ratios'!$B$8)</f>
        <v>0</v>
      </c>
      <c r="AH348" s="60">
        <f>IF(K348&lt;&gt;"N/A",K348*'Scope 3 Ratios'!$B$10,0)</f>
        <v>0</v>
      </c>
      <c r="AI348" s="60">
        <f>(VLOOKUP($E348,'AWS Platforms Ratios'!$A$2:$O$25,3,FALSE)-1)*'Scope 3 Ratios'!$B$7</f>
        <v>0</v>
      </c>
      <c r="AJ348" s="60">
        <f>'Scope 3 Ratios'!$B$2+AF348+AG348+AH348+AI348</f>
        <v>1687.9024</v>
      </c>
      <c r="AK348" s="60">
        <f>AJ348*'Scope 3 Ratios'!$B$4*(C348/D348)</f>
        <v>48.83976852</v>
      </c>
      <c r="AL348" s="61" t="s">
        <v>190</v>
      </c>
    </row>
    <row r="349" ht="15.0" customHeight="1">
      <c r="A349" s="63" t="s">
        <v>628</v>
      </c>
      <c r="B349" s="56" t="s">
        <v>188</v>
      </c>
      <c r="C349" s="63">
        <v>1.0</v>
      </c>
      <c r="D349" s="56">
        <f>VLOOKUP(E349,'AWS Platforms Ratios'!$A$2:$B$25,2,FALSE)</f>
        <v>64</v>
      </c>
      <c r="E349" s="63" t="s">
        <v>189</v>
      </c>
      <c r="F349" s="63">
        <v>8.0</v>
      </c>
      <c r="G349" s="63">
        <v>512.0</v>
      </c>
      <c r="H349" s="64" t="s">
        <v>200</v>
      </c>
      <c r="I349" s="63" t="s">
        <v>85</v>
      </c>
      <c r="J349" s="63">
        <v>2.0</v>
      </c>
      <c r="K349" s="58" t="s">
        <v>73</v>
      </c>
      <c r="L349" s="58" t="s">
        <v>73</v>
      </c>
      <c r="M349" s="58" t="s">
        <v>73</v>
      </c>
      <c r="N349" s="58" t="s">
        <v>73</v>
      </c>
      <c r="O349" s="59">
        <f>($C349/$D349)*VLOOKUP($E349,'AWS Platforms Ratios'!$A$2:$O$25,7,FALSE)</f>
        <v>0.2721764469</v>
      </c>
      <c r="P349" s="59">
        <f>($C349/$D349)*VLOOKUP($E349,'AWS Platforms Ratios'!$A$2:$O$25,8,FALSE)</f>
        <v>0.7459229301</v>
      </c>
      <c r="Q349" s="59">
        <f>($C349/$D349)*VLOOKUP($E349,'AWS Platforms Ratios'!$A$2:$O$25,9,FALSE)</f>
        <v>1.763117966</v>
      </c>
      <c r="R349" s="59">
        <f>($C349/$D349)*VLOOKUP($E349,'AWS Platforms Ratios'!$A$2:$O$25,10,FALSE)</f>
        <v>2.387214881</v>
      </c>
      <c r="S349" s="59">
        <f>$F349*VLOOKUP($E349,'AWS Platforms Ratios'!$A$2:$O$25,11,FALSE)</f>
        <v>1.6</v>
      </c>
      <c r="T349" s="59">
        <f>$F349*VLOOKUP($E349,'AWS Platforms Ratios'!$A$2:$O$25,12,FALSE)</f>
        <v>2.4</v>
      </c>
      <c r="U349" s="59">
        <f>$F349*VLOOKUP($E349,'AWS Platforms Ratios'!$A$2:$O$25,13,FALSE)</f>
        <v>3.2</v>
      </c>
      <c r="V349" s="59">
        <f>$F349*VLOOKUP($E349,'AWS Platforms Ratios'!$A$2:$O$25,14,FALSE)</f>
        <v>4.8</v>
      </c>
      <c r="W349" s="60">
        <f>IF($K349&lt;&gt;"N/A",$M349*(VLOOKUP($L349,'GPU Specs &amp; Ratios'!$B$2:$I$8,5,FALSE)),0)</f>
        <v>0</v>
      </c>
      <c r="X349" s="60">
        <f>IF($K349&lt;&gt;"N/A",$M349*(VLOOKUP($L349,'GPU Specs &amp; Ratios'!$B$2:$I$8,6,FALSE)),0)</f>
        <v>0</v>
      </c>
      <c r="Y349" s="60">
        <f>IF($K349&lt;&gt;"N/A",$M349*(VLOOKUP($L349,'GPU Specs &amp; Ratios'!$B$2:$I$8,7,FALSE)),0)</f>
        <v>0</v>
      </c>
      <c r="Z349" s="60">
        <f>IF($K349&lt;&gt;"N/A",$M349*(VLOOKUP($L349,'GPU Specs &amp; Ratios'!$B$2:$I$8,8,FALSE)),0)</f>
        <v>0</v>
      </c>
      <c r="AA349" s="60">
        <f>(C349/D349)*VLOOKUP($E349,'AWS Platforms Ratios'!$A$2:$O$25,15,FALSE)</f>
        <v>0.46875</v>
      </c>
      <c r="AB349" s="60">
        <f t="shared" ref="AB349:AE349" si="349">O349+S349+W349+$AA349</f>
        <v>2.340926447</v>
      </c>
      <c r="AC349" s="60">
        <f t="shared" si="349"/>
        <v>3.61467293</v>
      </c>
      <c r="AD349" s="60">
        <f t="shared" si="349"/>
        <v>5.431867966</v>
      </c>
      <c r="AE349" s="60">
        <f t="shared" si="349"/>
        <v>7.655964881</v>
      </c>
      <c r="AF349" s="60">
        <f>IF(G349&gt;'Scope 3 Ratios'!$B$5,(G349-'Scope 3 Ratios'!$B$5)*('Scope 3 Ratios'!$B$6/'Scope 3 Ratios'!$B$5),0)</f>
        <v>687.9024</v>
      </c>
      <c r="AG349" s="60">
        <f>J349*IF(I349="SSD",'Scope 3 Ratios'!$B$9,'Scope 3 Ratios'!$B$8)</f>
        <v>200</v>
      </c>
      <c r="AH349" s="60">
        <f>IF(K349&lt;&gt;"N/A",K349*'Scope 3 Ratios'!$B$10,0)</f>
        <v>0</v>
      </c>
      <c r="AI349" s="60">
        <f>(VLOOKUP($E349,'AWS Platforms Ratios'!$A$2:$O$25,3,FALSE)-1)*'Scope 3 Ratios'!$B$7</f>
        <v>0</v>
      </c>
      <c r="AJ349" s="60">
        <f>'Scope 3 Ratios'!$B$2+AF349+AG349+AH349+AI349</f>
        <v>1887.9024</v>
      </c>
      <c r="AK349" s="60">
        <f>AJ349*'Scope 3 Ratios'!$B$4*(C349/D349)</f>
        <v>0.8535438368</v>
      </c>
      <c r="AL349" s="61" t="s">
        <v>190</v>
      </c>
    </row>
    <row r="350" ht="15.0" customHeight="1">
      <c r="A350" s="63" t="s">
        <v>629</v>
      </c>
      <c r="B350" s="56" t="s">
        <v>188</v>
      </c>
      <c r="C350" s="63">
        <v>2.0</v>
      </c>
      <c r="D350" s="56">
        <f>VLOOKUP(E350,'AWS Platforms Ratios'!$A$2:$B$25,2,FALSE)</f>
        <v>64</v>
      </c>
      <c r="E350" s="63" t="s">
        <v>189</v>
      </c>
      <c r="F350" s="63">
        <v>16.0</v>
      </c>
      <c r="G350" s="63">
        <v>512.0</v>
      </c>
      <c r="H350" s="64" t="s">
        <v>202</v>
      </c>
      <c r="I350" s="63" t="s">
        <v>85</v>
      </c>
      <c r="J350" s="63">
        <v>2.0</v>
      </c>
      <c r="K350" s="58" t="s">
        <v>73</v>
      </c>
      <c r="L350" s="58" t="s">
        <v>73</v>
      </c>
      <c r="M350" s="58" t="s">
        <v>73</v>
      </c>
      <c r="N350" s="58" t="s">
        <v>73</v>
      </c>
      <c r="O350" s="59">
        <f>($C350/$D350)*VLOOKUP($E350,'AWS Platforms Ratios'!$A$2:$O$25,7,FALSE)</f>
        <v>0.5443528939</v>
      </c>
      <c r="P350" s="59">
        <f>($C350/$D350)*VLOOKUP($E350,'AWS Platforms Ratios'!$A$2:$O$25,8,FALSE)</f>
        <v>1.49184586</v>
      </c>
      <c r="Q350" s="59">
        <f>($C350/$D350)*VLOOKUP($E350,'AWS Platforms Ratios'!$A$2:$O$25,9,FALSE)</f>
        <v>3.526235932</v>
      </c>
      <c r="R350" s="59">
        <f>($C350/$D350)*VLOOKUP($E350,'AWS Platforms Ratios'!$A$2:$O$25,10,FALSE)</f>
        <v>4.774429763</v>
      </c>
      <c r="S350" s="59">
        <f>$F350*VLOOKUP($E350,'AWS Platforms Ratios'!$A$2:$O$25,11,FALSE)</f>
        <v>3.2</v>
      </c>
      <c r="T350" s="59">
        <f>$F350*VLOOKUP($E350,'AWS Platforms Ratios'!$A$2:$O$25,12,FALSE)</f>
        <v>4.8</v>
      </c>
      <c r="U350" s="59">
        <f>$F350*VLOOKUP($E350,'AWS Platforms Ratios'!$A$2:$O$25,13,FALSE)</f>
        <v>6.4</v>
      </c>
      <c r="V350" s="59">
        <f>$F350*VLOOKUP($E350,'AWS Platforms Ratios'!$A$2:$O$25,14,FALSE)</f>
        <v>9.6</v>
      </c>
      <c r="W350" s="60">
        <f>IF($K350&lt;&gt;"N/A",$M350*(VLOOKUP($L350,'GPU Specs &amp; Ratios'!$B$2:$I$8,5,FALSE)),0)</f>
        <v>0</v>
      </c>
      <c r="X350" s="60">
        <f>IF($K350&lt;&gt;"N/A",$M350*(VLOOKUP($L350,'GPU Specs &amp; Ratios'!$B$2:$I$8,6,FALSE)),0)</f>
        <v>0</v>
      </c>
      <c r="Y350" s="60">
        <f>IF($K350&lt;&gt;"N/A",$M350*(VLOOKUP($L350,'GPU Specs &amp; Ratios'!$B$2:$I$8,7,FALSE)),0)</f>
        <v>0</v>
      </c>
      <c r="Z350" s="60">
        <f>IF($K350&lt;&gt;"N/A",$M350*(VLOOKUP($L350,'GPU Specs &amp; Ratios'!$B$2:$I$8,8,FALSE)),0)</f>
        <v>0</v>
      </c>
      <c r="AA350" s="60">
        <f>(C350/D350)*VLOOKUP($E350,'AWS Platforms Ratios'!$A$2:$O$25,15,FALSE)</f>
        <v>0.9375</v>
      </c>
      <c r="AB350" s="60">
        <f t="shared" ref="AB350:AE350" si="350">O350+S350+W350+$AA350</f>
        <v>4.681852894</v>
      </c>
      <c r="AC350" s="60">
        <f t="shared" si="350"/>
        <v>7.22934586</v>
      </c>
      <c r="AD350" s="60">
        <f t="shared" si="350"/>
        <v>10.86373593</v>
      </c>
      <c r="AE350" s="60">
        <f t="shared" si="350"/>
        <v>15.31192976</v>
      </c>
      <c r="AF350" s="60">
        <f>IF(G350&gt;'Scope 3 Ratios'!$B$5,(G350-'Scope 3 Ratios'!$B$5)*('Scope 3 Ratios'!$B$6/'Scope 3 Ratios'!$B$5),0)</f>
        <v>687.9024</v>
      </c>
      <c r="AG350" s="60">
        <f>J350*IF(I350="SSD",'Scope 3 Ratios'!$B$9,'Scope 3 Ratios'!$B$8)</f>
        <v>200</v>
      </c>
      <c r="AH350" s="60">
        <f>IF(K350&lt;&gt;"N/A",K350*'Scope 3 Ratios'!$B$10,0)</f>
        <v>0</v>
      </c>
      <c r="AI350" s="60">
        <f>(VLOOKUP($E350,'AWS Platforms Ratios'!$A$2:$O$25,3,FALSE)-1)*'Scope 3 Ratios'!$B$7</f>
        <v>0</v>
      </c>
      <c r="AJ350" s="60">
        <f>'Scope 3 Ratios'!$B$2+AF350+AG350+AH350+AI350</f>
        <v>1887.9024</v>
      </c>
      <c r="AK350" s="60">
        <f>AJ350*'Scope 3 Ratios'!$B$4*(C350/D350)</f>
        <v>1.707087674</v>
      </c>
      <c r="AL350" s="61" t="s">
        <v>190</v>
      </c>
    </row>
    <row r="351" ht="15.0" customHeight="1">
      <c r="A351" s="63" t="s">
        <v>630</v>
      </c>
      <c r="B351" s="56" t="s">
        <v>188</v>
      </c>
      <c r="C351" s="63">
        <v>4.0</v>
      </c>
      <c r="D351" s="56">
        <f>VLOOKUP(E351,'AWS Platforms Ratios'!$A$2:$B$25,2,FALSE)</f>
        <v>64</v>
      </c>
      <c r="E351" s="63" t="s">
        <v>189</v>
      </c>
      <c r="F351" s="63">
        <v>32.0</v>
      </c>
      <c r="G351" s="63">
        <v>512.0</v>
      </c>
      <c r="H351" s="64" t="s">
        <v>204</v>
      </c>
      <c r="I351" s="63" t="s">
        <v>85</v>
      </c>
      <c r="J351" s="63">
        <v>2.0</v>
      </c>
      <c r="K351" s="58" t="s">
        <v>73</v>
      </c>
      <c r="L351" s="58" t="s">
        <v>73</v>
      </c>
      <c r="M351" s="58" t="s">
        <v>73</v>
      </c>
      <c r="N351" s="58" t="s">
        <v>73</v>
      </c>
      <c r="O351" s="59">
        <f>($C351/$D351)*VLOOKUP($E351,'AWS Platforms Ratios'!$A$2:$O$25,7,FALSE)</f>
        <v>1.088705788</v>
      </c>
      <c r="P351" s="59">
        <f>($C351/$D351)*VLOOKUP($E351,'AWS Platforms Ratios'!$A$2:$O$25,8,FALSE)</f>
        <v>2.98369172</v>
      </c>
      <c r="Q351" s="59">
        <f>($C351/$D351)*VLOOKUP($E351,'AWS Platforms Ratios'!$A$2:$O$25,9,FALSE)</f>
        <v>7.052471865</v>
      </c>
      <c r="R351" s="59">
        <f>($C351/$D351)*VLOOKUP($E351,'AWS Platforms Ratios'!$A$2:$O$25,10,FALSE)</f>
        <v>9.548859526</v>
      </c>
      <c r="S351" s="59">
        <f>$F351*VLOOKUP($E351,'AWS Platforms Ratios'!$A$2:$O$25,11,FALSE)</f>
        <v>6.4</v>
      </c>
      <c r="T351" s="59">
        <f>$F351*VLOOKUP($E351,'AWS Platforms Ratios'!$A$2:$O$25,12,FALSE)</f>
        <v>9.6</v>
      </c>
      <c r="U351" s="59">
        <f>$F351*VLOOKUP($E351,'AWS Platforms Ratios'!$A$2:$O$25,13,FALSE)</f>
        <v>12.8</v>
      </c>
      <c r="V351" s="59">
        <f>$F351*VLOOKUP($E351,'AWS Platforms Ratios'!$A$2:$O$25,14,FALSE)</f>
        <v>19.2</v>
      </c>
      <c r="W351" s="60">
        <f>IF($K351&lt;&gt;"N/A",$M351*(VLOOKUP($L351,'GPU Specs &amp; Ratios'!$B$2:$I$8,5,FALSE)),0)</f>
        <v>0</v>
      </c>
      <c r="X351" s="60">
        <f>IF($K351&lt;&gt;"N/A",$M351*(VLOOKUP($L351,'GPU Specs &amp; Ratios'!$B$2:$I$8,6,FALSE)),0)</f>
        <v>0</v>
      </c>
      <c r="Y351" s="60">
        <f>IF($K351&lt;&gt;"N/A",$M351*(VLOOKUP($L351,'GPU Specs &amp; Ratios'!$B$2:$I$8,7,FALSE)),0)</f>
        <v>0</v>
      </c>
      <c r="Z351" s="60">
        <f>IF($K351&lt;&gt;"N/A",$M351*(VLOOKUP($L351,'GPU Specs &amp; Ratios'!$B$2:$I$8,8,FALSE)),0)</f>
        <v>0</v>
      </c>
      <c r="AA351" s="60">
        <f>(C351/D351)*VLOOKUP($E351,'AWS Platforms Ratios'!$A$2:$O$25,15,FALSE)</f>
        <v>1.875</v>
      </c>
      <c r="AB351" s="60">
        <f t="shared" ref="AB351:AE351" si="351">O351+S351+W351+$AA351</f>
        <v>9.363705788</v>
      </c>
      <c r="AC351" s="60">
        <f t="shared" si="351"/>
        <v>14.45869172</v>
      </c>
      <c r="AD351" s="60">
        <f t="shared" si="351"/>
        <v>21.72747186</v>
      </c>
      <c r="AE351" s="60">
        <f t="shared" si="351"/>
        <v>30.62385953</v>
      </c>
      <c r="AF351" s="60">
        <f>IF(G351&gt;'Scope 3 Ratios'!$B$5,(G351-'Scope 3 Ratios'!$B$5)*('Scope 3 Ratios'!$B$6/'Scope 3 Ratios'!$B$5),0)</f>
        <v>687.9024</v>
      </c>
      <c r="AG351" s="60">
        <f>J351*IF(I351="SSD",'Scope 3 Ratios'!$B$9,'Scope 3 Ratios'!$B$8)</f>
        <v>200</v>
      </c>
      <c r="AH351" s="60">
        <f>IF(K351&lt;&gt;"N/A",K351*'Scope 3 Ratios'!$B$10,0)</f>
        <v>0</v>
      </c>
      <c r="AI351" s="60">
        <f>(VLOOKUP($E351,'AWS Platforms Ratios'!$A$2:$O$25,3,FALSE)-1)*'Scope 3 Ratios'!$B$7</f>
        <v>0</v>
      </c>
      <c r="AJ351" s="60">
        <f>'Scope 3 Ratios'!$B$2+AF351+AG351+AH351+AI351</f>
        <v>1887.9024</v>
      </c>
      <c r="AK351" s="60">
        <f>AJ351*'Scope 3 Ratios'!$B$4*(C351/D351)</f>
        <v>3.414175347</v>
      </c>
      <c r="AL351" s="61" t="s">
        <v>190</v>
      </c>
    </row>
    <row r="352" ht="15.0" customHeight="1">
      <c r="A352" s="63" t="s">
        <v>631</v>
      </c>
      <c r="B352" s="56" t="s">
        <v>188</v>
      </c>
      <c r="C352" s="63">
        <v>8.0</v>
      </c>
      <c r="D352" s="56">
        <f>VLOOKUP(E352,'AWS Platforms Ratios'!$A$2:$B$25,2,FALSE)</f>
        <v>64</v>
      </c>
      <c r="E352" s="63" t="s">
        <v>189</v>
      </c>
      <c r="F352" s="63">
        <v>64.0</v>
      </c>
      <c r="G352" s="63">
        <v>512.0</v>
      </c>
      <c r="H352" s="64" t="s">
        <v>206</v>
      </c>
      <c r="I352" s="63" t="s">
        <v>85</v>
      </c>
      <c r="J352" s="63">
        <v>2.0</v>
      </c>
      <c r="K352" s="58" t="s">
        <v>73</v>
      </c>
      <c r="L352" s="58" t="s">
        <v>73</v>
      </c>
      <c r="M352" s="58" t="s">
        <v>73</v>
      </c>
      <c r="N352" s="58" t="s">
        <v>73</v>
      </c>
      <c r="O352" s="59">
        <f>($C352/$D352)*VLOOKUP($E352,'AWS Platforms Ratios'!$A$2:$O$25,7,FALSE)</f>
        <v>2.177411576</v>
      </c>
      <c r="P352" s="59">
        <f>($C352/$D352)*VLOOKUP($E352,'AWS Platforms Ratios'!$A$2:$O$25,8,FALSE)</f>
        <v>5.967383441</v>
      </c>
      <c r="Q352" s="59">
        <f>($C352/$D352)*VLOOKUP($E352,'AWS Platforms Ratios'!$A$2:$O$25,9,FALSE)</f>
        <v>14.10494373</v>
      </c>
      <c r="R352" s="59">
        <f>($C352/$D352)*VLOOKUP($E352,'AWS Platforms Ratios'!$A$2:$O$25,10,FALSE)</f>
        <v>19.09771905</v>
      </c>
      <c r="S352" s="59">
        <f>$F352*VLOOKUP($E352,'AWS Platforms Ratios'!$A$2:$O$25,11,FALSE)</f>
        <v>12.8</v>
      </c>
      <c r="T352" s="59">
        <f>$F352*VLOOKUP($E352,'AWS Platforms Ratios'!$A$2:$O$25,12,FALSE)</f>
        <v>19.2</v>
      </c>
      <c r="U352" s="59">
        <f>$F352*VLOOKUP($E352,'AWS Platforms Ratios'!$A$2:$O$25,13,FALSE)</f>
        <v>25.6</v>
      </c>
      <c r="V352" s="59">
        <f>$F352*VLOOKUP($E352,'AWS Platforms Ratios'!$A$2:$O$25,14,FALSE)</f>
        <v>38.4</v>
      </c>
      <c r="W352" s="60">
        <f>IF($K352&lt;&gt;"N/A",$M352*(VLOOKUP($L352,'GPU Specs &amp; Ratios'!$B$2:$I$8,5,FALSE)),0)</f>
        <v>0</v>
      </c>
      <c r="X352" s="60">
        <f>IF($K352&lt;&gt;"N/A",$M352*(VLOOKUP($L352,'GPU Specs &amp; Ratios'!$B$2:$I$8,6,FALSE)),0)</f>
        <v>0</v>
      </c>
      <c r="Y352" s="60">
        <f>IF($K352&lt;&gt;"N/A",$M352*(VLOOKUP($L352,'GPU Specs &amp; Ratios'!$B$2:$I$8,7,FALSE)),0)</f>
        <v>0</v>
      </c>
      <c r="Z352" s="60">
        <f>IF($K352&lt;&gt;"N/A",$M352*(VLOOKUP($L352,'GPU Specs &amp; Ratios'!$B$2:$I$8,8,FALSE)),0)</f>
        <v>0</v>
      </c>
      <c r="AA352" s="60">
        <f>(C352/D352)*VLOOKUP($E352,'AWS Platforms Ratios'!$A$2:$O$25,15,FALSE)</f>
        <v>3.75</v>
      </c>
      <c r="AB352" s="60">
        <f t="shared" ref="AB352:AE352" si="352">O352+S352+W352+$AA352</f>
        <v>18.72741158</v>
      </c>
      <c r="AC352" s="60">
        <f t="shared" si="352"/>
        <v>28.91738344</v>
      </c>
      <c r="AD352" s="60">
        <f t="shared" si="352"/>
        <v>43.45494373</v>
      </c>
      <c r="AE352" s="60">
        <f t="shared" si="352"/>
        <v>61.24771905</v>
      </c>
      <c r="AF352" s="60">
        <f>IF(G352&gt;'Scope 3 Ratios'!$B$5,(G352-'Scope 3 Ratios'!$B$5)*('Scope 3 Ratios'!$B$6/'Scope 3 Ratios'!$B$5),0)</f>
        <v>687.9024</v>
      </c>
      <c r="AG352" s="60">
        <f>J352*IF(I352="SSD",'Scope 3 Ratios'!$B$9,'Scope 3 Ratios'!$B$8)</f>
        <v>200</v>
      </c>
      <c r="AH352" s="60">
        <f>IF(K352&lt;&gt;"N/A",K352*'Scope 3 Ratios'!$B$10,0)</f>
        <v>0</v>
      </c>
      <c r="AI352" s="60">
        <f>(VLOOKUP($E352,'AWS Platforms Ratios'!$A$2:$O$25,3,FALSE)-1)*'Scope 3 Ratios'!$B$7</f>
        <v>0</v>
      </c>
      <c r="AJ352" s="60">
        <f>'Scope 3 Ratios'!$B$2+AF352+AG352+AH352+AI352</f>
        <v>1887.9024</v>
      </c>
      <c r="AK352" s="60">
        <f>AJ352*'Scope 3 Ratios'!$B$4*(C352/D352)</f>
        <v>6.828350694</v>
      </c>
      <c r="AL352" s="61" t="s">
        <v>190</v>
      </c>
    </row>
    <row r="353" ht="15.0" customHeight="1">
      <c r="A353" s="63" t="s">
        <v>632</v>
      </c>
      <c r="B353" s="56" t="s">
        <v>188</v>
      </c>
      <c r="C353" s="63">
        <v>16.0</v>
      </c>
      <c r="D353" s="56">
        <f>VLOOKUP(E353,'AWS Platforms Ratios'!$A$2:$B$25,2,FALSE)</f>
        <v>64</v>
      </c>
      <c r="E353" s="63" t="s">
        <v>189</v>
      </c>
      <c r="F353" s="63">
        <v>128.0</v>
      </c>
      <c r="G353" s="63">
        <v>512.0</v>
      </c>
      <c r="H353" s="64" t="s">
        <v>208</v>
      </c>
      <c r="I353" s="63" t="s">
        <v>85</v>
      </c>
      <c r="J353" s="63">
        <v>2.0</v>
      </c>
      <c r="K353" s="58" t="s">
        <v>73</v>
      </c>
      <c r="L353" s="58" t="s">
        <v>73</v>
      </c>
      <c r="M353" s="58" t="s">
        <v>73</v>
      </c>
      <c r="N353" s="58" t="s">
        <v>73</v>
      </c>
      <c r="O353" s="59">
        <f>($C353/$D353)*VLOOKUP($E353,'AWS Platforms Ratios'!$A$2:$O$25,7,FALSE)</f>
        <v>4.354823151</v>
      </c>
      <c r="P353" s="59">
        <f>($C353/$D353)*VLOOKUP($E353,'AWS Platforms Ratios'!$A$2:$O$25,8,FALSE)</f>
        <v>11.93476688</v>
      </c>
      <c r="Q353" s="59">
        <f>($C353/$D353)*VLOOKUP($E353,'AWS Platforms Ratios'!$A$2:$O$25,9,FALSE)</f>
        <v>28.20988746</v>
      </c>
      <c r="R353" s="59">
        <f>($C353/$D353)*VLOOKUP($E353,'AWS Platforms Ratios'!$A$2:$O$25,10,FALSE)</f>
        <v>38.1954381</v>
      </c>
      <c r="S353" s="59">
        <f>$F353*VLOOKUP($E353,'AWS Platforms Ratios'!$A$2:$O$25,11,FALSE)</f>
        <v>25.6</v>
      </c>
      <c r="T353" s="59">
        <f>$F353*VLOOKUP($E353,'AWS Platforms Ratios'!$A$2:$O$25,12,FALSE)</f>
        <v>38.4</v>
      </c>
      <c r="U353" s="59">
        <f>$F353*VLOOKUP($E353,'AWS Platforms Ratios'!$A$2:$O$25,13,FALSE)</f>
        <v>51.2</v>
      </c>
      <c r="V353" s="59">
        <f>$F353*VLOOKUP($E353,'AWS Platforms Ratios'!$A$2:$O$25,14,FALSE)</f>
        <v>76.8</v>
      </c>
      <c r="W353" s="60">
        <f>IF($K353&lt;&gt;"N/A",$M353*(VLOOKUP($L353,'GPU Specs &amp; Ratios'!$B$2:$I$8,5,FALSE)),0)</f>
        <v>0</v>
      </c>
      <c r="X353" s="60">
        <f>IF($K353&lt;&gt;"N/A",$M353*(VLOOKUP($L353,'GPU Specs &amp; Ratios'!$B$2:$I$8,6,FALSE)),0)</f>
        <v>0</v>
      </c>
      <c r="Y353" s="60">
        <f>IF($K353&lt;&gt;"N/A",$M353*(VLOOKUP($L353,'GPU Specs &amp; Ratios'!$B$2:$I$8,7,FALSE)),0)</f>
        <v>0</v>
      </c>
      <c r="Z353" s="60">
        <f>IF($K353&lt;&gt;"N/A",$M353*(VLOOKUP($L353,'GPU Specs &amp; Ratios'!$B$2:$I$8,8,FALSE)),0)</f>
        <v>0</v>
      </c>
      <c r="AA353" s="60">
        <f>(C353/D353)*VLOOKUP($E353,'AWS Platforms Ratios'!$A$2:$O$25,15,FALSE)</f>
        <v>7.5</v>
      </c>
      <c r="AB353" s="60">
        <f t="shared" ref="AB353:AE353" si="353">O353+S353+W353+$AA353</f>
        <v>37.45482315</v>
      </c>
      <c r="AC353" s="60">
        <f t="shared" si="353"/>
        <v>57.83476688</v>
      </c>
      <c r="AD353" s="60">
        <f t="shared" si="353"/>
        <v>86.90988746</v>
      </c>
      <c r="AE353" s="60">
        <f t="shared" si="353"/>
        <v>122.4954381</v>
      </c>
      <c r="AF353" s="60">
        <f>IF(G353&gt;'Scope 3 Ratios'!$B$5,(G353-'Scope 3 Ratios'!$B$5)*('Scope 3 Ratios'!$B$6/'Scope 3 Ratios'!$B$5),0)</f>
        <v>687.9024</v>
      </c>
      <c r="AG353" s="60">
        <f>J353*IF(I353="SSD",'Scope 3 Ratios'!$B$9,'Scope 3 Ratios'!$B$8)</f>
        <v>200</v>
      </c>
      <c r="AH353" s="60">
        <f>IF(K353&lt;&gt;"N/A",K353*'Scope 3 Ratios'!$B$10,0)</f>
        <v>0</v>
      </c>
      <c r="AI353" s="60">
        <f>(VLOOKUP($E353,'AWS Platforms Ratios'!$A$2:$O$25,3,FALSE)-1)*'Scope 3 Ratios'!$B$7</f>
        <v>0</v>
      </c>
      <c r="AJ353" s="60">
        <f>'Scope 3 Ratios'!$B$2+AF353+AG353+AH353+AI353</f>
        <v>1887.9024</v>
      </c>
      <c r="AK353" s="60">
        <f>AJ353*'Scope 3 Ratios'!$B$4*(C353/D353)</f>
        <v>13.65670139</v>
      </c>
      <c r="AL353" s="61" t="s">
        <v>190</v>
      </c>
    </row>
    <row r="354" ht="15.0" customHeight="1">
      <c r="A354" s="63" t="s">
        <v>633</v>
      </c>
      <c r="B354" s="56" t="s">
        <v>188</v>
      </c>
      <c r="C354" s="63">
        <v>32.0</v>
      </c>
      <c r="D354" s="56">
        <f>VLOOKUP(E354,'AWS Platforms Ratios'!$A$2:$B$25,2,FALSE)</f>
        <v>64</v>
      </c>
      <c r="E354" s="63" t="s">
        <v>189</v>
      </c>
      <c r="F354" s="63">
        <v>256.0</v>
      </c>
      <c r="G354" s="63">
        <v>512.0</v>
      </c>
      <c r="H354" s="64" t="s">
        <v>210</v>
      </c>
      <c r="I354" s="63" t="s">
        <v>85</v>
      </c>
      <c r="J354" s="63">
        <v>2.0</v>
      </c>
      <c r="K354" s="58" t="s">
        <v>73</v>
      </c>
      <c r="L354" s="58" t="s">
        <v>73</v>
      </c>
      <c r="M354" s="58" t="s">
        <v>73</v>
      </c>
      <c r="N354" s="58" t="s">
        <v>73</v>
      </c>
      <c r="O354" s="59">
        <f>($C354/$D354)*VLOOKUP($E354,'AWS Platforms Ratios'!$A$2:$O$25,7,FALSE)</f>
        <v>8.709646302</v>
      </c>
      <c r="P354" s="59">
        <f>($C354/$D354)*VLOOKUP($E354,'AWS Platforms Ratios'!$A$2:$O$25,8,FALSE)</f>
        <v>23.86953376</v>
      </c>
      <c r="Q354" s="59">
        <f>($C354/$D354)*VLOOKUP($E354,'AWS Platforms Ratios'!$A$2:$O$25,9,FALSE)</f>
        <v>56.41977492</v>
      </c>
      <c r="R354" s="59">
        <f>($C354/$D354)*VLOOKUP($E354,'AWS Platforms Ratios'!$A$2:$O$25,10,FALSE)</f>
        <v>76.39087621</v>
      </c>
      <c r="S354" s="59">
        <f>$F354*VLOOKUP($E354,'AWS Platforms Ratios'!$A$2:$O$25,11,FALSE)</f>
        <v>51.2</v>
      </c>
      <c r="T354" s="59">
        <f>$F354*VLOOKUP($E354,'AWS Platforms Ratios'!$A$2:$O$25,12,FALSE)</f>
        <v>76.8</v>
      </c>
      <c r="U354" s="59">
        <f>$F354*VLOOKUP($E354,'AWS Platforms Ratios'!$A$2:$O$25,13,FALSE)</f>
        <v>102.4</v>
      </c>
      <c r="V354" s="59">
        <f>$F354*VLOOKUP($E354,'AWS Platforms Ratios'!$A$2:$O$25,14,FALSE)</f>
        <v>153.6</v>
      </c>
      <c r="W354" s="60">
        <f>IF($K354&lt;&gt;"N/A",$M354*(VLOOKUP($L354,'GPU Specs &amp; Ratios'!$B$2:$I$8,5,FALSE)),0)</f>
        <v>0</v>
      </c>
      <c r="X354" s="60">
        <f>IF($K354&lt;&gt;"N/A",$M354*(VLOOKUP($L354,'GPU Specs &amp; Ratios'!$B$2:$I$8,6,FALSE)),0)</f>
        <v>0</v>
      </c>
      <c r="Y354" s="60">
        <f>IF($K354&lt;&gt;"N/A",$M354*(VLOOKUP($L354,'GPU Specs &amp; Ratios'!$B$2:$I$8,7,FALSE)),0)</f>
        <v>0</v>
      </c>
      <c r="Z354" s="60">
        <f>IF($K354&lt;&gt;"N/A",$M354*(VLOOKUP($L354,'GPU Specs &amp; Ratios'!$B$2:$I$8,8,FALSE)),0)</f>
        <v>0</v>
      </c>
      <c r="AA354" s="60">
        <f>(C354/D354)*VLOOKUP($E354,'AWS Platforms Ratios'!$A$2:$O$25,15,FALSE)</f>
        <v>15</v>
      </c>
      <c r="AB354" s="60">
        <f t="shared" ref="AB354:AE354" si="354">O354+S354+W354+$AA354</f>
        <v>74.9096463</v>
      </c>
      <c r="AC354" s="60">
        <f t="shared" si="354"/>
        <v>115.6695338</v>
      </c>
      <c r="AD354" s="60">
        <f t="shared" si="354"/>
        <v>173.8197749</v>
      </c>
      <c r="AE354" s="60">
        <f t="shared" si="354"/>
        <v>244.9908762</v>
      </c>
      <c r="AF354" s="60">
        <f>IF(G354&gt;'Scope 3 Ratios'!$B$5,(G354-'Scope 3 Ratios'!$B$5)*('Scope 3 Ratios'!$B$6/'Scope 3 Ratios'!$B$5),0)</f>
        <v>687.9024</v>
      </c>
      <c r="AG354" s="60">
        <f>J354*IF(I354="SSD",'Scope 3 Ratios'!$B$9,'Scope 3 Ratios'!$B$8)</f>
        <v>200</v>
      </c>
      <c r="AH354" s="60">
        <f>IF(K354&lt;&gt;"N/A",K354*'Scope 3 Ratios'!$B$10,0)</f>
        <v>0</v>
      </c>
      <c r="AI354" s="60">
        <f>(VLOOKUP($E354,'AWS Platforms Ratios'!$A$2:$O$25,3,FALSE)-1)*'Scope 3 Ratios'!$B$7</f>
        <v>0</v>
      </c>
      <c r="AJ354" s="60">
        <f>'Scope 3 Ratios'!$B$2+AF354+AG354+AH354+AI354</f>
        <v>1887.9024</v>
      </c>
      <c r="AK354" s="60">
        <f>AJ354*'Scope 3 Ratios'!$B$4*(C354/D354)</f>
        <v>27.31340278</v>
      </c>
      <c r="AL354" s="61" t="s">
        <v>190</v>
      </c>
    </row>
    <row r="355" ht="15.0" customHeight="1">
      <c r="A355" s="63" t="s">
        <v>634</v>
      </c>
      <c r="B355" s="56" t="s">
        <v>188</v>
      </c>
      <c r="C355" s="63">
        <v>48.0</v>
      </c>
      <c r="D355" s="56">
        <f>VLOOKUP(E355,'AWS Platforms Ratios'!$A$2:$B$25,2,FALSE)</f>
        <v>64</v>
      </c>
      <c r="E355" s="63" t="s">
        <v>189</v>
      </c>
      <c r="F355" s="63">
        <v>384.0</v>
      </c>
      <c r="G355" s="63">
        <v>512.0</v>
      </c>
      <c r="H355" s="64" t="s">
        <v>212</v>
      </c>
      <c r="I355" s="63" t="s">
        <v>85</v>
      </c>
      <c r="J355" s="63">
        <v>2.0</v>
      </c>
      <c r="K355" s="58" t="s">
        <v>73</v>
      </c>
      <c r="L355" s="58" t="s">
        <v>73</v>
      </c>
      <c r="M355" s="58" t="s">
        <v>73</v>
      </c>
      <c r="N355" s="58" t="s">
        <v>73</v>
      </c>
      <c r="O355" s="59">
        <f>($C355/$D355)*VLOOKUP($E355,'AWS Platforms Ratios'!$A$2:$O$25,7,FALSE)</f>
        <v>13.06446945</v>
      </c>
      <c r="P355" s="59">
        <f>($C355/$D355)*VLOOKUP($E355,'AWS Platforms Ratios'!$A$2:$O$25,8,FALSE)</f>
        <v>35.80430064</v>
      </c>
      <c r="Q355" s="59">
        <f>($C355/$D355)*VLOOKUP($E355,'AWS Platforms Ratios'!$A$2:$O$25,9,FALSE)</f>
        <v>84.62966238</v>
      </c>
      <c r="R355" s="59">
        <f>($C355/$D355)*VLOOKUP($E355,'AWS Platforms Ratios'!$A$2:$O$25,10,FALSE)</f>
        <v>114.5863143</v>
      </c>
      <c r="S355" s="59">
        <f>$F355*VLOOKUP($E355,'AWS Platforms Ratios'!$A$2:$O$25,11,FALSE)</f>
        <v>76.8</v>
      </c>
      <c r="T355" s="59">
        <f>$F355*VLOOKUP($E355,'AWS Platforms Ratios'!$A$2:$O$25,12,FALSE)</f>
        <v>115.2</v>
      </c>
      <c r="U355" s="59">
        <f>$F355*VLOOKUP($E355,'AWS Platforms Ratios'!$A$2:$O$25,13,FALSE)</f>
        <v>153.6</v>
      </c>
      <c r="V355" s="59">
        <f>$F355*VLOOKUP($E355,'AWS Platforms Ratios'!$A$2:$O$25,14,FALSE)</f>
        <v>230.4</v>
      </c>
      <c r="W355" s="60">
        <f>IF($K355&lt;&gt;"N/A",$M355*(VLOOKUP($L355,'GPU Specs &amp; Ratios'!$B$2:$I$8,5,FALSE)),0)</f>
        <v>0</v>
      </c>
      <c r="X355" s="60">
        <f>IF($K355&lt;&gt;"N/A",$M355*(VLOOKUP($L355,'GPU Specs &amp; Ratios'!$B$2:$I$8,6,FALSE)),0)</f>
        <v>0</v>
      </c>
      <c r="Y355" s="60">
        <f>IF($K355&lt;&gt;"N/A",$M355*(VLOOKUP($L355,'GPU Specs &amp; Ratios'!$B$2:$I$8,7,FALSE)),0)</f>
        <v>0</v>
      </c>
      <c r="Z355" s="60">
        <f>IF($K355&lt;&gt;"N/A",$M355*(VLOOKUP($L355,'GPU Specs &amp; Ratios'!$B$2:$I$8,8,FALSE)),0)</f>
        <v>0</v>
      </c>
      <c r="AA355" s="60">
        <f>(C355/D355)*VLOOKUP($E355,'AWS Platforms Ratios'!$A$2:$O$25,15,FALSE)</f>
        <v>22.5</v>
      </c>
      <c r="AB355" s="60">
        <f t="shared" ref="AB355:AE355" si="355">O355+S355+W355+$AA355</f>
        <v>112.3644695</v>
      </c>
      <c r="AC355" s="60">
        <f t="shared" si="355"/>
        <v>173.5043006</v>
      </c>
      <c r="AD355" s="60">
        <f t="shared" si="355"/>
        <v>260.7296624</v>
      </c>
      <c r="AE355" s="60">
        <f t="shared" si="355"/>
        <v>367.4863143</v>
      </c>
      <c r="AF355" s="60">
        <f>IF(G355&gt;'Scope 3 Ratios'!$B$5,(G355-'Scope 3 Ratios'!$B$5)*('Scope 3 Ratios'!$B$6/'Scope 3 Ratios'!$B$5),0)</f>
        <v>687.9024</v>
      </c>
      <c r="AG355" s="60">
        <f>J355*IF(I355="SSD",'Scope 3 Ratios'!$B$9,'Scope 3 Ratios'!$B$8)</f>
        <v>200</v>
      </c>
      <c r="AH355" s="60">
        <f>IF(K355&lt;&gt;"N/A",K355*'Scope 3 Ratios'!$B$10,0)</f>
        <v>0</v>
      </c>
      <c r="AI355" s="60">
        <f>(VLOOKUP($E355,'AWS Platforms Ratios'!$A$2:$O$25,3,FALSE)-1)*'Scope 3 Ratios'!$B$7</f>
        <v>0</v>
      </c>
      <c r="AJ355" s="60">
        <f>'Scope 3 Ratios'!$B$2+AF355+AG355+AH355+AI355</f>
        <v>1887.9024</v>
      </c>
      <c r="AK355" s="60">
        <f>AJ355*'Scope 3 Ratios'!$B$4*(C355/D355)</f>
        <v>40.97010417</v>
      </c>
      <c r="AL355" s="61" t="s">
        <v>190</v>
      </c>
    </row>
    <row r="356" ht="15.0" customHeight="1">
      <c r="A356" s="63" t="s">
        <v>635</v>
      </c>
      <c r="B356" s="56" t="s">
        <v>188</v>
      </c>
      <c r="C356" s="63">
        <v>64.0</v>
      </c>
      <c r="D356" s="56">
        <f>VLOOKUP(E356,'AWS Platforms Ratios'!$A$2:$B$25,2,FALSE)</f>
        <v>64</v>
      </c>
      <c r="E356" s="63" t="s">
        <v>189</v>
      </c>
      <c r="F356" s="63">
        <v>512.0</v>
      </c>
      <c r="G356" s="63">
        <v>512.0</v>
      </c>
      <c r="H356" s="64" t="s">
        <v>160</v>
      </c>
      <c r="I356" s="63" t="s">
        <v>85</v>
      </c>
      <c r="J356" s="63">
        <v>2.0</v>
      </c>
      <c r="K356" s="58" t="s">
        <v>73</v>
      </c>
      <c r="L356" s="58" t="s">
        <v>73</v>
      </c>
      <c r="M356" s="58" t="s">
        <v>73</v>
      </c>
      <c r="N356" s="58" t="s">
        <v>73</v>
      </c>
      <c r="O356" s="59">
        <f>($C356/$D356)*VLOOKUP($E356,'AWS Platforms Ratios'!$A$2:$O$25,7,FALSE)</f>
        <v>17.4192926</v>
      </c>
      <c r="P356" s="59">
        <f>($C356/$D356)*VLOOKUP($E356,'AWS Platforms Ratios'!$A$2:$O$25,8,FALSE)</f>
        <v>47.73906752</v>
      </c>
      <c r="Q356" s="59">
        <f>($C356/$D356)*VLOOKUP($E356,'AWS Platforms Ratios'!$A$2:$O$25,9,FALSE)</f>
        <v>112.8395498</v>
      </c>
      <c r="R356" s="59">
        <f>($C356/$D356)*VLOOKUP($E356,'AWS Platforms Ratios'!$A$2:$O$25,10,FALSE)</f>
        <v>152.7817524</v>
      </c>
      <c r="S356" s="59">
        <f>$F356*VLOOKUP($E356,'AWS Platforms Ratios'!$A$2:$O$25,11,FALSE)</f>
        <v>102.4</v>
      </c>
      <c r="T356" s="59">
        <f>$F356*VLOOKUP($E356,'AWS Platforms Ratios'!$A$2:$O$25,12,FALSE)</f>
        <v>153.6</v>
      </c>
      <c r="U356" s="59">
        <f>$F356*VLOOKUP($E356,'AWS Platforms Ratios'!$A$2:$O$25,13,FALSE)</f>
        <v>204.8</v>
      </c>
      <c r="V356" s="59">
        <f>$F356*VLOOKUP($E356,'AWS Platforms Ratios'!$A$2:$O$25,14,FALSE)</f>
        <v>307.2</v>
      </c>
      <c r="W356" s="60">
        <f>IF($K356&lt;&gt;"N/A",$M356*(VLOOKUP($L356,'GPU Specs &amp; Ratios'!$B$2:$I$8,5,FALSE)),0)</f>
        <v>0</v>
      </c>
      <c r="X356" s="60">
        <f>IF($K356&lt;&gt;"N/A",$M356*(VLOOKUP($L356,'GPU Specs &amp; Ratios'!$B$2:$I$8,6,FALSE)),0)</f>
        <v>0</v>
      </c>
      <c r="Y356" s="60">
        <f>IF($K356&lt;&gt;"N/A",$M356*(VLOOKUP($L356,'GPU Specs &amp; Ratios'!$B$2:$I$8,7,FALSE)),0)</f>
        <v>0</v>
      </c>
      <c r="Z356" s="60">
        <f>IF($K356&lt;&gt;"N/A",$M356*(VLOOKUP($L356,'GPU Specs &amp; Ratios'!$B$2:$I$8,8,FALSE)),0)</f>
        <v>0</v>
      </c>
      <c r="AA356" s="60">
        <f>(C356/D356)*VLOOKUP($E356,'AWS Platforms Ratios'!$A$2:$O$25,15,FALSE)</f>
        <v>30</v>
      </c>
      <c r="AB356" s="60">
        <f t="shared" ref="AB356:AE356" si="356">O356+S356+W356+$AA356</f>
        <v>149.8192926</v>
      </c>
      <c r="AC356" s="60">
        <f t="shared" si="356"/>
        <v>231.3390675</v>
      </c>
      <c r="AD356" s="60">
        <f t="shared" si="356"/>
        <v>347.6395498</v>
      </c>
      <c r="AE356" s="60">
        <f t="shared" si="356"/>
        <v>489.9817524</v>
      </c>
      <c r="AF356" s="60">
        <f>IF(G356&gt;'Scope 3 Ratios'!$B$5,(G356-'Scope 3 Ratios'!$B$5)*('Scope 3 Ratios'!$B$6/'Scope 3 Ratios'!$B$5),0)</f>
        <v>687.9024</v>
      </c>
      <c r="AG356" s="60">
        <f>J356*IF(I356="SSD",'Scope 3 Ratios'!$B$9,'Scope 3 Ratios'!$B$8)</f>
        <v>200</v>
      </c>
      <c r="AH356" s="60">
        <f>IF(K356&lt;&gt;"N/A",K356*'Scope 3 Ratios'!$B$10,0)</f>
        <v>0</v>
      </c>
      <c r="AI356" s="60">
        <f>(VLOOKUP($E356,'AWS Platforms Ratios'!$A$2:$O$25,3,FALSE)-1)*'Scope 3 Ratios'!$B$7</f>
        <v>0</v>
      </c>
      <c r="AJ356" s="60">
        <f>'Scope 3 Ratios'!$B$2+AF356+AG356+AH356+AI356</f>
        <v>1887.9024</v>
      </c>
      <c r="AK356" s="60">
        <f>AJ356*'Scope 3 Ratios'!$B$4*(C356/D356)</f>
        <v>54.62680556</v>
      </c>
      <c r="AL356" s="61" t="s">
        <v>190</v>
      </c>
    </row>
    <row r="357" ht="15.0" customHeight="1">
      <c r="A357" s="63" t="s">
        <v>636</v>
      </c>
      <c r="B357" s="56" t="s">
        <v>188</v>
      </c>
      <c r="C357" s="63">
        <v>64.0</v>
      </c>
      <c r="D357" s="56">
        <f>VLOOKUP(E357,'AWS Platforms Ratios'!$A$2:$B$25,2,FALSE)</f>
        <v>64</v>
      </c>
      <c r="E357" s="63" t="s">
        <v>189</v>
      </c>
      <c r="F357" s="63">
        <v>512.0</v>
      </c>
      <c r="G357" s="63">
        <v>512.0</v>
      </c>
      <c r="H357" s="64" t="s">
        <v>160</v>
      </c>
      <c r="I357" s="63" t="s">
        <v>85</v>
      </c>
      <c r="J357" s="63">
        <v>2.0</v>
      </c>
      <c r="K357" s="58" t="s">
        <v>73</v>
      </c>
      <c r="L357" s="58" t="s">
        <v>73</v>
      </c>
      <c r="M357" s="58" t="s">
        <v>73</v>
      </c>
      <c r="N357" s="58" t="s">
        <v>73</v>
      </c>
      <c r="O357" s="59">
        <f>($C357/$D357)*VLOOKUP($E357,'AWS Platforms Ratios'!$A$2:$O$25,7,FALSE)</f>
        <v>17.4192926</v>
      </c>
      <c r="P357" s="59">
        <f>($C357/$D357)*VLOOKUP($E357,'AWS Platforms Ratios'!$A$2:$O$25,8,FALSE)</f>
        <v>47.73906752</v>
      </c>
      <c r="Q357" s="59">
        <f>($C357/$D357)*VLOOKUP($E357,'AWS Platforms Ratios'!$A$2:$O$25,9,FALSE)</f>
        <v>112.8395498</v>
      </c>
      <c r="R357" s="59">
        <f>($C357/$D357)*VLOOKUP($E357,'AWS Platforms Ratios'!$A$2:$O$25,10,FALSE)</f>
        <v>152.7817524</v>
      </c>
      <c r="S357" s="59">
        <f>$F357*VLOOKUP($E357,'AWS Platforms Ratios'!$A$2:$O$25,11,FALSE)</f>
        <v>102.4</v>
      </c>
      <c r="T357" s="59">
        <f>$F357*VLOOKUP($E357,'AWS Platforms Ratios'!$A$2:$O$25,12,FALSE)</f>
        <v>153.6</v>
      </c>
      <c r="U357" s="59">
        <f>$F357*VLOOKUP($E357,'AWS Platforms Ratios'!$A$2:$O$25,13,FALSE)</f>
        <v>204.8</v>
      </c>
      <c r="V357" s="59">
        <f>$F357*VLOOKUP($E357,'AWS Platforms Ratios'!$A$2:$O$25,14,FALSE)</f>
        <v>307.2</v>
      </c>
      <c r="W357" s="60">
        <f>IF($K357&lt;&gt;"N/A",$M357*(VLOOKUP($L357,'GPU Specs &amp; Ratios'!$B$2:$I$8,5,FALSE)),0)</f>
        <v>0</v>
      </c>
      <c r="X357" s="60">
        <f>IF($K357&lt;&gt;"N/A",$M357*(VLOOKUP($L357,'GPU Specs &amp; Ratios'!$B$2:$I$8,6,FALSE)),0)</f>
        <v>0</v>
      </c>
      <c r="Y357" s="60">
        <f>IF($K357&lt;&gt;"N/A",$M357*(VLOOKUP($L357,'GPU Specs &amp; Ratios'!$B$2:$I$8,7,FALSE)),0)</f>
        <v>0</v>
      </c>
      <c r="Z357" s="60">
        <f>IF($K357&lt;&gt;"N/A",$M357*(VLOOKUP($L357,'GPU Specs &amp; Ratios'!$B$2:$I$8,8,FALSE)),0)</f>
        <v>0</v>
      </c>
      <c r="AA357" s="60">
        <f>(C357/D357)*VLOOKUP($E357,'AWS Platforms Ratios'!$A$2:$O$25,15,FALSE)</f>
        <v>30</v>
      </c>
      <c r="AB357" s="60">
        <f t="shared" ref="AB357:AE357" si="357">O357+S357+W357+$AA357</f>
        <v>149.8192926</v>
      </c>
      <c r="AC357" s="60">
        <f t="shared" si="357"/>
        <v>231.3390675</v>
      </c>
      <c r="AD357" s="60">
        <f t="shared" si="357"/>
        <v>347.6395498</v>
      </c>
      <c r="AE357" s="60">
        <f t="shared" si="357"/>
        <v>489.9817524</v>
      </c>
      <c r="AF357" s="60">
        <f>IF(G357&gt;'Scope 3 Ratios'!$B$5,(G357-'Scope 3 Ratios'!$B$5)*('Scope 3 Ratios'!$B$6/'Scope 3 Ratios'!$B$5),0)</f>
        <v>687.9024</v>
      </c>
      <c r="AG357" s="60">
        <f>J357*IF(I357="SSD",'Scope 3 Ratios'!$B$9,'Scope 3 Ratios'!$B$8)</f>
        <v>200</v>
      </c>
      <c r="AH357" s="60">
        <f>IF(K357&lt;&gt;"N/A",K357*'Scope 3 Ratios'!$B$10,0)</f>
        <v>0</v>
      </c>
      <c r="AI357" s="60">
        <f>(VLOOKUP($E357,'AWS Platforms Ratios'!$A$2:$O$25,3,FALSE)-1)*'Scope 3 Ratios'!$B$7</f>
        <v>0</v>
      </c>
      <c r="AJ357" s="60">
        <f>'Scope 3 Ratios'!$B$2+AF357+AG357+AH357+AI357</f>
        <v>1887.9024</v>
      </c>
      <c r="AK357" s="60">
        <f>AJ357*'Scope 3 Ratios'!$B$4*(C357/D357)</f>
        <v>54.62680556</v>
      </c>
      <c r="AL357" s="61" t="s">
        <v>190</v>
      </c>
    </row>
    <row r="358" ht="15.0" customHeight="1">
      <c r="A358" s="56" t="s">
        <v>637</v>
      </c>
      <c r="B358" s="56" t="s">
        <v>638</v>
      </c>
      <c r="C358" s="56">
        <v>1.0</v>
      </c>
      <c r="D358" s="56">
        <f>VLOOKUP(E358,'AWS Platforms Ratios'!$A$2:$B$25,2,FALSE)</f>
        <v>32</v>
      </c>
      <c r="E358" s="57" t="s">
        <v>90</v>
      </c>
      <c r="F358" s="56">
        <v>0.613</v>
      </c>
      <c r="G358" s="56">
        <v>144.0</v>
      </c>
      <c r="H358" s="57" t="s">
        <v>71</v>
      </c>
      <c r="I358" s="56" t="s">
        <v>72</v>
      </c>
      <c r="J358" s="56">
        <v>0.0</v>
      </c>
      <c r="K358" s="58" t="s">
        <v>73</v>
      </c>
      <c r="L358" s="58" t="s">
        <v>73</v>
      </c>
      <c r="M358" s="58" t="s">
        <v>73</v>
      </c>
      <c r="N358" s="58" t="s">
        <v>73</v>
      </c>
      <c r="O358" s="59">
        <f>($C358/$D358)*VLOOKUP($E358,'AWS Platforms Ratios'!$A$2:$O$25,7,FALSE)</f>
        <v>0.8669612069</v>
      </c>
      <c r="P358" s="59">
        <f>($C358/$D358)*VLOOKUP($E358,'AWS Platforms Ratios'!$A$2:$O$25,8,FALSE)</f>
        <v>2.474978448</v>
      </c>
      <c r="Q358" s="59">
        <f>($C358/$D358)*VLOOKUP($E358,'AWS Platforms Ratios'!$A$2:$O$25,9,FALSE)</f>
        <v>5.090484914</v>
      </c>
      <c r="R358" s="59">
        <f>($C358/$D358)*VLOOKUP($E358,'AWS Platforms Ratios'!$A$2:$O$25,10,FALSE)</f>
        <v>6.967723599</v>
      </c>
      <c r="S358" s="59">
        <f>$F358*VLOOKUP($E358,'AWS Platforms Ratios'!$A$2:$O$25,11,FALSE)</f>
        <v>0.1226</v>
      </c>
      <c r="T358" s="59">
        <f>$F358*VLOOKUP($E358,'AWS Platforms Ratios'!$A$2:$O$25,12,FALSE)</f>
        <v>0.1839</v>
      </c>
      <c r="U358" s="59">
        <f>$F358*VLOOKUP($E358,'AWS Platforms Ratios'!$A$2:$O$25,13,FALSE)</f>
        <v>0.2452</v>
      </c>
      <c r="V358" s="59">
        <f>$F358*VLOOKUP($E358,'AWS Platforms Ratios'!$A$2:$O$25,14,FALSE)</f>
        <v>0.3678</v>
      </c>
      <c r="W358" s="60">
        <f>IF($K358&lt;&gt;"N/A",$M358*(VLOOKUP($L358,'GPU Specs &amp; Ratios'!$B$2:$I$8,5,FALSE)),0)</f>
        <v>0</v>
      </c>
      <c r="X358" s="60">
        <f>IF($K358&lt;&gt;"N/A",$M358*(VLOOKUP($L358,'GPU Specs &amp; Ratios'!$B$2:$I$8,6,FALSE)),0)</f>
        <v>0</v>
      </c>
      <c r="Y358" s="60">
        <f>IF($K358&lt;&gt;"N/A",$M358*(VLOOKUP($L358,'GPU Specs &amp; Ratios'!$B$2:$I$8,7,FALSE)),0)</f>
        <v>0</v>
      </c>
      <c r="Z358" s="60">
        <f>IF($K358&lt;&gt;"N/A",$M358*(VLOOKUP($L358,'GPU Specs &amp; Ratios'!$B$2:$I$8,8,FALSE)),0)</f>
        <v>0</v>
      </c>
      <c r="AA358" s="60">
        <f>(C358/D358)*VLOOKUP($E358,'AWS Platforms Ratios'!$A$2:$O$25,15,FALSE)</f>
        <v>1.4375</v>
      </c>
      <c r="AB358" s="60">
        <f t="shared" ref="AB358:AE358" si="358">O358+S358+W358+$AA358</f>
        <v>2.427061207</v>
      </c>
      <c r="AC358" s="60">
        <f t="shared" si="358"/>
        <v>4.096378448</v>
      </c>
      <c r="AD358" s="60">
        <f t="shared" si="358"/>
        <v>6.773184914</v>
      </c>
      <c r="AE358" s="60">
        <f t="shared" si="358"/>
        <v>8.773023599</v>
      </c>
      <c r="AF358" s="60">
        <f>IF(G358&gt;'Scope 3 Ratios'!$B$5,(G358-'Scope 3 Ratios'!$B$5)*('Scope 3 Ratios'!$B$6/'Scope 3 Ratios'!$B$5),0)</f>
        <v>177.5232</v>
      </c>
      <c r="AG358" s="60">
        <f>J358*IF(I358="SSD",'Scope 3 Ratios'!$B$9,'Scope 3 Ratios'!$B$8)</f>
        <v>0</v>
      </c>
      <c r="AH358" s="60">
        <f>IF(K358&lt;&gt;"N/A",K358*'Scope 3 Ratios'!$B$10,0)</f>
        <v>0</v>
      </c>
      <c r="AI358" s="60">
        <f>(VLOOKUP($E358,'AWS Platforms Ratios'!$A$2:$O$25,3,FALSE)-1)*'Scope 3 Ratios'!$B$7</f>
        <v>100</v>
      </c>
      <c r="AJ358" s="60">
        <f>'Scope 3 Ratios'!$B$2+AF358+AG358+AH358+AI358</f>
        <v>1277.5232</v>
      </c>
      <c r="AK358" s="60">
        <f>AJ358*'Scope 3 Ratios'!$B$4*(C358/D358)</f>
        <v>1.155167824</v>
      </c>
      <c r="AL358" s="61"/>
    </row>
    <row r="359" ht="15.0" customHeight="1">
      <c r="A359" s="56" t="s">
        <v>639</v>
      </c>
      <c r="B359" s="56" t="s">
        <v>640</v>
      </c>
      <c r="C359" s="56">
        <v>1.0</v>
      </c>
      <c r="D359" s="56">
        <f>VLOOKUP(E359,'AWS Platforms Ratios'!$A$2:$B$25,2,FALSE)</f>
        <v>48</v>
      </c>
      <c r="E359" s="57" t="s">
        <v>225</v>
      </c>
      <c r="F359" s="56">
        <v>0.5</v>
      </c>
      <c r="G359" s="56">
        <v>288.0</v>
      </c>
      <c r="H359" s="57" t="s">
        <v>71</v>
      </c>
      <c r="I359" s="56" t="s">
        <v>72</v>
      </c>
      <c r="J359" s="56">
        <v>0.0</v>
      </c>
      <c r="K359" s="58" t="s">
        <v>73</v>
      </c>
      <c r="L359" s="58" t="s">
        <v>73</v>
      </c>
      <c r="M359" s="58" t="s">
        <v>73</v>
      </c>
      <c r="N359" s="58" t="s">
        <v>73</v>
      </c>
      <c r="O359" s="59">
        <f>($C359/$D359)*VLOOKUP($E359,'AWS Platforms Ratios'!$A$2:$O$25,7,FALSE)</f>
        <v>0.6031034483</v>
      </c>
      <c r="P359" s="59">
        <f>($C359/$D359)*VLOOKUP($E359,'AWS Platforms Ratios'!$A$2:$O$25,8,FALSE)</f>
        <v>1.721724138</v>
      </c>
      <c r="Q359" s="59">
        <f>($C359/$D359)*VLOOKUP($E359,'AWS Platforms Ratios'!$A$2:$O$25,9,FALSE)</f>
        <v>3.541206897</v>
      </c>
      <c r="R359" s="59">
        <f>($C359/$D359)*VLOOKUP($E359,'AWS Platforms Ratios'!$A$2:$O$25,10,FALSE)</f>
        <v>4.847112069</v>
      </c>
      <c r="S359" s="59">
        <f>$F359*VLOOKUP($E359,'AWS Platforms Ratios'!$A$2:$O$25,11,FALSE)</f>
        <v>0.1</v>
      </c>
      <c r="T359" s="59">
        <f>$F359*VLOOKUP($E359,'AWS Platforms Ratios'!$A$2:$O$25,12,FALSE)</f>
        <v>0.15</v>
      </c>
      <c r="U359" s="59">
        <f>$F359*VLOOKUP($E359,'AWS Platforms Ratios'!$A$2:$O$25,13,FALSE)</f>
        <v>0.2</v>
      </c>
      <c r="V359" s="59">
        <f>$F359*VLOOKUP($E359,'AWS Platforms Ratios'!$A$2:$O$25,14,FALSE)</f>
        <v>0.3</v>
      </c>
      <c r="W359" s="60">
        <f>IF($K359&lt;&gt;"N/A",$M359*(VLOOKUP($L359,'GPU Specs &amp; Ratios'!$B$2:$I$8,5,FALSE)),0)</f>
        <v>0</v>
      </c>
      <c r="X359" s="60">
        <f>IF($K359&lt;&gt;"N/A",$M359*(VLOOKUP($L359,'GPU Specs &amp; Ratios'!$B$2:$I$8,6,FALSE)),0)</f>
        <v>0</v>
      </c>
      <c r="Y359" s="60">
        <f>IF($K359&lt;&gt;"N/A",$M359*(VLOOKUP($L359,'GPU Specs &amp; Ratios'!$B$2:$I$8,7,FALSE)),0)</f>
        <v>0</v>
      </c>
      <c r="Z359" s="60">
        <f>IF($K359&lt;&gt;"N/A",$M359*(VLOOKUP($L359,'GPU Specs &amp; Ratios'!$B$2:$I$8,8,FALSE)),0)</f>
        <v>0</v>
      </c>
      <c r="AA359" s="60">
        <f>(C359/D359)*VLOOKUP($E359,'AWS Platforms Ratios'!$A$2:$O$25,15,FALSE)</f>
        <v>1</v>
      </c>
      <c r="AB359" s="60">
        <f t="shared" ref="AB359:AE359" si="359">O359+S359+W359+$AA359</f>
        <v>1.703103448</v>
      </c>
      <c r="AC359" s="60">
        <f t="shared" si="359"/>
        <v>2.871724138</v>
      </c>
      <c r="AD359" s="60">
        <f t="shared" si="359"/>
        <v>4.741206897</v>
      </c>
      <c r="AE359" s="60">
        <f t="shared" si="359"/>
        <v>6.147112069</v>
      </c>
      <c r="AF359" s="60">
        <f>IF(G359&gt;'Scope 3 Ratios'!$B$5,(G359-'Scope 3 Ratios'!$B$5)*('Scope 3 Ratios'!$B$6/'Scope 3 Ratios'!$B$5),0)</f>
        <v>377.2368</v>
      </c>
      <c r="AG359" s="60">
        <f>J359*IF(I359="SSD",'Scope 3 Ratios'!$B$9,'Scope 3 Ratios'!$B$8)</f>
        <v>0</v>
      </c>
      <c r="AH359" s="60">
        <f>IF(K359&lt;&gt;"N/A",K359*'Scope 3 Ratios'!$B$10,0)</f>
        <v>0</v>
      </c>
      <c r="AI359" s="60">
        <f>(VLOOKUP($E359,'AWS Platforms Ratios'!$A$2:$O$25,3,FALSE)-1)*'Scope 3 Ratios'!$B$7</f>
        <v>100</v>
      </c>
      <c r="AJ359" s="60">
        <f>'Scope 3 Ratios'!$B$2+AF359+AG359+AH359+AI359</f>
        <v>1477.2368</v>
      </c>
      <c r="AK359" s="60">
        <f>AJ359*'Scope 3 Ratios'!$B$4*(C359/D359)</f>
        <v>0.8905025077</v>
      </c>
      <c r="AL359" s="61" t="s">
        <v>641</v>
      </c>
    </row>
    <row r="360" ht="15.0" customHeight="1">
      <c r="A360" s="56" t="s">
        <v>642</v>
      </c>
      <c r="B360" s="56" t="s">
        <v>643</v>
      </c>
      <c r="C360" s="56">
        <v>1.0</v>
      </c>
      <c r="D360" s="56">
        <f>VLOOKUP(E360,'AWS Platforms Ratios'!$A$2:$B$25,2,FALSE)</f>
        <v>48</v>
      </c>
      <c r="E360" s="57" t="s">
        <v>225</v>
      </c>
      <c r="F360" s="56">
        <v>1.0</v>
      </c>
      <c r="G360" s="56">
        <v>288.0</v>
      </c>
      <c r="H360" s="57" t="s">
        <v>71</v>
      </c>
      <c r="I360" s="56" t="s">
        <v>72</v>
      </c>
      <c r="J360" s="56">
        <v>0.0</v>
      </c>
      <c r="K360" s="58" t="s">
        <v>73</v>
      </c>
      <c r="L360" s="58" t="s">
        <v>73</v>
      </c>
      <c r="M360" s="58" t="s">
        <v>73</v>
      </c>
      <c r="N360" s="58" t="s">
        <v>73</v>
      </c>
      <c r="O360" s="59">
        <f>($C360/$D360)*VLOOKUP($E360,'AWS Platforms Ratios'!$A$2:$O$25,7,FALSE)</f>
        <v>0.6031034483</v>
      </c>
      <c r="P360" s="59">
        <f>($C360/$D360)*VLOOKUP($E360,'AWS Platforms Ratios'!$A$2:$O$25,8,FALSE)</f>
        <v>1.721724138</v>
      </c>
      <c r="Q360" s="59">
        <f>($C360/$D360)*VLOOKUP($E360,'AWS Platforms Ratios'!$A$2:$O$25,9,FALSE)</f>
        <v>3.541206897</v>
      </c>
      <c r="R360" s="59">
        <f>($C360/$D360)*VLOOKUP($E360,'AWS Platforms Ratios'!$A$2:$O$25,10,FALSE)</f>
        <v>4.847112069</v>
      </c>
      <c r="S360" s="59">
        <f>$F360*VLOOKUP($E360,'AWS Platforms Ratios'!$A$2:$O$25,11,FALSE)</f>
        <v>0.2</v>
      </c>
      <c r="T360" s="59">
        <f>$F360*VLOOKUP($E360,'AWS Platforms Ratios'!$A$2:$O$25,12,FALSE)</f>
        <v>0.3</v>
      </c>
      <c r="U360" s="59">
        <f>$F360*VLOOKUP($E360,'AWS Platforms Ratios'!$A$2:$O$25,13,FALSE)</f>
        <v>0.4</v>
      </c>
      <c r="V360" s="59">
        <f>$F360*VLOOKUP($E360,'AWS Platforms Ratios'!$A$2:$O$25,14,FALSE)</f>
        <v>0.6</v>
      </c>
      <c r="W360" s="60">
        <f>IF($K360&lt;&gt;"N/A",$M360*(VLOOKUP($L360,'GPU Specs &amp; Ratios'!$B$2:$I$8,5,FALSE)),0)</f>
        <v>0</v>
      </c>
      <c r="X360" s="60">
        <f>IF($K360&lt;&gt;"N/A",$M360*(VLOOKUP($L360,'GPU Specs &amp; Ratios'!$B$2:$I$8,6,FALSE)),0)</f>
        <v>0</v>
      </c>
      <c r="Y360" s="60">
        <f>IF($K360&lt;&gt;"N/A",$M360*(VLOOKUP($L360,'GPU Specs &amp; Ratios'!$B$2:$I$8,7,FALSE)),0)</f>
        <v>0</v>
      </c>
      <c r="Z360" s="60">
        <f>IF($K360&lt;&gt;"N/A",$M360*(VLOOKUP($L360,'GPU Specs &amp; Ratios'!$B$2:$I$8,8,FALSE)),0)</f>
        <v>0</v>
      </c>
      <c r="AA360" s="60">
        <f>(C360/D360)*VLOOKUP($E360,'AWS Platforms Ratios'!$A$2:$O$25,15,FALSE)</f>
        <v>1</v>
      </c>
      <c r="AB360" s="60">
        <f t="shared" ref="AB360:AE360" si="360">O360+S360+W360+$AA360</f>
        <v>1.803103448</v>
      </c>
      <c r="AC360" s="60">
        <f t="shared" si="360"/>
        <v>3.021724138</v>
      </c>
      <c r="AD360" s="60">
        <f t="shared" si="360"/>
        <v>4.941206897</v>
      </c>
      <c r="AE360" s="60">
        <f t="shared" si="360"/>
        <v>6.447112069</v>
      </c>
      <c r="AF360" s="60">
        <f>IF(G360&gt;'Scope 3 Ratios'!$B$5,(G360-'Scope 3 Ratios'!$B$5)*('Scope 3 Ratios'!$B$6/'Scope 3 Ratios'!$B$5),0)</f>
        <v>377.2368</v>
      </c>
      <c r="AG360" s="60">
        <f>J360*IF(I360="SSD",'Scope 3 Ratios'!$B$9,'Scope 3 Ratios'!$B$8)</f>
        <v>0</v>
      </c>
      <c r="AH360" s="60">
        <f>IF(K360&lt;&gt;"N/A",K360*'Scope 3 Ratios'!$B$10,0)</f>
        <v>0</v>
      </c>
      <c r="AI360" s="60">
        <f>(VLOOKUP($E360,'AWS Platforms Ratios'!$A$2:$O$25,3,FALSE)-1)*'Scope 3 Ratios'!$B$7</f>
        <v>100</v>
      </c>
      <c r="AJ360" s="60">
        <f>'Scope 3 Ratios'!$B$2+AF360+AG360+AH360+AI360</f>
        <v>1477.2368</v>
      </c>
      <c r="AK360" s="60">
        <f>AJ360*'Scope 3 Ratios'!$B$4*(C360/D360)</f>
        <v>0.8905025077</v>
      </c>
      <c r="AL360" s="61" t="s">
        <v>641</v>
      </c>
    </row>
    <row r="361" ht="15.0" customHeight="1">
      <c r="A361" s="56" t="s">
        <v>644</v>
      </c>
      <c r="B361" s="56" t="s">
        <v>643</v>
      </c>
      <c r="C361" s="56">
        <v>1.0</v>
      </c>
      <c r="D361" s="56">
        <f>VLOOKUP(E361,'AWS Platforms Ratios'!$A$2:$B$25,2,FALSE)</f>
        <v>48</v>
      </c>
      <c r="E361" s="57" t="s">
        <v>225</v>
      </c>
      <c r="F361" s="56">
        <v>2.0</v>
      </c>
      <c r="G361" s="56">
        <v>288.0</v>
      </c>
      <c r="H361" s="57" t="s">
        <v>71</v>
      </c>
      <c r="I361" s="56" t="s">
        <v>72</v>
      </c>
      <c r="J361" s="56">
        <v>0.0</v>
      </c>
      <c r="K361" s="58" t="s">
        <v>73</v>
      </c>
      <c r="L361" s="58" t="s">
        <v>73</v>
      </c>
      <c r="M361" s="58" t="s">
        <v>73</v>
      </c>
      <c r="N361" s="58" t="s">
        <v>73</v>
      </c>
      <c r="O361" s="59">
        <f>($C361/$D361)*VLOOKUP($E361,'AWS Platforms Ratios'!$A$2:$O$25,7,FALSE)</f>
        <v>0.6031034483</v>
      </c>
      <c r="P361" s="59">
        <f>($C361/$D361)*VLOOKUP($E361,'AWS Platforms Ratios'!$A$2:$O$25,8,FALSE)</f>
        <v>1.721724138</v>
      </c>
      <c r="Q361" s="59">
        <f>($C361/$D361)*VLOOKUP($E361,'AWS Platforms Ratios'!$A$2:$O$25,9,FALSE)</f>
        <v>3.541206897</v>
      </c>
      <c r="R361" s="59">
        <f>($C361/$D361)*VLOOKUP($E361,'AWS Platforms Ratios'!$A$2:$O$25,10,FALSE)</f>
        <v>4.847112069</v>
      </c>
      <c r="S361" s="59">
        <f>$F361*VLOOKUP($E361,'AWS Platforms Ratios'!$A$2:$O$25,11,FALSE)</f>
        <v>0.4</v>
      </c>
      <c r="T361" s="59">
        <f>$F361*VLOOKUP($E361,'AWS Platforms Ratios'!$A$2:$O$25,12,FALSE)</f>
        <v>0.6</v>
      </c>
      <c r="U361" s="59">
        <f>$F361*VLOOKUP($E361,'AWS Platforms Ratios'!$A$2:$O$25,13,FALSE)</f>
        <v>0.8</v>
      </c>
      <c r="V361" s="59">
        <f>$F361*VLOOKUP($E361,'AWS Platforms Ratios'!$A$2:$O$25,14,FALSE)</f>
        <v>1.2</v>
      </c>
      <c r="W361" s="60">
        <f>IF($K361&lt;&gt;"N/A",$M361*(VLOOKUP($L361,'GPU Specs &amp; Ratios'!$B$2:$I$8,5,FALSE)),0)</f>
        <v>0</v>
      </c>
      <c r="X361" s="60">
        <f>IF($K361&lt;&gt;"N/A",$M361*(VLOOKUP($L361,'GPU Specs &amp; Ratios'!$B$2:$I$8,6,FALSE)),0)</f>
        <v>0</v>
      </c>
      <c r="Y361" s="60">
        <f>IF($K361&lt;&gt;"N/A",$M361*(VLOOKUP($L361,'GPU Specs &amp; Ratios'!$B$2:$I$8,7,FALSE)),0)</f>
        <v>0</v>
      </c>
      <c r="Z361" s="60">
        <f>IF($K361&lt;&gt;"N/A",$M361*(VLOOKUP($L361,'GPU Specs &amp; Ratios'!$B$2:$I$8,8,FALSE)),0)</f>
        <v>0</v>
      </c>
      <c r="AA361" s="60">
        <f>(C361/D361)*VLOOKUP($E361,'AWS Platforms Ratios'!$A$2:$O$25,15,FALSE)</f>
        <v>1</v>
      </c>
      <c r="AB361" s="60">
        <f t="shared" ref="AB361:AE361" si="361">O361+S361+W361+$AA361</f>
        <v>2.003103448</v>
      </c>
      <c r="AC361" s="60">
        <f t="shared" si="361"/>
        <v>3.321724138</v>
      </c>
      <c r="AD361" s="60">
        <f t="shared" si="361"/>
        <v>5.341206897</v>
      </c>
      <c r="AE361" s="60">
        <f t="shared" si="361"/>
        <v>7.047112069</v>
      </c>
      <c r="AF361" s="60">
        <f>IF(G361&gt;'Scope 3 Ratios'!$B$5,(G361-'Scope 3 Ratios'!$B$5)*('Scope 3 Ratios'!$B$6/'Scope 3 Ratios'!$B$5),0)</f>
        <v>377.2368</v>
      </c>
      <c r="AG361" s="60">
        <f>J361*IF(I361="SSD",'Scope 3 Ratios'!$B$9,'Scope 3 Ratios'!$B$8)</f>
        <v>0</v>
      </c>
      <c r="AH361" s="60">
        <f>IF(K361&lt;&gt;"N/A",K361*'Scope 3 Ratios'!$B$10,0)</f>
        <v>0</v>
      </c>
      <c r="AI361" s="60">
        <f>(VLOOKUP($E361,'AWS Platforms Ratios'!$A$2:$O$25,3,FALSE)-1)*'Scope 3 Ratios'!$B$7</f>
        <v>100</v>
      </c>
      <c r="AJ361" s="60">
        <f>'Scope 3 Ratios'!$B$2+AF361+AG361+AH361+AI361</f>
        <v>1477.2368</v>
      </c>
      <c r="AK361" s="60">
        <f>AJ361*'Scope 3 Ratios'!$B$4*(C361/D361)</f>
        <v>0.8905025077</v>
      </c>
      <c r="AL361" s="61" t="s">
        <v>641</v>
      </c>
    </row>
    <row r="362" ht="15.0" customHeight="1">
      <c r="A362" s="56" t="s">
        <v>645</v>
      </c>
      <c r="B362" s="56" t="s">
        <v>643</v>
      </c>
      <c r="C362" s="56">
        <v>2.0</v>
      </c>
      <c r="D362" s="56">
        <f>VLOOKUP(E362,'AWS Platforms Ratios'!$A$2:$B$25,2,FALSE)</f>
        <v>48</v>
      </c>
      <c r="E362" s="57" t="s">
        <v>225</v>
      </c>
      <c r="F362" s="56">
        <v>4.0</v>
      </c>
      <c r="G362" s="56">
        <v>288.0</v>
      </c>
      <c r="H362" s="57" t="s">
        <v>71</v>
      </c>
      <c r="I362" s="56" t="s">
        <v>72</v>
      </c>
      <c r="J362" s="56">
        <v>0.0</v>
      </c>
      <c r="K362" s="58" t="s">
        <v>73</v>
      </c>
      <c r="L362" s="58" t="s">
        <v>73</v>
      </c>
      <c r="M362" s="58" t="s">
        <v>73</v>
      </c>
      <c r="N362" s="58" t="s">
        <v>73</v>
      </c>
      <c r="O362" s="59">
        <f>($C362/$D362)*VLOOKUP($E362,'AWS Platforms Ratios'!$A$2:$O$25,7,FALSE)</f>
        <v>1.206206897</v>
      </c>
      <c r="P362" s="59">
        <f>($C362/$D362)*VLOOKUP($E362,'AWS Platforms Ratios'!$A$2:$O$25,8,FALSE)</f>
        <v>3.443448276</v>
      </c>
      <c r="Q362" s="59">
        <f>($C362/$D362)*VLOOKUP($E362,'AWS Platforms Ratios'!$A$2:$O$25,9,FALSE)</f>
        <v>7.082413793</v>
      </c>
      <c r="R362" s="59">
        <f>($C362/$D362)*VLOOKUP($E362,'AWS Platforms Ratios'!$A$2:$O$25,10,FALSE)</f>
        <v>9.694224138</v>
      </c>
      <c r="S362" s="59">
        <f>$F362*VLOOKUP($E362,'AWS Platforms Ratios'!$A$2:$O$25,11,FALSE)</f>
        <v>0.8</v>
      </c>
      <c r="T362" s="59">
        <f>$F362*VLOOKUP($E362,'AWS Platforms Ratios'!$A$2:$O$25,12,FALSE)</f>
        <v>1.2</v>
      </c>
      <c r="U362" s="59">
        <f>$F362*VLOOKUP($E362,'AWS Platforms Ratios'!$A$2:$O$25,13,FALSE)</f>
        <v>1.6</v>
      </c>
      <c r="V362" s="59">
        <f>$F362*VLOOKUP($E362,'AWS Platforms Ratios'!$A$2:$O$25,14,FALSE)</f>
        <v>2.4</v>
      </c>
      <c r="W362" s="60">
        <f>IF($K362&lt;&gt;"N/A",$M362*(VLOOKUP($L362,'GPU Specs &amp; Ratios'!$B$2:$I$8,5,FALSE)),0)</f>
        <v>0</v>
      </c>
      <c r="X362" s="60">
        <f>IF($K362&lt;&gt;"N/A",$M362*(VLOOKUP($L362,'GPU Specs &amp; Ratios'!$B$2:$I$8,6,FALSE)),0)</f>
        <v>0</v>
      </c>
      <c r="Y362" s="60">
        <f>IF($K362&lt;&gt;"N/A",$M362*(VLOOKUP($L362,'GPU Specs &amp; Ratios'!$B$2:$I$8,7,FALSE)),0)</f>
        <v>0</v>
      </c>
      <c r="Z362" s="60">
        <f>IF($K362&lt;&gt;"N/A",$M362*(VLOOKUP($L362,'GPU Specs &amp; Ratios'!$B$2:$I$8,8,FALSE)),0)</f>
        <v>0</v>
      </c>
      <c r="AA362" s="60">
        <f>(C362/D362)*VLOOKUP($E362,'AWS Platforms Ratios'!$A$2:$O$25,15,FALSE)</f>
        <v>2</v>
      </c>
      <c r="AB362" s="60">
        <f t="shared" ref="AB362:AE362" si="362">O362+S362+W362+$AA362</f>
        <v>4.006206897</v>
      </c>
      <c r="AC362" s="60">
        <f t="shared" si="362"/>
        <v>6.643448276</v>
      </c>
      <c r="AD362" s="60">
        <f t="shared" si="362"/>
        <v>10.68241379</v>
      </c>
      <c r="AE362" s="60">
        <f t="shared" si="362"/>
        <v>14.09422414</v>
      </c>
      <c r="AF362" s="60">
        <f>IF(G362&gt;'Scope 3 Ratios'!$B$5,(G362-'Scope 3 Ratios'!$B$5)*('Scope 3 Ratios'!$B$6/'Scope 3 Ratios'!$B$5),0)</f>
        <v>377.2368</v>
      </c>
      <c r="AG362" s="60">
        <f>J362*IF(I362="SSD",'Scope 3 Ratios'!$B$9,'Scope 3 Ratios'!$B$8)</f>
        <v>0</v>
      </c>
      <c r="AH362" s="60">
        <f>IF(K362&lt;&gt;"N/A",K362*'Scope 3 Ratios'!$B$10,0)</f>
        <v>0</v>
      </c>
      <c r="AI362" s="60">
        <f>(VLOOKUP($E362,'AWS Platforms Ratios'!$A$2:$O$25,3,FALSE)-1)*'Scope 3 Ratios'!$B$7</f>
        <v>100</v>
      </c>
      <c r="AJ362" s="60">
        <f>'Scope 3 Ratios'!$B$2+AF362+AG362+AH362+AI362</f>
        <v>1477.2368</v>
      </c>
      <c r="AK362" s="60">
        <f>AJ362*'Scope 3 Ratios'!$B$4*(C362/D362)</f>
        <v>1.781005015</v>
      </c>
      <c r="AL362" s="61" t="s">
        <v>641</v>
      </c>
    </row>
    <row r="363" ht="15.0" customHeight="1">
      <c r="A363" s="56" t="s">
        <v>646</v>
      </c>
      <c r="B363" s="56" t="s">
        <v>264</v>
      </c>
      <c r="C363" s="56">
        <v>2.0</v>
      </c>
      <c r="D363" s="56">
        <f>VLOOKUP(E363,'AWS Platforms Ratios'!$A$2:$B$25,2,FALSE)</f>
        <v>72</v>
      </c>
      <c r="E363" s="57" t="s">
        <v>269</v>
      </c>
      <c r="F363" s="56">
        <v>8.0</v>
      </c>
      <c r="G363" s="56">
        <v>288.0</v>
      </c>
      <c r="H363" s="57" t="s">
        <v>71</v>
      </c>
      <c r="I363" s="56" t="s">
        <v>72</v>
      </c>
      <c r="J363" s="56">
        <v>0.0</v>
      </c>
      <c r="K363" s="58" t="s">
        <v>73</v>
      </c>
      <c r="L363" s="58" t="s">
        <v>73</v>
      </c>
      <c r="M363" s="58" t="s">
        <v>73</v>
      </c>
      <c r="N363" s="58" t="s">
        <v>73</v>
      </c>
      <c r="O363" s="59">
        <f>($C363/$D363)*VLOOKUP($E363,'AWS Platforms Ratios'!$A$2:$O$25,7,FALSE)</f>
        <v>0.9716666667</v>
      </c>
      <c r="P363" s="59">
        <f>($C363/$D363)*VLOOKUP($E363,'AWS Platforms Ratios'!$A$2:$O$25,8,FALSE)</f>
        <v>2.773888889</v>
      </c>
      <c r="Q363" s="59">
        <f>($C363/$D363)*VLOOKUP($E363,'AWS Platforms Ratios'!$A$2:$O$25,9,FALSE)</f>
        <v>5.705277778</v>
      </c>
      <c r="R363" s="59">
        <f>($C363/$D363)*VLOOKUP($E363,'AWS Platforms Ratios'!$A$2:$O$25,10,FALSE)</f>
        <v>7.809236111</v>
      </c>
      <c r="S363" s="59">
        <f>$F363*VLOOKUP($E363,'AWS Platforms Ratios'!$A$2:$O$25,11,FALSE)</f>
        <v>1.6</v>
      </c>
      <c r="T363" s="59">
        <f>$F363*VLOOKUP($E363,'AWS Platforms Ratios'!$A$2:$O$25,12,FALSE)</f>
        <v>2.4</v>
      </c>
      <c r="U363" s="59">
        <f>$F363*VLOOKUP($E363,'AWS Platforms Ratios'!$A$2:$O$25,13,FALSE)</f>
        <v>3.2</v>
      </c>
      <c r="V363" s="59">
        <f>$F363*VLOOKUP($E363,'AWS Platforms Ratios'!$A$2:$O$25,14,FALSE)</f>
        <v>4.8</v>
      </c>
      <c r="W363" s="60">
        <f>IF($K363&lt;&gt;"N/A",$M363*(VLOOKUP($L363,'GPU Specs &amp; Ratios'!$B$2:$I$8,5,FALSE)),0)</f>
        <v>0</v>
      </c>
      <c r="X363" s="60">
        <f>IF($K363&lt;&gt;"N/A",$M363*(VLOOKUP($L363,'GPU Specs &amp; Ratios'!$B$2:$I$8,6,FALSE)),0)</f>
        <v>0</v>
      </c>
      <c r="Y363" s="60">
        <f>IF($K363&lt;&gt;"N/A",$M363*(VLOOKUP($L363,'GPU Specs &amp; Ratios'!$B$2:$I$8,7,FALSE)),0)</f>
        <v>0</v>
      </c>
      <c r="Z363" s="60">
        <f>IF($K363&lt;&gt;"N/A",$M363*(VLOOKUP($L363,'GPU Specs &amp; Ratios'!$B$2:$I$8,8,FALSE)),0)</f>
        <v>0</v>
      </c>
      <c r="AA363" s="60">
        <f>(C363/D363)*VLOOKUP($E363,'AWS Platforms Ratios'!$A$2:$O$25,15,FALSE)</f>
        <v>1.611111111</v>
      </c>
      <c r="AB363" s="60">
        <f t="shared" ref="AB363:AE363" si="363">O363+S363+W363+$AA363</f>
        <v>4.182777778</v>
      </c>
      <c r="AC363" s="60">
        <f t="shared" si="363"/>
        <v>6.785</v>
      </c>
      <c r="AD363" s="60">
        <f t="shared" si="363"/>
        <v>10.51638889</v>
      </c>
      <c r="AE363" s="60">
        <f t="shared" si="363"/>
        <v>14.22034722</v>
      </c>
      <c r="AF363" s="60">
        <f>IF(G363&gt;'Scope 3 Ratios'!$B$5,(G363-'Scope 3 Ratios'!$B$5)*('Scope 3 Ratios'!$B$6/'Scope 3 Ratios'!$B$5),0)</f>
        <v>377.2368</v>
      </c>
      <c r="AG363" s="60">
        <f>J363*IF(I363="SSD",'Scope 3 Ratios'!$B$9,'Scope 3 Ratios'!$B$8)</f>
        <v>0</v>
      </c>
      <c r="AH363" s="60">
        <f>IF(K363&lt;&gt;"N/A",K363*'Scope 3 Ratios'!$B$10,0)</f>
        <v>0</v>
      </c>
      <c r="AI363" s="60">
        <f>(VLOOKUP($E363,'AWS Platforms Ratios'!$A$2:$O$25,3,FALSE)-1)*'Scope 3 Ratios'!$B$7</f>
        <v>100</v>
      </c>
      <c r="AJ363" s="60">
        <f>'Scope 3 Ratios'!$B$2+AF363+AG363+AH363+AI363</f>
        <v>1477.2368</v>
      </c>
      <c r="AK363" s="60">
        <f>AJ363*'Scope 3 Ratios'!$B$4*(C363/D363)</f>
        <v>1.187336677</v>
      </c>
      <c r="AL363" s="61" t="s">
        <v>647</v>
      </c>
    </row>
    <row r="364" ht="15.0" customHeight="1">
      <c r="A364" s="56" t="s">
        <v>648</v>
      </c>
      <c r="B364" s="56" t="s">
        <v>119</v>
      </c>
      <c r="C364" s="56">
        <v>4.0</v>
      </c>
      <c r="D364" s="56">
        <f>VLOOKUP(E364,'AWS Platforms Ratios'!$A$2:$B$25,2,FALSE)</f>
        <v>72</v>
      </c>
      <c r="E364" s="57" t="s">
        <v>269</v>
      </c>
      <c r="F364" s="56">
        <v>16.0</v>
      </c>
      <c r="G364" s="56">
        <v>288.0</v>
      </c>
      <c r="H364" s="57" t="s">
        <v>71</v>
      </c>
      <c r="I364" s="56" t="s">
        <v>72</v>
      </c>
      <c r="J364" s="56">
        <v>0.0</v>
      </c>
      <c r="K364" s="58" t="s">
        <v>73</v>
      </c>
      <c r="L364" s="58" t="s">
        <v>73</v>
      </c>
      <c r="M364" s="58" t="s">
        <v>73</v>
      </c>
      <c r="N364" s="58" t="s">
        <v>73</v>
      </c>
      <c r="O364" s="59">
        <f>($C364/$D364)*VLOOKUP($E364,'AWS Platforms Ratios'!$A$2:$O$25,7,FALSE)</f>
        <v>1.943333333</v>
      </c>
      <c r="P364" s="59">
        <f>($C364/$D364)*VLOOKUP($E364,'AWS Platforms Ratios'!$A$2:$O$25,8,FALSE)</f>
        <v>5.547777778</v>
      </c>
      <c r="Q364" s="59">
        <f>($C364/$D364)*VLOOKUP($E364,'AWS Platforms Ratios'!$A$2:$O$25,9,FALSE)</f>
        <v>11.41055556</v>
      </c>
      <c r="R364" s="59">
        <f>($C364/$D364)*VLOOKUP($E364,'AWS Platforms Ratios'!$A$2:$O$25,10,FALSE)</f>
        <v>15.61847222</v>
      </c>
      <c r="S364" s="59">
        <f>$F364*VLOOKUP($E364,'AWS Platforms Ratios'!$A$2:$O$25,11,FALSE)</f>
        <v>3.2</v>
      </c>
      <c r="T364" s="59">
        <f>$F364*VLOOKUP($E364,'AWS Platforms Ratios'!$A$2:$O$25,12,FALSE)</f>
        <v>4.8</v>
      </c>
      <c r="U364" s="59">
        <f>$F364*VLOOKUP($E364,'AWS Platforms Ratios'!$A$2:$O$25,13,FALSE)</f>
        <v>6.4</v>
      </c>
      <c r="V364" s="59">
        <f>$F364*VLOOKUP($E364,'AWS Platforms Ratios'!$A$2:$O$25,14,FALSE)</f>
        <v>9.6</v>
      </c>
      <c r="W364" s="60">
        <f>IF($K364&lt;&gt;"N/A",$M364*(VLOOKUP($L364,'GPU Specs &amp; Ratios'!$B$2:$I$8,5,FALSE)),0)</f>
        <v>0</v>
      </c>
      <c r="X364" s="60">
        <f>IF($K364&lt;&gt;"N/A",$M364*(VLOOKUP($L364,'GPU Specs &amp; Ratios'!$B$2:$I$8,6,FALSE)),0)</f>
        <v>0</v>
      </c>
      <c r="Y364" s="60">
        <f>IF($K364&lt;&gt;"N/A",$M364*(VLOOKUP($L364,'GPU Specs &amp; Ratios'!$B$2:$I$8,7,FALSE)),0)</f>
        <v>0</v>
      </c>
      <c r="Z364" s="60">
        <f>IF($K364&lt;&gt;"N/A",$M364*(VLOOKUP($L364,'GPU Specs &amp; Ratios'!$B$2:$I$8,8,FALSE)),0)</f>
        <v>0</v>
      </c>
      <c r="AA364" s="60">
        <f>(C364/D364)*VLOOKUP($E364,'AWS Platforms Ratios'!$A$2:$O$25,15,FALSE)</f>
        <v>3.222222222</v>
      </c>
      <c r="AB364" s="60">
        <f t="shared" ref="AB364:AE364" si="364">O364+S364+W364+$AA364</f>
        <v>8.365555556</v>
      </c>
      <c r="AC364" s="60">
        <f t="shared" si="364"/>
        <v>13.57</v>
      </c>
      <c r="AD364" s="60">
        <f t="shared" si="364"/>
        <v>21.03277778</v>
      </c>
      <c r="AE364" s="60">
        <f t="shared" si="364"/>
        <v>28.44069444</v>
      </c>
      <c r="AF364" s="60">
        <f>IF(G364&gt;'Scope 3 Ratios'!$B$5,(G364-'Scope 3 Ratios'!$B$5)*('Scope 3 Ratios'!$B$6/'Scope 3 Ratios'!$B$5),0)</f>
        <v>377.2368</v>
      </c>
      <c r="AG364" s="60">
        <f>J364*IF(I364="SSD",'Scope 3 Ratios'!$B$9,'Scope 3 Ratios'!$B$8)</f>
        <v>0</v>
      </c>
      <c r="AH364" s="60">
        <f>IF(K364&lt;&gt;"N/A",K364*'Scope 3 Ratios'!$B$10,0)</f>
        <v>0</v>
      </c>
      <c r="AI364" s="60">
        <f>(VLOOKUP($E364,'AWS Platforms Ratios'!$A$2:$O$25,3,FALSE)-1)*'Scope 3 Ratios'!$B$7</f>
        <v>100</v>
      </c>
      <c r="AJ364" s="60">
        <f>'Scope 3 Ratios'!$B$2+AF364+AG364+AH364+AI364</f>
        <v>1477.2368</v>
      </c>
      <c r="AK364" s="60">
        <f>AJ364*'Scope 3 Ratios'!$B$4*(C364/D364)</f>
        <v>2.374673354</v>
      </c>
      <c r="AL364" s="61" t="s">
        <v>647</v>
      </c>
    </row>
    <row r="365" ht="15.0" customHeight="1">
      <c r="A365" s="56" t="s">
        <v>649</v>
      </c>
      <c r="B365" s="56" t="s">
        <v>119</v>
      </c>
      <c r="C365" s="56">
        <v>8.0</v>
      </c>
      <c r="D365" s="56">
        <f>VLOOKUP(E365,'AWS Platforms Ratios'!$A$2:$B$25,2,FALSE)</f>
        <v>72</v>
      </c>
      <c r="E365" s="57" t="s">
        <v>269</v>
      </c>
      <c r="F365" s="56">
        <v>32.0</v>
      </c>
      <c r="G365" s="56">
        <v>288.0</v>
      </c>
      <c r="H365" s="57" t="s">
        <v>71</v>
      </c>
      <c r="I365" s="56" t="s">
        <v>72</v>
      </c>
      <c r="J365" s="56">
        <v>0.0</v>
      </c>
      <c r="K365" s="58" t="s">
        <v>73</v>
      </c>
      <c r="L365" s="58" t="s">
        <v>73</v>
      </c>
      <c r="M365" s="58" t="s">
        <v>73</v>
      </c>
      <c r="N365" s="58" t="s">
        <v>73</v>
      </c>
      <c r="O365" s="59">
        <f>($C365/$D365)*VLOOKUP($E365,'AWS Platforms Ratios'!$A$2:$O$25,7,FALSE)</f>
        <v>3.886666667</v>
      </c>
      <c r="P365" s="59">
        <f>($C365/$D365)*VLOOKUP($E365,'AWS Platforms Ratios'!$A$2:$O$25,8,FALSE)</f>
        <v>11.09555556</v>
      </c>
      <c r="Q365" s="59">
        <f>($C365/$D365)*VLOOKUP($E365,'AWS Platforms Ratios'!$A$2:$O$25,9,FALSE)</f>
        <v>22.82111111</v>
      </c>
      <c r="R365" s="59">
        <f>($C365/$D365)*VLOOKUP($E365,'AWS Platforms Ratios'!$A$2:$O$25,10,FALSE)</f>
        <v>31.23694444</v>
      </c>
      <c r="S365" s="59">
        <f>$F365*VLOOKUP($E365,'AWS Platforms Ratios'!$A$2:$O$25,11,FALSE)</f>
        <v>6.4</v>
      </c>
      <c r="T365" s="59">
        <f>$F365*VLOOKUP($E365,'AWS Platforms Ratios'!$A$2:$O$25,12,FALSE)</f>
        <v>9.6</v>
      </c>
      <c r="U365" s="59">
        <f>$F365*VLOOKUP($E365,'AWS Platforms Ratios'!$A$2:$O$25,13,FALSE)</f>
        <v>12.8</v>
      </c>
      <c r="V365" s="59">
        <f>$F365*VLOOKUP($E365,'AWS Platforms Ratios'!$A$2:$O$25,14,FALSE)</f>
        <v>19.2</v>
      </c>
      <c r="W365" s="60">
        <f>IF($K365&lt;&gt;"N/A",$M365*(VLOOKUP($L365,'GPU Specs &amp; Ratios'!$B$2:$I$8,5,FALSE)),0)</f>
        <v>0</v>
      </c>
      <c r="X365" s="60">
        <f>IF($K365&lt;&gt;"N/A",$M365*(VLOOKUP($L365,'GPU Specs &amp; Ratios'!$B$2:$I$8,6,FALSE)),0)</f>
        <v>0</v>
      </c>
      <c r="Y365" s="60">
        <f>IF($K365&lt;&gt;"N/A",$M365*(VLOOKUP($L365,'GPU Specs &amp; Ratios'!$B$2:$I$8,7,FALSE)),0)</f>
        <v>0</v>
      </c>
      <c r="Z365" s="60">
        <f>IF($K365&lt;&gt;"N/A",$M365*(VLOOKUP($L365,'GPU Specs &amp; Ratios'!$B$2:$I$8,8,FALSE)),0)</f>
        <v>0</v>
      </c>
      <c r="AA365" s="60">
        <f>(C365/D365)*VLOOKUP($E365,'AWS Platforms Ratios'!$A$2:$O$25,15,FALSE)</f>
        <v>6.444444444</v>
      </c>
      <c r="AB365" s="60">
        <f t="shared" ref="AB365:AE365" si="365">O365+S365+W365+$AA365</f>
        <v>16.73111111</v>
      </c>
      <c r="AC365" s="60">
        <f t="shared" si="365"/>
        <v>27.14</v>
      </c>
      <c r="AD365" s="60">
        <f t="shared" si="365"/>
        <v>42.06555556</v>
      </c>
      <c r="AE365" s="60">
        <f t="shared" si="365"/>
        <v>56.88138889</v>
      </c>
      <c r="AF365" s="60">
        <f>IF(G365&gt;'Scope 3 Ratios'!$B$5,(G365-'Scope 3 Ratios'!$B$5)*('Scope 3 Ratios'!$B$6/'Scope 3 Ratios'!$B$5),0)</f>
        <v>377.2368</v>
      </c>
      <c r="AG365" s="60">
        <f>J365*IF(I365="SSD",'Scope 3 Ratios'!$B$9,'Scope 3 Ratios'!$B$8)</f>
        <v>0</v>
      </c>
      <c r="AH365" s="60">
        <f>IF(K365&lt;&gt;"N/A",K365*'Scope 3 Ratios'!$B$10,0)</f>
        <v>0</v>
      </c>
      <c r="AI365" s="60">
        <f>(VLOOKUP($E365,'AWS Platforms Ratios'!$A$2:$O$25,3,FALSE)-1)*'Scope 3 Ratios'!$B$7</f>
        <v>100</v>
      </c>
      <c r="AJ365" s="60">
        <f>'Scope 3 Ratios'!$B$2+AF365+AG365+AH365+AI365</f>
        <v>1477.2368</v>
      </c>
      <c r="AK365" s="60">
        <f>AJ365*'Scope 3 Ratios'!$B$4*(C365/D365)</f>
        <v>4.749346708</v>
      </c>
      <c r="AL365" s="61" t="s">
        <v>647</v>
      </c>
    </row>
    <row r="366" ht="15.0" customHeight="1">
      <c r="A366" s="56" t="s">
        <v>650</v>
      </c>
      <c r="B366" s="56" t="s">
        <v>651</v>
      </c>
      <c r="C366" s="56">
        <v>2.0</v>
      </c>
      <c r="D366" s="56">
        <f>VLOOKUP(E366,'AWS Platforms Ratios'!$A$2:$B$25,2,FALSE)</f>
        <v>96</v>
      </c>
      <c r="E366" s="57" t="s">
        <v>350</v>
      </c>
      <c r="F366" s="56">
        <v>0.5</v>
      </c>
      <c r="G366" s="56">
        <v>384.0</v>
      </c>
      <c r="H366" s="57" t="s">
        <v>71</v>
      </c>
      <c r="I366" s="56" t="s">
        <v>72</v>
      </c>
      <c r="J366" s="56">
        <v>0.0</v>
      </c>
      <c r="K366" s="58" t="s">
        <v>73</v>
      </c>
      <c r="L366" s="58" t="s">
        <v>73</v>
      </c>
      <c r="M366" s="58" t="s">
        <v>73</v>
      </c>
      <c r="N366" s="58" t="s">
        <v>73</v>
      </c>
      <c r="O366" s="59">
        <f>($C366/$D366)*VLOOKUP($E366,'AWS Platforms Ratios'!$A$2:$O$25,7,FALSE)</f>
        <v>1.205833333</v>
      </c>
      <c r="P366" s="59">
        <f>($C366/$D366)*VLOOKUP($E366,'AWS Platforms Ratios'!$A$2:$O$25,8,FALSE)</f>
        <v>3.054791667</v>
      </c>
      <c r="Q366" s="59">
        <f>($C366/$D366)*VLOOKUP($E366,'AWS Platforms Ratios'!$A$2:$O$25,9,FALSE)</f>
        <v>7.160416667</v>
      </c>
      <c r="R366" s="59">
        <f>($C366/$D366)*VLOOKUP($E366,'AWS Platforms Ratios'!$A$2:$O$25,10,FALSE)</f>
        <v>9.9578125</v>
      </c>
      <c r="S366" s="59">
        <f>$F366*VLOOKUP($E366,'AWS Platforms Ratios'!$A$2:$O$25,11,FALSE)</f>
        <v>0.0752734375</v>
      </c>
      <c r="T366" s="59">
        <f>$F366*VLOOKUP($E366,'AWS Platforms Ratios'!$A$2:$O$25,12,FALSE)</f>
        <v>0.1202994792</v>
      </c>
      <c r="U366" s="59">
        <f>$F366*VLOOKUP($E366,'AWS Platforms Ratios'!$A$2:$O$25,13,FALSE)</f>
        <v>0.3100260417</v>
      </c>
      <c r="V366" s="59">
        <f>$F366*VLOOKUP($E366,'AWS Platforms Ratios'!$A$2:$O$25,14,FALSE)</f>
        <v>0.4997526042</v>
      </c>
      <c r="W366" s="60">
        <f>IF($K366&lt;&gt;"N/A",$M366*(VLOOKUP($L366,'GPU Specs &amp; Ratios'!$B$2:$I$8,5,FALSE)),0)</f>
        <v>0</v>
      </c>
      <c r="X366" s="60">
        <f>IF($K366&lt;&gt;"N/A",$M366*(VLOOKUP($L366,'GPU Specs &amp; Ratios'!$B$2:$I$8,6,FALSE)),0)</f>
        <v>0</v>
      </c>
      <c r="Y366" s="60">
        <f>IF($K366&lt;&gt;"N/A",$M366*(VLOOKUP($L366,'GPU Specs &amp; Ratios'!$B$2:$I$8,7,FALSE)),0)</f>
        <v>0</v>
      </c>
      <c r="Z366" s="60">
        <f>IF($K366&lt;&gt;"N/A",$M366*(VLOOKUP($L366,'GPU Specs &amp; Ratios'!$B$2:$I$8,8,FALSE)),0)</f>
        <v>0</v>
      </c>
      <c r="AA366" s="60">
        <f>(C366/D366)*VLOOKUP($E366,'AWS Platforms Ratios'!$A$2:$O$25,15,FALSE)</f>
        <v>2</v>
      </c>
      <c r="AB366" s="60">
        <f t="shared" ref="AB366:AE366" si="366">O366+S366+W366+$AA366</f>
        <v>3.281106771</v>
      </c>
      <c r="AC366" s="60">
        <f t="shared" si="366"/>
        <v>5.175091146</v>
      </c>
      <c r="AD366" s="60">
        <f t="shared" si="366"/>
        <v>9.470442708</v>
      </c>
      <c r="AE366" s="60">
        <f t="shared" si="366"/>
        <v>12.4575651</v>
      </c>
      <c r="AF366" s="60">
        <f>IF(G366&gt;'Scope 3 Ratios'!$B$5,(G366-'Scope 3 Ratios'!$B$5)*('Scope 3 Ratios'!$B$6/'Scope 3 Ratios'!$B$5),0)</f>
        <v>510.3792</v>
      </c>
      <c r="AG366" s="60">
        <f>J366*IF(I366="SSD",'Scope 3 Ratios'!$B$9,'Scope 3 Ratios'!$B$8)</f>
        <v>0</v>
      </c>
      <c r="AH366" s="60">
        <f>IF(K366&lt;&gt;"N/A",K366*'Scope 3 Ratios'!$B$10,0)</f>
        <v>0</v>
      </c>
      <c r="AI366" s="60">
        <f>(VLOOKUP($E366,'AWS Platforms Ratios'!$A$2:$O$25,3,FALSE)-1)*'Scope 3 Ratios'!$B$7</f>
        <v>100</v>
      </c>
      <c r="AJ366" s="60">
        <f>'Scope 3 Ratios'!$B$2+AF366+AG366+AH366+AI366</f>
        <v>1610.3792</v>
      </c>
      <c r="AK366" s="60">
        <f>AJ366*'Scope 3 Ratios'!$B$4*(C366/D366)</f>
        <v>0.9707629244</v>
      </c>
      <c r="AL366" s="61" t="s">
        <v>652</v>
      </c>
    </row>
    <row r="367" ht="15.0" customHeight="1">
      <c r="A367" s="56" t="s">
        <v>653</v>
      </c>
      <c r="B367" s="56" t="s">
        <v>651</v>
      </c>
      <c r="C367" s="56">
        <v>2.0</v>
      </c>
      <c r="D367" s="56">
        <f>VLOOKUP(E367,'AWS Platforms Ratios'!$A$2:$B$25,2,FALSE)</f>
        <v>96</v>
      </c>
      <c r="E367" s="57" t="s">
        <v>350</v>
      </c>
      <c r="F367" s="56">
        <v>1.0</v>
      </c>
      <c r="G367" s="56">
        <v>384.0</v>
      </c>
      <c r="H367" s="57" t="s">
        <v>71</v>
      </c>
      <c r="I367" s="56" t="s">
        <v>72</v>
      </c>
      <c r="J367" s="56">
        <v>0.0</v>
      </c>
      <c r="K367" s="58" t="s">
        <v>73</v>
      </c>
      <c r="L367" s="58" t="s">
        <v>73</v>
      </c>
      <c r="M367" s="58" t="s">
        <v>73</v>
      </c>
      <c r="N367" s="58" t="s">
        <v>73</v>
      </c>
      <c r="O367" s="59">
        <f>($C367/$D367)*VLOOKUP($E367,'AWS Platforms Ratios'!$A$2:$O$25,7,FALSE)</f>
        <v>1.205833333</v>
      </c>
      <c r="P367" s="59">
        <f>($C367/$D367)*VLOOKUP($E367,'AWS Platforms Ratios'!$A$2:$O$25,8,FALSE)</f>
        <v>3.054791667</v>
      </c>
      <c r="Q367" s="59">
        <f>($C367/$D367)*VLOOKUP($E367,'AWS Platforms Ratios'!$A$2:$O$25,9,FALSE)</f>
        <v>7.160416667</v>
      </c>
      <c r="R367" s="59">
        <f>($C367/$D367)*VLOOKUP($E367,'AWS Platforms Ratios'!$A$2:$O$25,10,FALSE)</f>
        <v>9.9578125</v>
      </c>
      <c r="S367" s="59">
        <f>$F367*VLOOKUP($E367,'AWS Platforms Ratios'!$A$2:$O$25,11,FALSE)</f>
        <v>0.150546875</v>
      </c>
      <c r="T367" s="59">
        <f>$F367*VLOOKUP($E367,'AWS Platforms Ratios'!$A$2:$O$25,12,FALSE)</f>
        <v>0.2405989583</v>
      </c>
      <c r="U367" s="59">
        <f>$F367*VLOOKUP($E367,'AWS Platforms Ratios'!$A$2:$O$25,13,FALSE)</f>
        <v>0.6200520833</v>
      </c>
      <c r="V367" s="59">
        <f>$F367*VLOOKUP($E367,'AWS Platforms Ratios'!$A$2:$O$25,14,FALSE)</f>
        <v>0.9995052083</v>
      </c>
      <c r="W367" s="60">
        <f>IF($K367&lt;&gt;"N/A",$M367*(VLOOKUP($L367,'GPU Specs &amp; Ratios'!$B$2:$I$8,5,FALSE)),0)</f>
        <v>0</v>
      </c>
      <c r="X367" s="60">
        <f>IF($K367&lt;&gt;"N/A",$M367*(VLOOKUP($L367,'GPU Specs &amp; Ratios'!$B$2:$I$8,6,FALSE)),0)</f>
        <v>0</v>
      </c>
      <c r="Y367" s="60">
        <f>IF($K367&lt;&gt;"N/A",$M367*(VLOOKUP($L367,'GPU Specs &amp; Ratios'!$B$2:$I$8,7,FALSE)),0)</f>
        <v>0</v>
      </c>
      <c r="Z367" s="60">
        <f>IF($K367&lt;&gt;"N/A",$M367*(VLOOKUP($L367,'GPU Specs &amp; Ratios'!$B$2:$I$8,8,FALSE)),0)</f>
        <v>0</v>
      </c>
      <c r="AA367" s="60">
        <f>(C367/D367)*VLOOKUP($E367,'AWS Platforms Ratios'!$A$2:$O$25,15,FALSE)</f>
        <v>2</v>
      </c>
      <c r="AB367" s="60">
        <f t="shared" ref="AB367:AE367" si="367">O367+S367+W367+$AA367</f>
        <v>3.356380208</v>
      </c>
      <c r="AC367" s="60">
        <f t="shared" si="367"/>
        <v>5.295390625</v>
      </c>
      <c r="AD367" s="60">
        <f t="shared" si="367"/>
        <v>9.78046875</v>
      </c>
      <c r="AE367" s="60">
        <f t="shared" si="367"/>
        <v>12.95731771</v>
      </c>
      <c r="AF367" s="60">
        <f>IF(G367&gt;'Scope 3 Ratios'!$B$5,(G367-'Scope 3 Ratios'!$B$5)*('Scope 3 Ratios'!$B$6/'Scope 3 Ratios'!$B$5),0)</f>
        <v>510.3792</v>
      </c>
      <c r="AG367" s="60">
        <f>J367*IF(I367="SSD",'Scope 3 Ratios'!$B$9,'Scope 3 Ratios'!$B$8)</f>
        <v>0</v>
      </c>
      <c r="AH367" s="60">
        <f>IF(K367&lt;&gt;"N/A",K367*'Scope 3 Ratios'!$B$10,0)</f>
        <v>0</v>
      </c>
      <c r="AI367" s="60">
        <f>(VLOOKUP($E367,'AWS Platforms Ratios'!$A$2:$O$25,3,FALSE)-1)*'Scope 3 Ratios'!$B$7</f>
        <v>100</v>
      </c>
      <c r="AJ367" s="60">
        <f>'Scope 3 Ratios'!$B$2+AF367+AG367+AH367+AI367</f>
        <v>1610.3792</v>
      </c>
      <c r="AK367" s="60">
        <f>AJ367*'Scope 3 Ratios'!$B$4*(C367/D367)</f>
        <v>0.9707629244</v>
      </c>
      <c r="AL367" s="61" t="s">
        <v>652</v>
      </c>
    </row>
    <row r="368" ht="15.0" customHeight="1">
      <c r="A368" s="56" t="s">
        <v>654</v>
      </c>
      <c r="B368" s="56" t="s">
        <v>651</v>
      </c>
      <c r="C368" s="56">
        <v>2.0</v>
      </c>
      <c r="D368" s="56">
        <f>VLOOKUP(E368,'AWS Platforms Ratios'!$A$2:$B$25,2,FALSE)</f>
        <v>96</v>
      </c>
      <c r="E368" s="57" t="s">
        <v>350</v>
      </c>
      <c r="F368" s="56">
        <v>2.0</v>
      </c>
      <c r="G368" s="56">
        <v>384.0</v>
      </c>
      <c r="H368" s="57" t="s">
        <v>71</v>
      </c>
      <c r="I368" s="56" t="s">
        <v>72</v>
      </c>
      <c r="J368" s="56">
        <v>0.0</v>
      </c>
      <c r="K368" s="58" t="s">
        <v>73</v>
      </c>
      <c r="L368" s="58" t="s">
        <v>73</v>
      </c>
      <c r="M368" s="58" t="s">
        <v>73</v>
      </c>
      <c r="N368" s="58" t="s">
        <v>73</v>
      </c>
      <c r="O368" s="59">
        <f>($C368/$D368)*VLOOKUP($E368,'AWS Platforms Ratios'!$A$2:$O$25,7,FALSE)</f>
        <v>1.205833333</v>
      </c>
      <c r="P368" s="59">
        <f>($C368/$D368)*VLOOKUP($E368,'AWS Platforms Ratios'!$A$2:$O$25,8,FALSE)</f>
        <v>3.054791667</v>
      </c>
      <c r="Q368" s="59">
        <f>($C368/$D368)*VLOOKUP($E368,'AWS Platforms Ratios'!$A$2:$O$25,9,FALSE)</f>
        <v>7.160416667</v>
      </c>
      <c r="R368" s="59">
        <f>($C368/$D368)*VLOOKUP($E368,'AWS Platforms Ratios'!$A$2:$O$25,10,FALSE)</f>
        <v>9.9578125</v>
      </c>
      <c r="S368" s="59">
        <f>$F368*VLOOKUP($E368,'AWS Platforms Ratios'!$A$2:$O$25,11,FALSE)</f>
        <v>0.30109375</v>
      </c>
      <c r="T368" s="59">
        <f>$F368*VLOOKUP($E368,'AWS Platforms Ratios'!$A$2:$O$25,12,FALSE)</f>
        <v>0.4811979167</v>
      </c>
      <c r="U368" s="59">
        <f>$F368*VLOOKUP($E368,'AWS Platforms Ratios'!$A$2:$O$25,13,FALSE)</f>
        <v>1.240104167</v>
      </c>
      <c r="V368" s="59">
        <f>$F368*VLOOKUP($E368,'AWS Platforms Ratios'!$A$2:$O$25,14,FALSE)</f>
        <v>1.999010417</v>
      </c>
      <c r="W368" s="60">
        <f>IF($K368&lt;&gt;"N/A",$M368*(VLOOKUP($L368,'GPU Specs &amp; Ratios'!$B$2:$I$8,5,FALSE)),0)</f>
        <v>0</v>
      </c>
      <c r="X368" s="60">
        <f>IF($K368&lt;&gt;"N/A",$M368*(VLOOKUP($L368,'GPU Specs &amp; Ratios'!$B$2:$I$8,6,FALSE)),0)</f>
        <v>0</v>
      </c>
      <c r="Y368" s="60">
        <f>IF($K368&lt;&gt;"N/A",$M368*(VLOOKUP($L368,'GPU Specs &amp; Ratios'!$B$2:$I$8,7,FALSE)),0)</f>
        <v>0</v>
      </c>
      <c r="Z368" s="60">
        <f>IF($K368&lt;&gt;"N/A",$M368*(VLOOKUP($L368,'GPU Specs &amp; Ratios'!$B$2:$I$8,8,FALSE)),0)</f>
        <v>0</v>
      </c>
      <c r="AA368" s="60">
        <f>(C368/D368)*VLOOKUP($E368,'AWS Platforms Ratios'!$A$2:$O$25,15,FALSE)</f>
        <v>2</v>
      </c>
      <c r="AB368" s="60">
        <f t="shared" ref="AB368:AE368" si="368">O368+S368+W368+$AA368</f>
        <v>3.506927083</v>
      </c>
      <c r="AC368" s="60">
        <f t="shared" si="368"/>
        <v>5.535989583</v>
      </c>
      <c r="AD368" s="60">
        <f t="shared" si="368"/>
        <v>10.40052083</v>
      </c>
      <c r="AE368" s="60">
        <f t="shared" si="368"/>
        <v>13.95682292</v>
      </c>
      <c r="AF368" s="60">
        <f>IF(G368&gt;'Scope 3 Ratios'!$B$5,(G368-'Scope 3 Ratios'!$B$5)*('Scope 3 Ratios'!$B$6/'Scope 3 Ratios'!$B$5),0)</f>
        <v>510.3792</v>
      </c>
      <c r="AG368" s="60">
        <f>J368*IF(I368="SSD",'Scope 3 Ratios'!$B$9,'Scope 3 Ratios'!$B$8)</f>
        <v>0</v>
      </c>
      <c r="AH368" s="60">
        <f>IF(K368&lt;&gt;"N/A",K368*'Scope 3 Ratios'!$B$10,0)</f>
        <v>0</v>
      </c>
      <c r="AI368" s="60">
        <f>(VLOOKUP($E368,'AWS Platforms Ratios'!$A$2:$O$25,3,FALSE)-1)*'Scope 3 Ratios'!$B$7</f>
        <v>100</v>
      </c>
      <c r="AJ368" s="60">
        <f>'Scope 3 Ratios'!$B$2+AF368+AG368+AH368+AI368</f>
        <v>1610.3792</v>
      </c>
      <c r="AK368" s="60">
        <f>AJ368*'Scope 3 Ratios'!$B$4*(C368/D368)</f>
        <v>0.9707629244</v>
      </c>
      <c r="AL368" s="61" t="s">
        <v>652</v>
      </c>
    </row>
    <row r="369" ht="15.0" customHeight="1">
      <c r="A369" s="56" t="s">
        <v>655</v>
      </c>
      <c r="B369" s="56" t="s">
        <v>651</v>
      </c>
      <c r="C369" s="56">
        <v>2.0</v>
      </c>
      <c r="D369" s="56">
        <f>VLOOKUP(E369,'AWS Platforms Ratios'!$A$2:$B$25,2,FALSE)</f>
        <v>96</v>
      </c>
      <c r="E369" s="57" t="s">
        <v>350</v>
      </c>
      <c r="F369" s="56">
        <v>4.0</v>
      </c>
      <c r="G369" s="56">
        <v>384.0</v>
      </c>
      <c r="H369" s="57" t="s">
        <v>71</v>
      </c>
      <c r="I369" s="56" t="s">
        <v>72</v>
      </c>
      <c r="J369" s="56">
        <v>0.0</v>
      </c>
      <c r="K369" s="58" t="s">
        <v>73</v>
      </c>
      <c r="L369" s="58" t="s">
        <v>73</v>
      </c>
      <c r="M369" s="58" t="s">
        <v>73</v>
      </c>
      <c r="N369" s="58" t="s">
        <v>73</v>
      </c>
      <c r="O369" s="59">
        <f>($C369/$D369)*VLOOKUP($E369,'AWS Platforms Ratios'!$A$2:$O$25,7,FALSE)</f>
        <v>1.205833333</v>
      </c>
      <c r="P369" s="59">
        <f>($C369/$D369)*VLOOKUP($E369,'AWS Platforms Ratios'!$A$2:$O$25,8,FALSE)</f>
        <v>3.054791667</v>
      </c>
      <c r="Q369" s="59">
        <f>($C369/$D369)*VLOOKUP($E369,'AWS Platforms Ratios'!$A$2:$O$25,9,FALSE)</f>
        <v>7.160416667</v>
      </c>
      <c r="R369" s="59">
        <f>($C369/$D369)*VLOOKUP($E369,'AWS Platforms Ratios'!$A$2:$O$25,10,FALSE)</f>
        <v>9.9578125</v>
      </c>
      <c r="S369" s="59">
        <f>$F369*VLOOKUP($E369,'AWS Platforms Ratios'!$A$2:$O$25,11,FALSE)</f>
        <v>0.6021875</v>
      </c>
      <c r="T369" s="59">
        <f>$F369*VLOOKUP($E369,'AWS Platforms Ratios'!$A$2:$O$25,12,FALSE)</f>
        <v>0.9623958333</v>
      </c>
      <c r="U369" s="59">
        <f>$F369*VLOOKUP($E369,'AWS Platforms Ratios'!$A$2:$O$25,13,FALSE)</f>
        <v>2.480208333</v>
      </c>
      <c r="V369" s="59">
        <f>$F369*VLOOKUP($E369,'AWS Platforms Ratios'!$A$2:$O$25,14,FALSE)</f>
        <v>3.998020833</v>
      </c>
      <c r="W369" s="60">
        <f>IF($K369&lt;&gt;"N/A",$M369*(VLOOKUP($L369,'GPU Specs &amp; Ratios'!$B$2:$I$8,5,FALSE)),0)</f>
        <v>0</v>
      </c>
      <c r="X369" s="60">
        <f>IF($K369&lt;&gt;"N/A",$M369*(VLOOKUP($L369,'GPU Specs &amp; Ratios'!$B$2:$I$8,6,FALSE)),0)</f>
        <v>0</v>
      </c>
      <c r="Y369" s="60">
        <f>IF($K369&lt;&gt;"N/A",$M369*(VLOOKUP($L369,'GPU Specs &amp; Ratios'!$B$2:$I$8,7,FALSE)),0)</f>
        <v>0</v>
      </c>
      <c r="Z369" s="60">
        <f>IF($K369&lt;&gt;"N/A",$M369*(VLOOKUP($L369,'GPU Specs &amp; Ratios'!$B$2:$I$8,8,FALSE)),0)</f>
        <v>0</v>
      </c>
      <c r="AA369" s="60">
        <f>(C369/D369)*VLOOKUP($E369,'AWS Platforms Ratios'!$A$2:$O$25,15,FALSE)</f>
        <v>2</v>
      </c>
      <c r="AB369" s="60">
        <f t="shared" ref="AB369:AE369" si="369">O369+S369+W369+$AA369</f>
        <v>3.808020833</v>
      </c>
      <c r="AC369" s="60">
        <f t="shared" si="369"/>
        <v>6.0171875</v>
      </c>
      <c r="AD369" s="60">
        <f t="shared" si="369"/>
        <v>11.640625</v>
      </c>
      <c r="AE369" s="60">
        <f t="shared" si="369"/>
        <v>15.95583333</v>
      </c>
      <c r="AF369" s="60">
        <f>IF(G369&gt;'Scope 3 Ratios'!$B$5,(G369-'Scope 3 Ratios'!$B$5)*('Scope 3 Ratios'!$B$6/'Scope 3 Ratios'!$B$5),0)</f>
        <v>510.3792</v>
      </c>
      <c r="AG369" s="60">
        <f>J369*IF(I369="SSD",'Scope 3 Ratios'!$B$9,'Scope 3 Ratios'!$B$8)</f>
        <v>0</v>
      </c>
      <c r="AH369" s="60">
        <f>IF(K369&lt;&gt;"N/A",K369*'Scope 3 Ratios'!$B$10,0)</f>
        <v>0</v>
      </c>
      <c r="AI369" s="60">
        <f>(VLOOKUP($E369,'AWS Platforms Ratios'!$A$2:$O$25,3,FALSE)-1)*'Scope 3 Ratios'!$B$7</f>
        <v>100</v>
      </c>
      <c r="AJ369" s="60">
        <f>'Scope 3 Ratios'!$B$2+AF369+AG369+AH369+AI369</f>
        <v>1610.3792</v>
      </c>
      <c r="AK369" s="60">
        <f>AJ369*'Scope 3 Ratios'!$B$4*(C369/D369)</f>
        <v>0.9707629244</v>
      </c>
      <c r="AL369" s="61" t="s">
        <v>652</v>
      </c>
    </row>
    <row r="370" ht="15.0" customHeight="1">
      <c r="A370" s="56" t="s">
        <v>656</v>
      </c>
      <c r="B370" s="56" t="s">
        <v>651</v>
      </c>
      <c r="C370" s="56">
        <v>2.0</v>
      </c>
      <c r="D370" s="56">
        <f>VLOOKUP(E370,'AWS Platforms Ratios'!$A$2:$B$25,2,FALSE)</f>
        <v>96</v>
      </c>
      <c r="E370" s="57" t="s">
        <v>350</v>
      </c>
      <c r="F370" s="56">
        <v>8.0</v>
      </c>
      <c r="G370" s="56">
        <v>384.0</v>
      </c>
      <c r="H370" s="57" t="s">
        <v>71</v>
      </c>
      <c r="I370" s="56" t="s">
        <v>72</v>
      </c>
      <c r="J370" s="56">
        <v>0.0</v>
      </c>
      <c r="K370" s="58" t="s">
        <v>73</v>
      </c>
      <c r="L370" s="58" t="s">
        <v>73</v>
      </c>
      <c r="M370" s="58" t="s">
        <v>73</v>
      </c>
      <c r="N370" s="58" t="s">
        <v>73</v>
      </c>
      <c r="O370" s="59">
        <f>($C370/$D370)*VLOOKUP($E370,'AWS Platforms Ratios'!$A$2:$O$25,7,FALSE)</f>
        <v>1.205833333</v>
      </c>
      <c r="P370" s="59">
        <f>($C370/$D370)*VLOOKUP($E370,'AWS Platforms Ratios'!$A$2:$O$25,8,FALSE)</f>
        <v>3.054791667</v>
      </c>
      <c r="Q370" s="59">
        <f>($C370/$D370)*VLOOKUP($E370,'AWS Platforms Ratios'!$A$2:$O$25,9,FALSE)</f>
        <v>7.160416667</v>
      </c>
      <c r="R370" s="59">
        <f>($C370/$D370)*VLOOKUP($E370,'AWS Platforms Ratios'!$A$2:$O$25,10,FALSE)</f>
        <v>9.9578125</v>
      </c>
      <c r="S370" s="59">
        <f>$F370*VLOOKUP($E370,'AWS Platforms Ratios'!$A$2:$O$25,11,FALSE)</f>
        <v>1.204375</v>
      </c>
      <c r="T370" s="59">
        <f>$F370*VLOOKUP($E370,'AWS Platforms Ratios'!$A$2:$O$25,12,FALSE)</f>
        <v>1.924791667</v>
      </c>
      <c r="U370" s="59">
        <f>$F370*VLOOKUP($E370,'AWS Platforms Ratios'!$A$2:$O$25,13,FALSE)</f>
        <v>4.960416667</v>
      </c>
      <c r="V370" s="59">
        <f>$F370*VLOOKUP($E370,'AWS Platforms Ratios'!$A$2:$O$25,14,FALSE)</f>
        <v>7.996041667</v>
      </c>
      <c r="W370" s="60">
        <f>IF($K370&lt;&gt;"N/A",$M370*(VLOOKUP($L370,'GPU Specs &amp; Ratios'!$B$2:$I$8,5,FALSE)),0)</f>
        <v>0</v>
      </c>
      <c r="X370" s="60">
        <f>IF($K370&lt;&gt;"N/A",$M370*(VLOOKUP($L370,'GPU Specs &amp; Ratios'!$B$2:$I$8,6,FALSE)),0)</f>
        <v>0</v>
      </c>
      <c r="Y370" s="60">
        <f>IF($K370&lt;&gt;"N/A",$M370*(VLOOKUP($L370,'GPU Specs &amp; Ratios'!$B$2:$I$8,7,FALSE)),0)</f>
        <v>0</v>
      </c>
      <c r="Z370" s="60">
        <f>IF($K370&lt;&gt;"N/A",$M370*(VLOOKUP($L370,'GPU Specs &amp; Ratios'!$B$2:$I$8,8,FALSE)),0)</f>
        <v>0</v>
      </c>
      <c r="AA370" s="60">
        <f>(C370/D370)*VLOOKUP($E370,'AWS Platforms Ratios'!$A$2:$O$25,15,FALSE)</f>
        <v>2</v>
      </c>
      <c r="AB370" s="60">
        <f t="shared" ref="AB370:AE370" si="370">O370+S370+W370+$AA370</f>
        <v>4.410208333</v>
      </c>
      <c r="AC370" s="60">
        <f t="shared" si="370"/>
        <v>6.979583333</v>
      </c>
      <c r="AD370" s="60">
        <f t="shared" si="370"/>
        <v>14.12083333</v>
      </c>
      <c r="AE370" s="60">
        <f t="shared" si="370"/>
        <v>19.95385417</v>
      </c>
      <c r="AF370" s="60">
        <f>IF(G370&gt;'Scope 3 Ratios'!$B$5,(G370-'Scope 3 Ratios'!$B$5)*('Scope 3 Ratios'!$B$6/'Scope 3 Ratios'!$B$5),0)</f>
        <v>510.3792</v>
      </c>
      <c r="AG370" s="60">
        <f>J370*IF(I370="SSD",'Scope 3 Ratios'!$B$9,'Scope 3 Ratios'!$B$8)</f>
        <v>0</v>
      </c>
      <c r="AH370" s="60">
        <f>IF(K370&lt;&gt;"N/A",K370*'Scope 3 Ratios'!$B$10,0)</f>
        <v>0</v>
      </c>
      <c r="AI370" s="60">
        <f>(VLOOKUP($E370,'AWS Platforms Ratios'!$A$2:$O$25,3,FALSE)-1)*'Scope 3 Ratios'!$B$7</f>
        <v>100</v>
      </c>
      <c r="AJ370" s="60">
        <f>'Scope 3 Ratios'!$B$2+AF370+AG370+AH370+AI370</f>
        <v>1610.3792</v>
      </c>
      <c r="AK370" s="60">
        <f>AJ370*'Scope 3 Ratios'!$B$4*(C370/D370)</f>
        <v>0.9707629244</v>
      </c>
      <c r="AL370" s="61" t="s">
        <v>652</v>
      </c>
    </row>
    <row r="371" ht="15.0" customHeight="1">
      <c r="A371" s="56" t="s">
        <v>657</v>
      </c>
      <c r="B371" s="56" t="s">
        <v>651</v>
      </c>
      <c r="C371" s="56">
        <v>4.0</v>
      </c>
      <c r="D371" s="56">
        <f>VLOOKUP(E371,'AWS Platforms Ratios'!$A$2:$B$25,2,FALSE)</f>
        <v>96</v>
      </c>
      <c r="E371" s="57" t="s">
        <v>350</v>
      </c>
      <c r="F371" s="56">
        <v>16.0</v>
      </c>
      <c r="G371" s="56">
        <v>384.0</v>
      </c>
      <c r="H371" s="57" t="s">
        <v>71</v>
      </c>
      <c r="I371" s="56" t="s">
        <v>72</v>
      </c>
      <c r="J371" s="56">
        <v>0.0</v>
      </c>
      <c r="K371" s="58" t="s">
        <v>73</v>
      </c>
      <c r="L371" s="58" t="s">
        <v>73</v>
      </c>
      <c r="M371" s="58" t="s">
        <v>73</v>
      </c>
      <c r="N371" s="58" t="s">
        <v>73</v>
      </c>
      <c r="O371" s="59">
        <f>($C371/$D371)*VLOOKUP($E371,'AWS Platforms Ratios'!$A$2:$O$25,7,FALSE)</f>
        <v>2.411666667</v>
      </c>
      <c r="P371" s="59">
        <f>($C371/$D371)*VLOOKUP($E371,'AWS Platforms Ratios'!$A$2:$O$25,8,FALSE)</f>
        <v>6.109583333</v>
      </c>
      <c r="Q371" s="59">
        <f>($C371/$D371)*VLOOKUP($E371,'AWS Platforms Ratios'!$A$2:$O$25,9,FALSE)</f>
        <v>14.32083333</v>
      </c>
      <c r="R371" s="59">
        <f>($C371/$D371)*VLOOKUP($E371,'AWS Platforms Ratios'!$A$2:$O$25,10,FALSE)</f>
        <v>19.915625</v>
      </c>
      <c r="S371" s="59">
        <f>$F371*VLOOKUP($E371,'AWS Platforms Ratios'!$A$2:$O$25,11,FALSE)</f>
        <v>2.40875</v>
      </c>
      <c r="T371" s="59">
        <f>$F371*VLOOKUP($E371,'AWS Platforms Ratios'!$A$2:$O$25,12,FALSE)</f>
        <v>3.849583333</v>
      </c>
      <c r="U371" s="59">
        <f>$F371*VLOOKUP($E371,'AWS Platforms Ratios'!$A$2:$O$25,13,FALSE)</f>
        <v>9.920833333</v>
      </c>
      <c r="V371" s="59">
        <f>$F371*VLOOKUP($E371,'AWS Platforms Ratios'!$A$2:$O$25,14,FALSE)</f>
        <v>15.99208333</v>
      </c>
      <c r="W371" s="60">
        <f>IF($K371&lt;&gt;"N/A",$M371*(VLOOKUP($L371,'GPU Specs &amp; Ratios'!$B$2:$I$8,5,FALSE)),0)</f>
        <v>0</v>
      </c>
      <c r="X371" s="60">
        <f>IF($K371&lt;&gt;"N/A",$M371*(VLOOKUP($L371,'GPU Specs &amp; Ratios'!$B$2:$I$8,6,FALSE)),0)</f>
        <v>0</v>
      </c>
      <c r="Y371" s="60">
        <f>IF($K371&lt;&gt;"N/A",$M371*(VLOOKUP($L371,'GPU Specs &amp; Ratios'!$B$2:$I$8,7,FALSE)),0)</f>
        <v>0</v>
      </c>
      <c r="Z371" s="60">
        <f>IF($K371&lt;&gt;"N/A",$M371*(VLOOKUP($L371,'GPU Specs &amp; Ratios'!$B$2:$I$8,8,FALSE)),0)</f>
        <v>0</v>
      </c>
      <c r="AA371" s="60">
        <f>(C371/D371)*VLOOKUP($E371,'AWS Platforms Ratios'!$A$2:$O$25,15,FALSE)</f>
        <v>4</v>
      </c>
      <c r="AB371" s="60">
        <f t="shared" ref="AB371:AE371" si="371">O371+S371+W371+$AA371</f>
        <v>8.820416667</v>
      </c>
      <c r="AC371" s="60">
        <f t="shared" si="371"/>
        <v>13.95916667</v>
      </c>
      <c r="AD371" s="60">
        <f t="shared" si="371"/>
        <v>28.24166667</v>
      </c>
      <c r="AE371" s="60">
        <f t="shared" si="371"/>
        <v>39.90770833</v>
      </c>
      <c r="AF371" s="60">
        <f>IF(G371&gt;'Scope 3 Ratios'!$B$5,(G371-'Scope 3 Ratios'!$B$5)*('Scope 3 Ratios'!$B$6/'Scope 3 Ratios'!$B$5),0)</f>
        <v>510.3792</v>
      </c>
      <c r="AG371" s="60">
        <f>J371*IF(I371="SSD",'Scope 3 Ratios'!$B$9,'Scope 3 Ratios'!$B$8)</f>
        <v>0</v>
      </c>
      <c r="AH371" s="60">
        <f>IF(K371&lt;&gt;"N/A",K371*'Scope 3 Ratios'!$B$10,0)</f>
        <v>0</v>
      </c>
      <c r="AI371" s="60">
        <f>(VLOOKUP($E371,'AWS Platforms Ratios'!$A$2:$O$25,3,FALSE)-1)*'Scope 3 Ratios'!$B$7</f>
        <v>100</v>
      </c>
      <c r="AJ371" s="60">
        <f>'Scope 3 Ratios'!$B$2+AF371+AG371+AH371+AI371</f>
        <v>1610.3792</v>
      </c>
      <c r="AK371" s="60">
        <f>AJ371*'Scope 3 Ratios'!$B$4*(C371/D371)</f>
        <v>1.941525849</v>
      </c>
      <c r="AL371" s="61" t="s">
        <v>652</v>
      </c>
    </row>
    <row r="372" ht="15.0" customHeight="1">
      <c r="A372" s="56" t="s">
        <v>658</v>
      </c>
      <c r="B372" s="56" t="s">
        <v>651</v>
      </c>
      <c r="C372" s="56">
        <v>8.0</v>
      </c>
      <c r="D372" s="56">
        <f>VLOOKUP(E372,'AWS Platforms Ratios'!$A$2:$B$25,2,FALSE)</f>
        <v>96</v>
      </c>
      <c r="E372" s="57" t="s">
        <v>350</v>
      </c>
      <c r="F372" s="56">
        <v>32.0</v>
      </c>
      <c r="G372" s="56">
        <v>384.0</v>
      </c>
      <c r="H372" s="57" t="s">
        <v>71</v>
      </c>
      <c r="I372" s="56" t="s">
        <v>72</v>
      </c>
      <c r="J372" s="56">
        <v>0.0</v>
      </c>
      <c r="K372" s="58" t="s">
        <v>73</v>
      </c>
      <c r="L372" s="58" t="s">
        <v>73</v>
      </c>
      <c r="M372" s="58" t="s">
        <v>73</v>
      </c>
      <c r="N372" s="58" t="s">
        <v>73</v>
      </c>
      <c r="O372" s="59">
        <f>($C372/$D372)*VLOOKUP($E372,'AWS Platforms Ratios'!$A$2:$O$25,7,FALSE)</f>
        <v>4.823333333</v>
      </c>
      <c r="P372" s="59">
        <f>($C372/$D372)*VLOOKUP($E372,'AWS Platforms Ratios'!$A$2:$O$25,8,FALSE)</f>
        <v>12.21916667</v>
      </c>
      <c r="Q372" s="59">
        <f>($C372/$D372)*VLOOKUP($E372,'AWS Platforms Ratios'!$A$2:$O$25,9,FALSE)</f>
        <v>28.64166667</v>
      </c>
      <c r="R372" s="59">
        <f>($C372/$D372)*VLOOKUP($E372,'AWS Platforms Ratios'!$A$2:$O$25,10,FALSE)</f>
        <v>39.83125</v>
      </c>
      <c r="S372" s="59">
        <f>$F372*VLOOKUP($E372,'AWS Platforms Ratios'!$A$2:$O$25,11,FALSE)</f>
        <v>4.8175</v>
      </c>
      <c r="T372" s="59">
        <f>$F372*VLOOKUP($E372,'AWS Platforms Ratios'!$A$2:$O$25,12,FALSE)</f>
        <v>7.699166667</v>
      </c>
      <c r="U372" s="59">
        <f>$F372*VLOOKUP($E372,'AWS Platforms Ratios'!$A$2:$O$25,13,FALSE)</f>
        <v>19.84166667</v>
      </c>
      <c r="V372" s="59">
        <f>$F372*VLOOKUP($E372,'AWS Platforms Ratios'!$A$2:$O$25,14,FALSE)</f>
        <v>31.98416667</v>
      </c>
      <c r="W372" s="60">
        <f>IF($K372&lt;&gt;"N/A",$M372*(VLOOKUP($L372,'GPU Specs &amp; Ratios'!$B$2:$I$8,5,FALSE)),0)</f>
        <v>0</v>
      </c>
      <c r="X372" s="60">
        <f>IF($K372&lt;&gt;"N/A",$M372*(VLOOKUP($L372,'GPU Specs &amp; Ratios'!$B$2:$I$8,6,FALSE)),0)</f>
        <v>0</v>
      </c>
      <c r="Y372" s="60">
        <f>IF($K372&lt;&gt;"N/A",$M372*(VLOOKUP($L372,'GPU Specs &amp; Ratios'!$B$2:$I$8,7,FALSE)),0)</f>
        <v>0</v>
      </c>
      <c r="Z372" s="60">
        <f>IF($K372&lt;&gt;"N/A",$M372*(VLOOKUP($L372,'GPU Specs &amp; Ratios'!$B$2:$I$8,8,FALSE)),0)</f>
        <v>0</v>
      </c>
      <c r="AA372" s="60">
        <f>(C372/D372)*VLOOKUP($E372,'AWS Platforms Ratios'!$A$2:$O$25,15,FALSE)</f>
        <v>8</v>
      </c>
      <c r="AB372" s="60">
        <f t="shared" ref="AB372:AE372" si="372">O372+S372+W372+$AA372</f>
        <v>17.64083333</v>
      </c>
      <c r="AC372" s="60">
        <f t="shared" si="372"/>
        <v>27.91833333</v>
      </c>
      <c r="AD372" s="60">
        <f t="shared" si="372"/>
        <v>56.48333333</v>
      </c>
      <c r="AE372" s="60">
        <f t="shared" si="372"/>
        <v>79.81541667</v>
      </c>
      <c r="AF372" s="60">
        <f>IF(G372&gt;'Scope 3 Ratios'!$B$5,(G372-'Scope 3 Ratios'!$B$5)*('Scope 3 Ratios'!$B$6/'Scope 3 Ratios'!$B$5),0)</f>
        <v>510.3792</v>
      </c>
      <c r="AG372" s="60">
        <f>J372*IF(I372="SSD",'Scope 3 Ratios'!$B$9,'Scope 3 Ratios'!$B$8)</f>
        <v>0</v>
      </c>
      <c r="AH372" s="60">
        <f>IF(K372&lt;&gt;"N/A",K372*'Scope 3 Ratios'!$B$10,0)</f>
        <v>0</v>
      </c>
      <c r="AI372" s="60">
        <f>(VLOOKUP($E372,'AWS Platforms Ratios'!$A$2:$O$25,3,FALSE)-1)*'Scope 3 Ratios'!$B$7</f>
        <v>100</v>
      </c>
      <c r="AJ372" s="60">
        <f>'Scope 3 Ratios'!$B$2+AF372+AG372+AH372+AI372</f>
        <v>1610.3792</v>
      </c>
      <c r="AK372" s="60">
        <f>AJ372*'Scope 3 Ratios'!$B$4*(C372/D372)</f>
        <v>3.883051698</v>
      </c>
      <c r="AL372" s="61" t="s">
        <v>652</v>
      </c>
    </row>
    <row r="373" ht="15.0" customHeight="1">
      <c r="A373" s="56" t="s">
        <v>659</v>
      </c>
      <c r="B373" s="56" t="s">
        <v>660</v>
      </c>
      <c r="C373" s="56">
        <v>2.0</v>
      </c>
      <c r="D373" s="56">
        <f>VLOOKUP(E373,'AWS Platforms Ratios'!$A$2:$B$25,2,FALSE)</f>
        <v>96</v>
      </c>
      <c r="E373" s="57" t="s">
        <v>423</v>
      </c>
      <c r="F373" s="56">
        <v>0.5</v>
      </c>
      <c r="G373" s="56">
        <v>384.0</v>
      </c>
      <c r="H373" s="57" t="s">
        <v>71</v>
      </c>
      <c r="I373" s="56" t="s">
        <v>72</v>
      </c>
      <c r="J373" s="56">
        <v>0.0</v>
      </c>
      <c r="K373" s="58" t="s">
        <v>73</v>
      </c>
      <c r="L373" s="58" t="s">
        <v>73</v>
      </c>
      <c r="M373" s="58" t="s">
        <v>73</v>
      </c>
      <c r="N373" s="58" t="s">
        <v>73</v>
      </c>
      <c r="O373" s="59">
        <f>($C373/$D373)*VLOOKUP($E373,'AWS Platforms Ratios'!$A$2:$O$25,7,FALSE)</f>
        <v>0.967738478</v>
      </c>
      <c r="P373" s="59">
        <f>($C373/$D373)*VLOOKUP($E373,'AWS Platforms Ratios'!$A$2:$O$25,8,FALSE)</f>
        <v>2.652170418</v>
      </c>
      <c r="Q373" s="59">
        <f>($C373/$D373)*VLOOKUP($E373,'AWS Platforms Ratios'!$A$2:$O$25,9,FALSE)</f>
        <v>6.26886388</v>
      </c>
      <c r="R373" s="59">
        <f>($C373/$D373)*VLOOKUP($E373,'AWS Platforms Ratios'!$A$2:$O$25,10,FALSE)</f>
        <v>8.487875134</v>
      </c>
      <c r="S373" s="59">
        <f>$F373*VLOOKUP($E373,'AWS Platforms Ratios'!$A$2:$O$25,11,FALSE)</f>
        <v>0.1</v>
      </c>
      <c r="T373" s="59">
        <f>$F373*VLOOKUP($E373,'AWS Platforms Ratios'!$A$2:$O$25,12,FALSE)</f>
        <v>0.15</v>
      </c>
      <c r="U373" s="59">
        <f>$F373*VLOOKUP($E373,'AWS Platforms Ratios'!$A$2:$O$25,13,FALSE)</f>
        <v>0.2</v>
      </c>
      <c r="V373" s="59">
        <f>$F373*VLOOKUP($E373,'AWS Platforms Ratios'!$A$2:$O$25,14,FALSE)</f>
        <v>0.3</v>
      </c>
      <c r="W373" s="60">
        <f>IF($K373&lt;&gt;"N/A",$M373*(VLOOKUP($L373,'GPU Specs &amp; Ratios'!$B$2:$I$8,5,FALSE)),0)</f>
        <v>0</v>
      </c>
      <c r="X373" s="60">
        <f>IF($K373&lt;&gt;"N/A",$M373*(VLOOKUP($L373,'GPU Specs &amp; Ratios'!$B$2:$I$8,6,FALSE)),0)</f>
        <v>0</v>
      </c>
      <c r="Y373" s="60">
        <f>IF($K373&lt;&gt;"N/A",$M373*(VLOOKUP($L373,'GPU Specs &amp; Ratios'!$B$2:$I$8,7,FALSE)),0)</f>
        <v>0</v>
      </c>
      <c r="Z373" s="60">
        <f>IF($K373&lt;&gt;"N/A",$M373*(VLOOKUP($L373,'GPU Specs &amp; Ratios'!$B$2:$I$8,8,FALSE)),0)</f>
        <v>0</v>
      </c>
      <c r="AA373" s="60">
        <f>(C373/D373)*VLOOKUP($E373,'AWS Platforms Ratios'!$A$2:$O$25,15,FALSE)</f>
        <v>1.666666667</v>
      </c>
      <c r="AB373" s="60">
        <f t="shared" ref="AB373:AE373" si="373">O373+S373+W373+$AA373</f>
        <v>2.734405145</v>
      </c>
      <c r="AC373" s="60">
        <f t="shared" si="373"/>
        <v>4.468837085</v>
      </c>
      <c r="AD373" s="60">
        <f t="shared" si="373"/>
        <v>8.135530547</v>
      </c>
      <c r="AE373" s="60">
        <f t="shared" si="373"/>
        <v>10.4545418</v>
      </c>
      <c r="AF373" s="60">
        <f>IF(G373&gt;'Scope 3 Ratios'!$B$5,(G373-'Scope 3 Ratios'!$B$5)*('Scope 3 Ratios'!$B$6/'Scope 3 Ratios'!$B$5),0)</f>
        <v>510.3792</v>
      </c>
      <c r="AG373" s="60">
        <f>J373*IF(I373="SSD",'Scope 3 Ratios'!$B$9,'Scope 3 Ratios'!$B$8)</f>
        <v>0</v>
      </c>
      <c r="AH373" s="60">
        <f>IF(K373&lt;&gt;"N/A",K373*'Scope 3 Ratios'!$B$10,0)</f>
        <v>0</v>
      </c>
      <c r="AI373" s="60">
        <f>(VLOOKUP($E373,'AWS Platforms Ratios'!$A$2:$O$25,3,FALSE)-1)*'Scope 3 Ratios'!$B$7</f>
        <v>100</v>
      </c>
      <c r="AJ373" s="60">
        <f>'Scope 3 Ratios'!$B$2+AF373+AG373+AH373+AI373</f>
        <v>1610.3792</v>
      </c>
      <c r="AK373" s="60">
        <f>AJ373*'Scope 3 Ratios'!$B$4*(C373/D373)</f>
        <v>0.9707629244</v>
      </c>
      <c r="AL373" s="61" t="s">
        <v>424</v>
      </c>
    </row>
    <row r="374" ht="15.0" customHeight="1">
      <c r="A374" s="56" t="s">
        <v>661</v>
      </c>
      <c r="B374" s="56" t="s">
        <v>660</v>
      </c>
      <c r="C374" s="56">
        <v>2.0</v>
      </c>
      <c r="D374" s="56">
        <f>VLOOKUP(E374,'AWS Platforms Ratios'!$A$2:$B$25,2,FALSE)</f>
        <v>96</v>
      </c>
      <c r="E374" s="57" t="s">
        <v>423</v>
      </c>
      <c r="F374" s="56">
        <v>1.0</v>
      </c>
      <c r="G374" s="56">
        <v>384.0</v>
      </c>
      <c r="H374" s="57" t="s">
        <v>71</v>
      </c>
      <c r="I374" s="56" t="s">
        <v>72</v>
      </c>
      <c r="J374" s="56">
        <v>0.0</v>
      </c>
      <c r="K374" s="58" t="s">
        <v>73</v>
      </c>
      <c r="L374" s="58" t="s">
        <v>73</v>
      </c>
      <c r="M374" s="58" t="s">
        <v>73</v>
      </c>
      <c r="N374" s="58" t="s">
        <v>73</v>
      </c>
      <c r="O374" s="59">
        <f>($C374/$D374)*VLOOKUP($E374,'AWS Platforms Ratios'!$A$2:$O$25,7,FALSE)</f>
        <v>0.967738478</v>
      </c>
      <c r="P374" s="59">
        <f>($C374/$D374)*VLOOKUP($E374,'AWS Platforms Ratios'!$A$2:$O$25,8,FALSE)</f>
        <v>2.652170418</v>
      </c>
      <c r="Q374" s="59">
        <f>($C374/$D374)*VLOOKUP($E374,'AWS Platforms Ratios'!$A$2:$O$25,9,FALSE)</f>
        <v>6.26886388</v>
      </c>
      <c r="R374" s="59">
        <f>($C374/$D374)*VLOOKUP($E374,'AWS Platforms Ratios'!$A$2:$O$25,10,FALSE)</f>
        <v>8.487875134</v>
      </c>
      <c r="S374" s="59">
        <f>$F374*VLOOKUP($E374,'AWS Platforms Ratios'!$A$2:$O$25,11,FALSE)</f>
        <v>0.2</v>
      </c>
      <c r="T374" s="59">
        <f>$F374*VLOOKUP($E374,'AWS Platforms Ratios'!$A$2:$O$25,12,FALSE)</f>
        <v>0.3</v>
      </c>
      <c r="U374" s="59">
        <f>$F374*VLOOKUP($E374,'AWS Platforms Ratios'!$A$2:$O$25,13,FALSE)</f>
        <v>0.4</v>
      </c>
      <c r="V374" s="59">
        <f>$F374*VLOOKUP($E374,'AWS Platforms Ratios'!$A$2:$O$25,14,FALSE)</f>
        <v>0.6</v>
      </c>
      <c r="W374" s="60">
        <f>IF($K374&lt;&gt;"N/A",$M374*(VLOOKUP($L374,'GPU Specs &amp; Ratios'!$B$2:$I$8,5,FALSE)),0)</f>
        <v>0</v>
      </c>
      <c r="X374" s="60">
        <f>IF($K374&lt;&gt;"N/A",$M374*(VLOOKUP($L374,'GPU Specs &amp; Ratios'!$B$2:$I$8,6,FALSE)),0)</f>
        <v>0</v>
      </c>
      <c r="Y374" s="60">
        <f>IF($K374&lt;&gt;"N/A",$M374*(VLOOKUP($L374,'GPU Specs &amp; Ratios'!$B$2:$I$8,7,FALSE)),0)</f>
        <v>0</v>
      </c>
      <c r="Z374" s="60">
        <f>IF($K374&lt;&gt;"N/A",$M374*(VLOOKUP($L374,'GPU Specs &amp; Ratios'!$B$2:$I$8,8,FALSE)),0)</f>
        <v>0</v>
      </c>
      <c r="AA374" s="60">
        <f>(C374/D374)*VLOOKUP($E374,'AWS Platforms Ratios'!$A$2:$O$25,15,FALSE)</f>
        <v>1.666666667</v>
      </c>
      <c r="AB374" s="60">
        <f t="shared" ref="AB374:AE374" si="374">O374+S374+W374+$AA374</f>
        <v>2.834405145</v>
      </c>
      <c r="AC374" s="60">
        <f t="shared" si="374"/>
        <v>4.618837085</v>
      </c>
      <c r="AD374" s="60">
        <f t="shared" si="374"/>
        <v>8.335530547</v>
      </c>
      <c r="AE374" s="60">
        <f t="shared" si="374"/>
        <v>10.7545418</v>
      </c>
      <c r="AF374" s="60">
        <f>IF(G374&gt;'Scope 3 Ratios'!$B$5,(G374-'Scope 3 Ratios'!$B$5)*('Scope 3 Ratios'!$B$6/'Scope 3 Ratios'!$B$5),0)</f>
        <v>510.3792</v>
      </c>
      <c r="AG374" s="60">
        <f>J374*IF(I374="SSD",'Scope 3 Ratios'!$B$9,'Scope 3 Ratios'!$B$8)</f>
        <v>0</v>
      </c>
      <c r="AH374" s="60">
        <f>IF(K374&lt;&gt;"N/A",K374*'Scope 3 Ratios'!$B$10,0)</f>
        <v>0</v>
      </c>
      <c r="AI374" s="60">
        <f>(VLOOKUP($E374,'AWS Platforms Ratios'!$A$2:$O$25,3,FALSE)-1)*'Scope 3 Ratios'!$B$7</f>
        <v>100</v>
      </c>
      <c r="AJ374" s="60">
        <f>'Scope 3 Ratios'!$B$2+AF374+AG374+AH374+AI374</f>
        <v>1610.3792</v>
      </c>
      <c r="AK374" s="60">
        <f>AJ374*'Scope 3 Ratios'!$B$4*(C374/D374)</f>
        <v>0.9707629244</v>
      </c>
      <c r="AL374" s="61" t="s">
        <v>424</v>
      </c>
    </row>
    <row r="375" ht="15.0" customHeight="1">
      <c r="A375" s="56" t="s">
        <v>662</v>
      </c>
      <c r="B375" s="56" t="s">
        <v>660</v>
      </c>
      <c r="C375" s="56">
        <v>2.0</v>
      </c>
      <c r="D375" s="56">
        <f>VLOOKUP(E375,'AWS Platforms Ratios'!$A$2:$B$25,2,FALSE)</f>
        <v>96</v>
      </c>
      <c r="E375" s="57" t="s">
        <v>423</v>
      </c>
      <c r="F375" s="56">
        <v>2.0</v>
      </c>
      <c r="G375" s="56">
        <v>384.0</v>
      </c>
      <c r="H375" s="57" t="s">
        <v>71</v>
      </c>
      <c r="I375" s="56" t="s">
        <v>72</v>
      </c>
      <c r="J375" s="56">
        <v>0.0</v>
      </c>
      <c r="K375" s="58" t="s">
        <v>73</v>
      </c>
      <c r="L375" s="58" t="s">
        <v>73</v>
      </c>
      <c r="M375" s="58" t="s">
        <v>73</v>
      </c>
      <c r="N375" s="58" t="s">
        <v>73</v>
      </c>
      <c r="O375" s="59">
        <f>($C375/$D375)*VLOOKUP($E375,'AWS Platforms Ratios'!$A$2:$O$25,7,FALSE)</f>
        <v>0.967738478</v>
      </c>
      <c r="P375" s="59">
        <f>($C375/$D375)*VLOOKUP($E375,'AWS Platforms Ratios'!$A$2:$O$25,8,FALSE)</f>
        <v>2.652170418</v>
      </c>
      <c r="Q375" s="59">
        <f>($C375/$D375)*VLOOKUP($E375,'AWS Platforms Ratios'!$A$2:$O$25,9,FALSE)</f>
        <v>6.26886388</v>
      </c>
      <c r="R375" s="59">
        <f>($C375/$D375)*VLOOKUP($E375,'AWS Platforms Ratios'!$A$2:$O$25,10,FALSE)</f>
        <v>8.487875134</v>
      </c>
      <c r="S375" s="59">
        <f>$F375*VLOOKUP($E375,'AWS Platforms Ratios'!$A$2:$O$25,11,FALSE)</f>
        <v>0.4</v>
      </c>
      <c r="T375" s="59">
        <f>$F375*VLOOKUP($E375,'AWS Platforms Ratios'!$A$2:$O$25,12,FALSE)</f>
        <v>0.6</v>
      </c>
      <c r="U375" s="59">
        <f>$F375*VLOOKUP($E375,'AWS Platforms Ratios'!$A$2:$O$25,13,FALSE)</f>
        <v>0.8</v>
      </c>
      <c r="V375" s="59">
        <f>$F375*VLOOKUP($E375,'AWS Platforms Ratios'!$A$2:$O$25,14,FALSE)</f>
        <v>1.2</v>
      </c>
      <c r="W375" s="60">
        <f>IF($K375&lt;&gt;"N/A",$M375*(VLOOKUP($L375,'GPU Specs &amp; Ratios'!$B$2:$I$8,5,FALSE)),0)</f>
        <v>0</v>
      </c>
      <c r="X375" s="60">
        <f>IF($K375&lt;&gt;"N/A",$M375*(VLOOKUP($L375,'GPU Specs &amp; Ratios'!$B$2:$I$8,6,FALSE)),0)</f>
        <v>0</v>
      </c>
      <c r="Y375" s="60">
        <f>IF($K375&lt;&gt;"N/A",$M375*(VLOOKUP($L375,'GPU Specs &amp; Ratios'!$B$2:$I$8,7,FALSE)),0)</f>
        <v>0</v>
      </c>
      <c r="Z375" s="60">
        <f>IF($K375&lt;&gt;"N/A",$M375*(VLOOKUP($L375,'GPU Specs &amp; Ratios'!$B$2:$I$8,8,FALSE)),0)</f>
        <v>0</v>
      </c>
      <c r="AA375" s="60">
        <f>(C375/D375)*VLOOKUP($E375,'AWS Platforms Ratios'!$A$2:$O$25,15,FALSE)</f>
        <v>1.666666667</v>
      </c>
      <c r="AB375" s="60">
        <f t="shared" ref="AB375:AE375" si="375">O375+S375+W375+$AA375</f>
        <v>3.034405145</v>
      </c>
      <c r="AC375" s="60">
        <f t="shared" si="375"/>
        <v>4.918837085</v>
      </c>
      <c r="AD375" s="60">
        <f t="shared" si="375"/>
        <v>8.735530547</v>
      </c>
      <c r="AE375" s="60">
        <f t="shared" si="375"/>
        <v>11.3545418</v>
      </c>
      <c r="AF375" s="60">
        <f>IF(G375&gt;'Scope 3 Ratios'!$B$5,(G375-'Scope 3 Ratios'!$B$5)*('Scope 3 Ratios'!$B$6/'Scope 3 Ratios'!$B$5),0)</f>
        <v>510.3792</v>
      </c>
      <c r="AG375" s="60">
        <f>J375*IF(I375="SSD",'Scope 3 Ratios'!$B$9,'Scope 3 Ratios'!$B$8)</f>
        <v>0</v>
      </c>
      <c r="AH375" s="60">
        <f>IF(K375&lt;&gt;"N/A",K375*'Scope 3 Ratios'!$B$10,0)</f>
        <v>0</v>
      </c>
      <c r="AI375" s="60">
        <f>(VLOOKUP($E375,'AWS Platforms Ratios'!$A$2:$O$25,3,FALSE)-1)*'Scope 3 Ratios'!$B$7</f>
        <v>100</v>
      </c>
      <c r="AJ375" s="60">
        <f>'Scope 3 Ratios'!$B$2+AF375+AG375+AH375+AI375</f>
        <v>1610.3792</v>
      </c>
      <c r="AK375" s="60">
        <f>AJ375*'Scope 3 Ratios'!$B$4*(C375/D375)</f>
        <v>0.9707629244</v>
      </c>
      <c r="AL375" s="61" t="s">
        <v>424</v>
      </c>
    </row>
    <row r="376" ht="15.0" customHeight="1">
      <c r="A376" s="56" t="s">
        <v>663</v>
      </c>
      <c r="B376" s="56" t="s">
        <v>660</v>
      </c>
      <c r="C376" s="56">
        <v>2.0</v>
      </c>
      <c r="D376" s="56">
        <f>VLOOKUP(E376,'AWS Platforms Ratios'!$A$2:$B$25,2,FALSE)</f>
        <v>96</v>
      </c>
      <c r="E376" s="57" t="s">
        <v>423</v>
      </c>
      <c r="F376" s="56">
        <v>4.0</v>
      </c>
      <c r="G376" s="56">
        <v>384.0</v>
      </c>
      <c r="H376" s="57" t="s">
        <v>71</v>
      </c>
      <c r="I376" s="56" t="s">
        <v>72</v>
      </c>
      <c r="J376" s="56">
        <v>0.0</v>
      </c>
      <c r="K376" s="58" t="s">
        <v>73</v>
      </c>
      <c r="L376" s="58" t="s">
        <v>73</v>
      </c>
      <c r="M376" s="58" t="s">
        <v>73</v>
      </c>
      <c r="N376" s="58" t="s">
        <v>73</v>
      </c>
      <c r="O376" s="59">
        <f>($C376/$D376)*VLOOKUP($E376,'AWS Platforms Ratios'!$A$2:$O$25,7,FALSE)</f>
        <v>0.967738478</v>
      </c>
      <c r="P376" s="59">
        <f>($C376/$D376)*VLOOKUP($E376,'AWS Platforms Ratios'!$A$2:$O$25,8,FALSE)</f>
        <v>2.652170418</v>
      </c>
      <c r="Q376" s="59">
        <f>($C376/$D376)*VLOOKUP($E376,'AWS Platforms Ratios'!$A$2:$O$25,9,FALSE)</f>
        <v>6.26886388</v>
      </c>
      <c r="R376" s="59">
        <f>($C376/$D376)*VLOOKUP($E376,'AWS Platforms Ratios'!$A$2:$O$25,10,FALSE)</f>
        <v>8.487875134</v>
      </c>
      <c r="S376" s="59">
        <f>$F376*VLOOKUP($E376,'AWS Platforms Ratios'!$A$2:$O$25,11,FALSE)</f>
        <v>0.8</v>
      </c>
      <c r="T376" s="59">
        <f>$F376*VLOOKUP($E376,'AWS Platforms Ratios'!$A$2:$O$25,12,FALSE)</f>
        <v>1.2</v>
      </c>
      <c r="U376" s="59">
        <f>$F376*VLOOKUP($E376,'AWS Platforms Ratios'!$A$2:$O$25,13,FALSE)</f>
        <v>1.6</v>
      </c>
      <c r="V376" s="59">
        <f>$F376*VLOOKUP($E376,'AWS Platforms Ratios'!$A$2:$O$25,14,FALSE)</f>
        <v>2.4</v>
      </c>
      <c r="W376" s="60">
        <f>IF($K376&lt;&gt;"N/A",$M376*(VLOOKUP($L376,'GPU Specs &amp; Ratios'!$B$2:$I$8,5,FALSE)),0)</f>
        <v>0</v>
      </c>
      <c r="X376" s="60">
        <f>IF($K376&lt;&gt;"N/A",$M376*(VLOOKUP($L376,'GPU Specs &amp; Ratios'!$B$2:$I$8,6,FALSE)),0)</f>
        <v>0</v>
      </c>
      <c r="Y376" s="60">
        <f>IF($K376&lt;&gt;"N/A",$M376*(VLOOKUP($L376,'GPU Specs &amp; Ratios'!$B$2:$I$8,7,FALSE)),0)</f>
        <v>0</v>
      </c>
      <c r="Z376" s="60">
        <f>IF($K376&lt;&gt;"N/A",$M376*(VLOOKUP($L376,'GPU Specs &amp; Ratios'!$B$2:$I$8,8,FALSE)),0)</f>
        <v>0</v>
      </c>
      <c r="AA376" s="60">
        <f>(C376/D376)*VLOOKUP($E376,'AWS Platforms Ratios'!$A$2:$O$25,15,FALSE)</f>
        <v>1.666666667</v>
      </c>
      <c r="AB376" s="60">
        <f t="shared" ref="AB376:AE376" si="376">O376+S376+W376+$AA376</f>
        <v>3.434405145</v>
      </c>
      <c r="AC376" s="60">
        <f t="shared" si="376"/>
        <v>5.518837085</v>
      </c>
      <c r="AD376" s="60">
        <f t="shared" si="376"/>
        <v>9.535530547</v>
      </c>
      <c r="AE376" s="60">
        <f t="shared" si="376"/>
        <v>12.5545418</v>
      </c>
      <c r="AF376" s="60">
        <f>IF(G376&gt;'Scope 3 Ratios'!$B$5,(G376-'Scope 3 Ratios'!$B$5)*('Scope 3 Ratios'!$B$6/'Scope 3 Ratios'!$B$5),0)</f>
        <v>510.3792</v>
      </c>
      <c r="AG376" s="60">
        <f>J376*IF(I376="SSD",'Scope 3 Ratios'!$B$9,'Scope 3 Ratios'!$B$8)</f>
        <v>0</v>
      </c>
      <c r="AH376" s="60">
        <f>IF(K376&lt;&gt;"N/A",K376*'Scope 3 Ratios'!$B$10,0)</f>
        <v>0</v>
      </c>
      <c r="AI376" s="60">
        <f>(VLOOKUP($E376,'AWS Platforms Ratios'!$A$2:$O$25,3,FALSE)-1)*'Scope 3 Ratios'!$B$7</f>
        <v>100</v>
      </c>
      <c r="AJ376" s="60">
        <f>'Scope 3 Ratios'!$B$2+AF376+AG376+AH376+AI376</f>
        <v>1610.3792</v>
      </c>
      <c r="AK376" s="60">
        <f>AJ376*'Scope 3 Ratios'!$B$4*(C376/D376)</f>
        <v>0.9707629244</v>
      </c>
      <c r="AL376" s="61" t="s">
        <v>424</v>
      </c>
    </row>
    <row r="377" ht="15.0" customHeight="1">
      <c r="A377" s="56" t="s">
        <v>664</v>
      </c>
      <c r="B377" s="56" t="s">
        <v>660</v>
      </c>
      <c r="C377" s="56">
        <v>2.0</v>
      </c>
      <c r="D377" s="56">
        <f>VLOOKUP(E377,'AWS Platforms Ratios'!$A$2:$B$25,2,FALSE)</f>
        <v>96</v>
      </c>
      <c r="E377" s="57" t="s">
        <v>423</v>
      </c>
      <c r="F377" s="56">
        <v>8.0</v>
      </c>
      <c r="G377" s="56">
        <v>384.0</v>
      </c>
      <c r="H377" s="57" t="s">
        <v>71</v>
      </c>
      <c r="I377" s="56" t="s">
        <v>72</v>
      </c>
      <c r="J377" s="56">
        <v>0.0</v>
      </c>
      <c r="K377" s="58" t="s">
        <v>73</v>
      </c>
      <c r="L377" s="58" t="s">
        <v>73</v>
      </c>
      <c r="M377" s="58" t="s">
        <v>73</v>
      </c>
      <c r="N377" s="58" t="s">
        <v>73</v>
      </c>
      <c r="O377" s="59">
        <f>($C377/$D377)*VLOOKUP($E377,'AWS Platforms Ratios'!$A$2:$O$25,7,FALSE)</f>
        <v>0.967738478</v>
      </c>
      <c r="P377" s="59">
        <f>($C377/$D377)*VLOOKUP($E377,'AWS Platforms Ratios'!$A$2:$O$25,8,FALSE)</f>
        <v>2.652170418</v>
      </c>
      <c r="Q377" s="59">
        <f>($C377/$D377)*VLOOKUP($E377,'AWS Platforms Ratios'!$A$2:$O$25,9,FALSE)</f>
        <v>6.26886388</v>
      </c>
      <c r="R377" s="59">
        <f>($C377/$D377)*VLOOKUP($E377,'AWS Platforms Ratios'!$A$2:$O$25,10,FALSE)</f>
        <v>8.487875134</v>
      </c>
      <c r="S377" s="59">
        <f>$F377*VLOOKUP($E377,'AWS Platforms Ratios'!$A$2:$O$25,11,FALSE)</f>
        <v>1.6</v>
      </c>
      <c r="T377" s="59">
        <f>$F377*VLOOKUP($E377,'AWS Platforms Ratios'!$A$2:$O$25,12,FALSE)</f>
        <v>2.4</v>
      </c>
      <c r="U377" s="59">
        <f>$F377*VLOOKUP($E377,'AWS Platforms Ratios'!$A$2:$O$25,13,FALSE)</f>
        <v>3.2</v>
      </c>
      <c r="V377" s="59">
        <f>$F377*VLOOKUP($E377,'AWS Platforms Ratios'!$A$2:$O$25,14,FALSE)</f>
        <v>4.8</v>
      </c>
      <c r="W377" s="60">
        <f>IF($K377&lt;&gt;"N/A",$M377*(VLOOKUP($L377,'GPU Specs &amp; Ratios'!$B$2:$I$8,5,FALSE)),0)</f>
        <v>0</v>
      </c>
      <c r="X377" s="60">
        <f>IF($K377&lt;&gt;"N/A",$M377*(VLOOKUP($L377,'GPU Specs &amp; Ratios'!$B$2:$I$8,6,FALSE)),0)</f>
        <v>0</v>
      </c>
      <c r="Y377" s="60">
        <f>IF($K377&lt;&gt;"N/A",$M377*(VLOOKUP($L377,'GPU Specs &amp; Ratios'!$B$2:$I$8,7,FALSE)),0)</f>
        <v>0</v>
      </c>
      <c r="Z377" s="60">
        <f>IF($K377&lt;&gt;"N/A",$M377*(VLOOKUP($L377,'GPU Specs &amp; Ratios'!$B$2:$I$8,8,FALSE)),0)</f>
        <v>0</v>
      </c>
      <c r="AA377" s="60">
        <f>(C377/D377)*VLOOKUP($E377,'AWS Platforms Ratios'!$A$2:$O$25,15,FALSE)</f>
        <v>1.666666667</v>
      </c>
      <c r="AB377" s="60">
        <f t="shared" ref="AB377:AE377" si="377">O377+S377+W377+$AA377</f>
        <v>4.234405145</v>
      </c>
      <c r="AC377" s="60">
        <f t="shared" si="377"/>
        <v>6.718837085</v>
      </c>
      <c r="AD377" s="60">
        <f t="shared" si="377"/>
        <v>11.13553055</v>
      </c>
      <c r="AE377" s="60">
        <f t="shared" si="377"/>
        <v>14.9545418</v>
      </c>
      <c r="AF377" s="60">
        <f>IF(G377&gt;'Scope 3 Ratios'!$B$5,(G377-'Scope 3 Ratios'!$B$5)*('Scope 3 Ratios'!$B$6/'Scope 3 Ratios'!$B$5),0)</f>
        <v>510.3792</v>
      </c>
      <c r="AG377" s="60">
        <f>J377*IF(I377="SSD",'Scope 3 Ratios'!$B$9,'Scope 3 Ratios'!$B$8)</f>
        <v>0</v>
      </c>
      <c r="AH377" s="60">
        <f>IF(K377&lt;&gt;"N/A",K377*'Scope 3 Ratios'!$B$10,0)</f>
        <v>0</v>
      </c>
      <c r="AI377" s="60">
        <f>(VLOOKUP($E377,'AWS Platforms Ratios'!$A$2:$O$25,3,FALSE)-1)*'Scope 3 Ratios'!$B$7</f>
        <v>100</v>
      </c>
      <c r="AJ377" s="60">
        <f>'Scope 3 Ratios'!$B$2+AF377+AG377+AH377+AI377</f>
        <v>1610.3792</v>
      </c>
      <c r="AK377" s="60">
        <f>AJ377*'Scope 3 Ratios'!$B$4*(C377/D377)</f>
        <v>0.9707629244</v>
      </c>
      <c r="AL377" s="61" t="s">
        <v>424</v>
      </c>
    </row>
    <row r="378" ht="15.0" customHeight="1">
      <c r="A378" s="56" t="s">
        <v>665</v>
      </c>
      <c r="B378" s="56" t="s">
        <v>660</v>
      </c>
      <c r="C378" s="56">
        <v>4.0</v>
      </c>
      <c r="D378" s="56">
        <f>VLOOKUP(E378,'AWS Platforms Ratios'!$A$2:$B$25,2,FALSE)</f>
        <v>96</v>
      </c>
      <c r="E378" s="57" t="s">
        <v>423</v>
      </c>
      <c r="F378" s="56">
        <v>16.0</v>
      </c>
      <c r="G378" s="56">
        <v>384.0</v>
      </c>
      <c r="H378" s="57" t="s">
        <v>71</v>
      </c>
      <c r="I378" s="56" t="s">
        <v>72</v>
      </c>
      <c r="J378" s="56">
        <v>0.0</v>
      </c>
      <c r="K378" s="58" t="s">
        <v>73</v>
      </c>
      <c r="L378" s="58" t="s">
        <v>73</v>
      </c>
      <c r="M378" s="58" t="s">
        <v>73</v>
      </c>
      <c r="N378" s="58" t="s">
        <v>73</v>
      </c>
      <c r="O378" s="59">
        <f>($C378/$D378)*VLOOKUP($E378,'AWS Platforms Ratios'!$A$2:$O$25,7,FALSE)</f>
        <v>1.935476956</v>
      </c>
      <c r="P378" s="59">
        <f>($C378/$D378)*VLOOKUP($E378,'AWS Platforms Ratios'!$A$2:$O$25,8,FALSE)</f>
        <v>5.304340836</v>
      </c>
      <c r="Q378" s="59">
        <f>($C378/$D378)*VLOOKUP($E378,'AWS Platforms Ratios'!$A$2:$O$25,9,FALSE)</f>
        <v>12.53772776</v>
      </c>
      <c r="R378" s="59">
        <f>($C378/$D378)*VLOOKUP($E378,'AWS Platforms Ratios'!$A$2:$O$25,10,FALSE)</f>
        <v>16.97575027</v>
      </c>
      <c r="S378" s="59">
        <f>$F378*VLOOKUP($E378,'AWS Platforms Ratios'!$A$2:$O$25,11,FALSE)</f>
        <v>3.2</v>
      </c>
      <c r="T378" s="59">
        <f>$F378*VLOOKUP($E378,'AWS Platforms Ratios'!$A$2:$O$25,12,FALSE)</f>
        <v>4.8</v>
      </c>
      <c r="U378" s="59">
        <f>$F378*VLOOKUP($E378,'AWS Platforms Ratios'!$A$2:$O$25,13,FALSE)</f>
        <v>6.4</v>
      </c>
      <c r="V378" s="59">
        <f>$F378*VLOOKUP($E378,'AWS Platforms Ratios'!$A$2:$O$25,14,FALSE)</f>
        <v>9.6</v>
      </c>
      <c r="W378" s="60">
        <f>IF($K378&lt;&gt;"N/A",$M378*(VLOOKUP($L378,'GPU Specs &amp; Ratios'!$B$2:$I$8,5,FALSE)),0)</f>
        <v>0</v>
      </c>
      <c r="X378" s="60">
        <f>IF($K378&lt;&gt;"N/A",$M378*(VLOOKUP($L378,'GPU Specs &amp; Ratios'!$B$2:$I$8,6,FALSE)),0)</f>
        <v>0</v>
      </c>
      <c r="Y378" s="60">
        <f>IF($K378&lt;&gt;"N/A",$M378*(VLOOKUP($L378,'GPU Specs &amp; Ratios'!$B$2:$I$8,7,FALSE)),0)</f>
        <v>0</v>
      </c>
      <c r="Z378" s="60">
        <f>IF($K378&lt;&gt;"N/A",$M378*(VLOOKUP($L378,'GPU Specs &amp; Ratios'!$B$2:$I$8,8,FALSE)),0)</f>
        <v>0</v>
      </c>
      <c r="AA378" s="60">
        <f>(C378/D378)*VLOOKUP($E378,'AWS Platforms Ratios'!$A$2:$O$25,15,FALSE)</f>
        <v>3.333333333</v>
      </c>
      <c r="AB378" s="60">
        <f t="shared" ref="AB378:AE378" si="378">O378+S378+W378+$AA378</f>
        <v>8.468810289</v>
      </c>
      <c r="AC378" s="60">
        <f t="shared" si="378"/>
        <v>13.43767417</v>
      </c>
      <c r="AD378" s="60">
        <f t="shared" si="378"/>
        <v>22.27106109</v>
      </c>
      <c r="AE378" s="60">
        <f t="shared" si="378"/>
        <v>29.9090836</v>
      </c>
      <c r="AF378" s="60">
        <f>IF(G378&gt;'Scope 3 Ratios'!$B$5,(G378-'Scope 3 Ratios'!$B$5)*('Scope 3 Ratios'!$B$6/'Scope 3 Ratios'!$B$5),0)</f>
        <v>510.3792</v>
      </c>
      <c r="AG378" s="60">
        <f>J378*IF(I378="SSD",'Scope 3 Ratios'!$B$9,'Scope 3 Ratios'!$B$8)</f>
        <v>0</v>
      </c>
      <c r="AH378" s="60">
        <f>IF(K378&lt;&gt;"N/A",K378*'Scope 3 Ratios'!$B$10,0)</f>
        <v>0</v>
      </c>
      <c r="AI378" s="60">
        <f>(VLOOKUP($E378,'AWS Platforms Ratios'!$A$2:$O$25,3,FALSE)-1)*'Scope 3 Ratios'!$B$7</f>
        <v>100</v>
      </c>
      <c r="AJ378" s="60">
        <f>'Scope 3 Ratios'!$B$2+AF378+AG378+AH378+AI378</f>
        <v>1610.3792</v>
      </c>
      <c r="AK378" s="60">
        <f>AJ378*'Scope 3 Ratios'!$B$4*(C378/D378)</f>
        <v>1.941525849</v>
      </c>
      <c r="AL378" s="61" t="s">
        <v>424</v>
      </c>
    </row>
    <row r="379" ht="15.0" customHeight="1">
      <c r="A379" s="56" t="s">
        <v>666</v>
      </c>
      <c r="B379" s="56" t="s">
        <v>660</v>
      </c>
      <c r="C379" s="56">
        <v>8.0</v>
      </c>
      <c r="D379" s="56">
        <f>VLOOKUP(E379,'AWS Platforms Ratios'!$A$2:$B$25,2,FALSE)</f>
        <v>96</v>
      </c>
      <c r="E379" s="57" t="s">
        <v>423</v>
      </c>
      <c r="F379" s="56">
        <v>32.0</v>
      </c>
      <c r="G379" s="56">
        <v>384.0</v>
      </c>
      <c r="H379" s="57" t="s">
        <v>71</v>
      </c>
      <c r="I379" s="56" t="s">
        <v>72</v>
      </c>
      <c r="J379" s="56">
        <v>0.0</v>
      </c>
      <c r="K379" s="58" t="s">
        <v>73</v>
      </c>
      <c r="L379" s="58" t="s">
        <v>73</v>
      </c>
      <c r="M379" s="58" t="s">
        <v>73</v>
      </c>
      <c r="N379" s="58" t="s">
        <v>73</v>
      </c>
      <c r="O379" s="59">
        <f>($C379/$D379)*VLOOKUP($E379,'AWS Platforms Ratios'!$A$2:$O$25,7,FALSE)</f>
        <v>3.870953912</v>
      </c>
      <c r="P379" s="59">
        <f>($C379/$D379)*VLOOKUP($E379,'AWS Platforms Ratios'!$A$2:$O$25,8,FALSE)</f>
        <v>10.60868167</v>
      </c>
      <c r="Q379" s="59">
        <f>($C379/$D379)*VLOOKUP($E379,'AWS Platforms Ratios'!$A$2:$O$25,9,FALSE)</f>
        <v>25.07545552</v>
      </c>
      <c r="R379" s="59">
        <f>($C379/$D379)*VLOOKUP($E379,'AWS Platforms Ratios'!$A$2:$O$25,10,FALSE)</f>
        <v>33.95150054</v>
      </c>
      <c r="S379" s="59">
        <f>$F379*VLOOKUP($E379,'AWS Platforms Ratios'!$A$2:$O$25,11,FALSE)</f>
        <v>6.4</v>
      </c>
      <c r="T379" s="59">
        <f>$F379*VLOOKUP($E379,'AWS Platforms Ratios'!$A$2:$O$25,12,FALSE)</f>
        <v>9.6</v>
      </c>
      <c r="U379" s="59">
        <f>$F379*VLOOKUP($E379,'AWS Platforms Ratios'!$A$2:$O$25,13,FALSE)</f>
        <v>12.8</v>
      </c>
      <c r="V379" s="59">
        <f>$F379*VLOOKUP($E379,'AWS Platforms Ratios'!$A$2:$O$25,14,FALSE)</f>
        <v>19.2</v>
      </c>
      <c r="W379" s="60">
        <f>IF($K379&lt;&gt;"N/A",$M379*(VLOOKUP($L379,'GPU Specs &amp; Ratios'!$B$2:$I$8,5,FALSE)),0)</f>
        <v>0</v>
      </c>
      <c r="X379" s="60">
        <f>IF($K379&lt;&gt;"N/A",$M379*(VLOOKUP($L379,'GPU Specs &amp; Ratios'!$B$2:$I$8,6,FALSE)),0)</f>
        <v>0</v>
      </c>
      <c r="Y379" s="60">
        <f>IF($K379&lt;&gt;"N/A",$M379*(VLOOKUP($L379,'GPU Specs &amp; Ratios'!$B$2:$I$8,7,FALSE)),0)</f>
        <v>0</v>
      </c>
      <c r="Z379" s="60">
        <f>IF($K379&lt;&gt;"N/A",$M379*(VLOOKUP($L379,'GPU Specs &amp; Ratios'!$B$2:$I$8,8,FALSE)),0)</f>
        <v>0</v>
      </c>
      <c r="AA379" s="60">
        <f>(C379/D379)*VLOOKUP($E379,'AWS Platforms Ratios'!$A$2:$O$25,15,FALSE)</f>
        <v>6.666666667</v>
      </c>
      <c r="AB379" s="60">
        <f t="shared" ref="AB379:AE379" si="379">O379+S379+W379+$AA379</f>
        <v>16.93762058</v>
      </c>
      <c r="AC379" s="60">
        <f t="shared" si="379"/>
        <v>26.87534834</v>
      </c>
      <c r="AD379" s="60">
        <f t="shared" si="379"/>
        <v>44.54212219</v>
      </c>
      <c r="AE379" s="60">
        <f t="shared" si="379"/>
        <v>59.8181672</v>
      </c>
      <c r="AF379" s="60">
        <f>IF(G379&gt;'Scope 3 Ratios'!$B$5,(G379-'Scope 3 Ratios'!$B$5)*('Scope 3 Ratios'!$B$6/'Scope 3 Ratios'!$B$5),0)</f>
        <v>510.3792</v>
      </c>
      <c r="AG379" s="60">
        <f>J379*IF(I379="SSD",'Scope 3 Ratios'!$B$9,'Scope 3 Ratios'!$B$8)</f>
        <v>0</v>
      </c>
      <c r="AH379" s="60">
        <f>IF(K379&lt;&gt;"N/A",K379*'Scope 3 Ratios'!$B$10,0)</f>
        <v>0</v>
      </c>
      <c r="AI379" s="60">
        <f>(VLOOKUP($E379,'AWS Platforms Ratios'!$A$2:$O$25,3,FALSE)-1)*'Scope 3 Ratios'!$B$7</f>
        <v>100</v>
      </c>
      <c r="AJ379" s="60">
        <f>'Scope 3 Ratios'!$B$2+AF379+AG379+AH379+AI379</f>
        <v>1610.3792</v>
      </c>
      <c r="AK379" s="60">
        <f>AJ379*'Scope 3 Ratios'!$B$4*(C379/D379)</f>
        <v>3.883051698</v>
      </c>
      <c r="AL379" s="61" t="s">
        <v>424</v>
      </c>
    </row>
    <row r="380" ht="15.0" customHeight="1">
      <c r="A380" s="63" t="s">
        <v>667</v>
      </c>
      <c r="B380" s="56" t="s">
        <v>668</v>
      </c>
      <c r="C380" s="63">
        <v>2.0</v>
      </c>
      <c r="D380" s="56">
        <f>VLOOKUP(E380,'AWS Platforms Ratios'!$A$2:$B$25,2,FALSE)</f>
        <v>64</v>
      </c>
      <c r="E380" s="63" t="s">
        <v>189</v>
      </c>
      <c r="F380" s="63">
        <v>0.5</v>
      </c>
      <c r="G380" s="63">
        <v>256.0</v>
      </c>
      <c r="H380" s="57" t="s">
        <v>71</v>
      </c>
      <c r="I380" s="56" t="s">
        <v>72</v>
      </c>
      <c r="J380" s="56">
        <v>0.0</v>
      </c>
      <c r="K380" s="58" t="s">
        <v>73</v>
      </c>
      <c r="L380" s="58" t="s">
        <v>73</v>
      </c>
      <c r="M380" s="58" t="s">
        <v>73</v>
      </c>
      <c r="N380" s="58" t="s">
        <v>73</v>
      </c>
      <c r="O380" s="59">
        <f>($C380/$D380)*VLOOKUP($E380,'AWS Platforms Ratios'!$A$2:$O$25,7,FALSE)</f>
        <v>0.5443528939</v>
      </c>
      <c r="P380" s="59">
        <f>($C380/$D380)*VLOOKUP($E380,'AWS Platforms Ratios'!$A$2:$O$25,8,FALSE)</f>
        <v>1.49184586</v>
      </c>
      <c r="Q380" s="59">
        <f>($C380/$D380)*VLOOKUP($E380,'AWS Platforms Ratios'!$A$2:$O$25,9,FALSE)</f>
        <v>3.526235932</v>
      </c>
      <c r="R380" s="59">
        <f>($C380/$D380)*VLOOKUP($E380,'AWS Platforms Ratios'!$A$2:$O$25,10,FALSE)</f>
        <v>4.774429763</v>
      </c>
      <c r="S380" s="59">
        <f>$F380*VLOOKUP($E380,'AWS Platforms Ratios'!$A$2:$O$25,11,FALSE)</f>
        <v>0.1</v>
      </c>
      <c r="T380" s="59">
        <f>$F380*VLOOKUP($E380,'AWS Platforms Ratios'!$A$2:$O$25,12,FALSE)</f>
        <v>0.15</v>
      </c>
      <c r="U380" s="59">
        <f>$F380*VLOOKUP($E380,'AWS Platforms Ratios'!$A$2:$O$25,13,FALSE)</f>
        <v>0.2</v>
      </c>
      <c r="V380" s="59">
        <f>$F380*VLOOKUP($E380,'AWS Platforms Ratios'!$A$2:$O$25,14,FALSE)</f>
        <v>0.3</v>
      </c>
      <c r="W380" s="60">
        <f>IF($K380&lt;&gt;"N/A",$M380*(VLOOKUP($L380,'GPU Specs &amp; Ratios'!$B$2:$I$8,5,FALSE)),0)</f>
        <v>0</v>
      </c>
      <c r="X380" s="60">
        <f>IF($K380&lt;&gt;"N/A",$M380*(VLOOKUP($L380,'GPU Specs &amp; Ratios'!$B$2:$I$8,6,FALSE)),0)</f>
        <v>0</v>
      </c>
      <c r="Y380" s="60">
        <f>IF($K380&lt;&gt;"N/A",$M380*(VLOOKUP($L380,'GPU Specs &amp; Ratios'!$B$2:$I$8,7,FALSE)),0)</f>
        <v>0</v>
      </c>
      <c r="Z380" s="60">
        <f>IF($K380&lt;&gt;"N/A",$M380*(VLOOKUP($L380,'GPU Specs &amp; Ratios'!$B$2:$I$8,8,FALSE)),0)</f>
        <v>0</v>
      </c>
      <c r="AA380" s="60">
        <f>(C380/D380)*VLOOKUP($E380,'AWS Platforms Ratios'!$A$2:$O$25,15,FALSE)</f>
        <v>0.9375</v>
      </c>
      <c r="AB380" s="60">
        <f t="shared" ref="AB380:AE380" si="380">O380+S380+W380+$AA380</f>
        <v>1.581852894</v>
      </c>
      <c r="AC380" s="60">
        <f t="shared" si="380"/>
        <v>2.57934586</v>
      </c>
      <c r="AD380" s="60">
        <f t="shared" si="380"/>
        <v>4.663735932</v>
      </c>
      <c r="AE380" s="60">
        <f t="shared" si="380"/>
        <v>6.011929763</v>
      </c>
      <c r="AF380" s="60">
        <f>IF(G380&gt;'Scope 3 Ratios'!$B$5,(G380-'Scope 3 Ratios'!$B$5)*('Scope 3 Ratios'!$B$6/'Scope 3 Ratios'!$B$5),0)</f>
        <v>332.856</v>
      </c>
      <c r="AG380" s="60">
        <f>J380*IF(I380="SSD",'Scope 3 Ratios'!$B$9,'Scope 3 Ratios'!$B$8)</f>
        <v>0</v>
      </c>
      <c r="AH380" s="60">
        <f>IF(K380&lt;&gt;"N/A",K380*'Scope 3 Ratios'!$B$10,0)</f>
        <v>0</v>
      </c>
      <c r="AI380" s="60">
        <f>(VLOOKUP($E380,'AWS Platforms Ratios'!$A$2:$O$25,3,FALSE)-1)*'Scope 3 Ratios'!$B$7</f>
        <v>0</v>
      </c>
      <c r="AJ380" s="60">
        <f>'Scope 3 Ratios'!$B$2+AF380+AG380+AH380+AI380</f>
        <v>1332.856</v>
      </c>
      <c r="AK380" s="60">
        <f>AJ380*'Scope 3 Ratios'!$B$4*(C380/D380)</f>
        <v>1.2052011</v>
      </c>
      <c r="AL380" s="63" t="s">
        <v>669</v>
      </c>
    </row>
    <row r="381" ht="15.0" customHeight="1">
      <c r="A381" s="63" t="s">
        <v>670</v>
      </c>
      <c r="B381" s="56" t="s">
        <v>668</v>
      </c>
      <c r="C381" s="63">
        <v>2.0</v>
      </c>
      <c r="D381" s="56">
        <f>VLOOKUP(E381,'AWS Platforms Ratios'!$A$2:$B$25,2,FALSE)</f>
        <v>64</v>
      </c>
      <c r="E381" s="63" t="s">
        <v>189</v>
      </c>
      <c r="F381" s="63">
        <v>1.0</v>
      </c>
      <c r="G381" s="63">
        <v>256.0</v>
      </c>
      <c r="H381" s="57" t="s">
        <v>71</v>
      </c>
      <c r="I381" s="56" t="s">
        <v>72</v>
      </c>
      <c r="J381" s="56">
        <v>0.0</v>
      </c>
      <c r="K381" s="58" t="s">
        <v>73</v>
      </c>
      <c r="L381" s="58" t="s">
        <v>73</v>
      </c>
      <c r="M381" s="58" t="s">
        <v>73</v>
      </c>
      <c r="N381" s="58" t="s">
        <v>73</v>
      </c>
      <c r="O381" s="59">
        <f>($C381/$D381)*VLOOKUP($E381,'AWS Platforms Ratios'!$A$2:$O$25,7,FALSE)</f>
        <v>0.5443528939</v>
      </c>
      <c r="P381" s="59">
        <f>($C381/$D381)*VLOOKUP($E381,'AWS Platforms Ratios'!$A$2:$O$25,8,FALSE)</f>
        <v>1.49184586</v>
      </c>
      <c r="Q381" s="59">
        <f>($C381/$D381)*VLOOKUP($E381,'AWS Platforms Ratios'!$A$2:$O$25,9,FALSE)</f>
        <v>3.526235932</v>
      </c>
      <c r="R381" s="59">
        <f>($C381/$D381)*VLOOKUP($E381,'AWS Platforms Ratios'!$A$2:$O$25,10,FALSE)</f>
        <v>4.774429763</v>
      </c>
      <c r="S381" s="59">
        <f>$F381*VLOOKUP($E381,'AWS Platforms Ratios'!$A$2:$O$25,11,FALSE)</f>
        <v>0.2</v>
      </c>
      <c r="T381" s="59">
        <f>$F381*VLOOKUP($E381,'AWS Platforms Ratios'!$A$2:$O$25,12,FALSE)</f>
        <v>0.3</v>
      </c>
      <c r="U381" s="59">
        <f>$F381*VLOOKUP($E381,'AWS Platforms Ratios'!$A$2:$O$25,13,FALSE)</f>
        <v>0.4</v>
      </c>
      <c r="V381" s="59">
        <f>$F381*VLOOKUP($E381,'AWS Platforms Ratios'!$A$2:$O$25,14,FALSE)</f>
        <v>0.6</v>
      </c>
      <c r="W381" s="60">
        <f>IF($K381&lt;&gt;"N/A",$M381*(VLOOKUP($L381,'GPU Specs &amp; Ratios'!$B$2:$I$8,5,FALSE)),0)</f>
        <v>0</v>
      </c>
      <c r="X381" s="60">
        <f>IF($K381&lt;&gt;"N/A",$M381*(VLOOKUP($L381,'GPU Specs &amp; Ratios'!$B$2:$I$8,6,FALSE)),0)</f>
        <v>0</v>
      </c>
      <c r="Y381" s="60">
        <f>IF($K381&lt;&gt;"N/A",$M381*(VLOOKUP($L381,'GPU Specs &amp; Ratios'!$B$2:$I$8,7,FALSE)),0)</f>
        <v>0</v>
      </c>
      <c r="Z381" s="60">
        <f>IF($K381&lt;&gt;"N/A",$M381*(VLOOKUP($L381,'GPU Specs &amp; Ratios'!$B$2:$I$8,8,FALSE)),0)</f>
        <v>0</v>
      </c>
      <c r="AA381" s="60">
        <f>(C381/D381)*VLOOKUP($E381,'AWS Platforms Ratios'!$A$2:$O$25,15,FALSE)</f>
        <v>0.9375</v>
      </c>
      <c r="AB381" s="60">
        <f t="shared" ref="AB381:AE381" si="381">O381+S381+W381+$AA381</f>
        <v>1.681852894</v>
      </c>
      <c r="AC381" s="60">
        <f t="shared" si="381"/>
        <v>2.72934586</v>
      </c>
      <c r="AD381" s="60">
        <f t="shared" si="381"/>
        <v>4.863735932</v>
      </c>
      <c r="AE381" s="60">
        <f t="shared" si="381"/>
        <v>6.311929763</v>
      </c>
      <c r="AF381" s="60">
        <f>IF(G381&gt;'Scope 3 Ratios'!$B$5,(G381-'Scope 3 Ratios'!$B$5)*('Scope 3 Ratios'!$B$6/'Scope 3 Ratios'!$B$5),0)</f>
        <v>332.856</v>
      </c>
      <c r="AG381" s="60">
        <f>J381*IF(I381="SSD",'Scope 3 Ratios'!$B$9,'Scope 3 Ratios'!$B$8)</f>
        <v>0</v>
      </c>
      <c r="AH381" s="60">
        <f>IF(K381&lt;&gt;"N/A",K381*'Scope 3 Ratios'!$B$10,0)</f>
        <v>0</v>
      </c>
      <c r="AI381" s="60">
        <f>(VLOOKUP($E381,'AWS Platforms Ratios'!$A$2:$O$25,3,FALSE)-1)*'Scope 3 Ratios'!$B$7</f>
        <v>0</v>
      </c>
      <c r="AJ381" s="60">
        <f>'Scope 3 Ratios'!$B$2+AF381+AG381+AH381+AI381</f>
        <v>1332.856</v>
      </c>
      <c r="AK381" s="60">
        <f>AJ381*'Scope 3 Ratios'!$B$4*(C381/D381)</f>
        <v>1.2052011</v>
      </c>
      <c r="AL381" s="63" t="s">
        <v>671</v>
      </c>
    </row>
    <row r="382" ht="15.0" customHeight="1">
      <c r="A382" s="63" t="s">
        <v>672</v>
      </c>
      <c r="B382" s="56" t="s">
        <v>668</v>
      </c>
      <c r="C382" s="63">
        <v>2.0</v>
      </c>
      <c r="D382" s="56">
        <f>VLOOKUP(E382,'AWS Platforms Ratios'!$A$2:$B$25,2,FALSE)</f>
        <v>64</v>
      </c>
      <c r="E382" s="63" t="s">
        <v>189</v>
      </c>
      <c r="F382" s="63">
        <v>2.0</v>
      </c>
      <c r="G382" s="63">
        <v>256.0</v>
      </c>
      <c r="H382" s="57" t="s">
        <v>71</v>
      </c>
      <c r="I382" s="56" t="s">
        <v>72</v>
      </c>
      <c r="J382" s="56">
        <v>0.0</v>
      </c>
      <c r="K382" s="58" t="s">
        <v>73</v>
      </c>
      <c r="L382" s="58" t="s">
        <v>73</v>
      </c>
      <c r="M382" s="58" t="s">
        <v>73</v>
      </c>
      <c r="N382" s="58" t="s">
        <v>73</v>
      </c>
      <c r="O382" s="59">
        <f>($C382/$D382)*VLOOKUP($E382,'AWS Platforms Ratios'!$A$2:$O$25,7,FALSE)</f>
        <v>0.5443528939</v>
      </c>
      <c r="P382" s="59">
        <f>($C382/$D382)*VLOOKUP($E382,'AWS Platforms Ratios'!$A$2:$O$25,8,FALSE)</f>
        <v>1.49184586</v>
      </c>
      <c r="Q382" s="59">
        <f>($C382/$D382)*VLOOKUP($E382,'AWS Platforms Ratios'!$A$2:$O$25,9,FALSE)</f>
        <v>3.526235932</v>
      </c>
      <c r="R382" s="59">
        <f>($C382/$D382)*VLOOKUP($E382,'AWS Platforms Ratios'!$A$2:$O$25,10,FALSE)</f>
        <v>4.774429763</v>
      </c>
      <c r="S382" s="59">
        <f>$F382*VLOOKUP($E382,'AWS Platforms Ratios'!$A$2:$O$25,11,FALSE)</f>
        <v>0.4</v>
      </c>
      <c r="T382" s="59">
        <f>$F382*VLOOKUP($E382,'AWS Platforms Ratios'!$A$2:$O$25,12,FALSE)</f>
        <v>0.6</v>
      </c>
      <c r="U382" s="59">
        <f>$F382*VLOOKUP($E382,'AWS Platforms Ratios'!$A$2:$O$25,13,FALSE)</f>
        <v>0.8</v>
      </c>
      <c r="V382" s="59">
        <f>$F382*VLOOKUP($E382,'AWS Platforms Ratios'!$A$2:$O$25,14,FALSE)</f>
        <v>1.2</v>
      </c>
      <c r="W382" s="60">
        <f>IF($K382&lt;&gt;"N/A",$M382*(VLOOKUP($L382,'GPU Specs &amp; Ratios'!$B$2:$I$8,5,FALSE)),0)</f>
        <v>0</v>
      </c>
      <c r="X382" s="60">
        <f>IF($K382&lt;&gt;"N/A",$M382*(VLOOKUP($L382,'GPU Specs &amp; Ratios'!$B$2:$I$8,6,FALSE)),0)</f>
        <v>0</v>
      </c>
      <c r="Y382" s="60">
        <f>IF($K382&lt;&gt;"N/A",$M382*(VLOOKUP($L382,'GPU Specs &amp; Ratios'!$B$2:$I$8,7,FALSE)),0)</f>
        <v>0</v>
      </c>
      <c r="Z382" s="60">
        <f>IF($K382&lt;&gt;"N/A",$M382*(VLOOKUP($L382,'GPU Specs &amp; Ratios'!$B$2:$I$8,8,FALSE)),0)</f>
        <v>0</v>
      </c>
      <c r="AA382" s="60">
        <f>(C382/D382)*VLOOKUP($E382,'AWS Platforms Ratios'!$A$2:$O$25,15,FALSE)</f>
        <v>0.9375</v>
      </c>
      <c r="AB382" s="60">
        <f t="shared" ref="AB382:AE382" si="382">O382+S382+W382+$AA382</f>
        <v>1.881852894</v>
      </c>
      <c r="AC382" s="60">
        <f t="shared" si="382"/>
        <v>3.02934586</v>
      </c>
      <c r="AD382" s="60">
        <f t="shared" si="382"/>
        <v>5.263735932</v>
      </c>
      <c r="AE382" s="60">
        <f t="shared" si="382"/>
        <v>6.911929763</v>
      </c>
      <c r="AF382" s="60">
        <f>IF(G382&gt;'Scope 3 Ratios'!$B$5,(G382-'Scope 3 Ratios'!$B$5)*('Scope 3 Ratios'!$B$6/'Scope 3 Ratios'!$B$5),0)</f>
        <v>332.856</v>
      </c>
      <c r="AG382" s="60">
        <f>J382*IF(I382="SSD",'Scope 3 Ratios'!$B$9,'Scope 3 Ratios'!$B$8)</f>
        <v>0</v>
      </c>
      <c r="AH382" s="60">
        <f>IF(K382&lt;&gt;"N/A",K382*'Scope 3 Ratios'!$B$10,0)</f>
        <v>0</v>
      </c>
      <c r="AI382" s="60">
        <f>(VLOOKUP($E382,'AWS Platforms Ratios'!$A$2:$O$25,3,FALSE)-1)*'Scope 3 Ratios'!$B$7</f>
        <v>0</v>
      </c>
      <c r="AJ382" s="60">
        <f>'Scope 3 Ratios'!$B$2+AF382+AG382+AH382+AI382</f>
        <v>1332.856</v>
      </c>
      <c r="AK382" s="60">
        <f>AJ382*'Scope 3 Ratios'!$B$4*(C382/D382)</f>
        <v>1.2052011</v>
      </c>
      <c r="AL382" s="63" t="s">
        <v>673</v>
      </c>
    </row>
    <row r="383" ht="15.0" customHeight="1">
      <c r="A383" s="63" t="s">
        <v>674</v>
      </c>
      <c r="B383" s="56" t="s">
        <v>668</v>
      </c>
      <c r="C383" s="63">
        <v>2.0</v>
      </c>
      <c r="D383" s="56">
        <f>VLOOKUP(E383,'AWS Platforms Ratios'!$A$2:$B$25,2,FALSE)</f>
        <v>64</v>
      </c>
      <c r="E383" s="63" t="s">
        <v>189</v>
      </c>
      <c r="F383" s="63">
        <v>4.0</v>
      </c>
      <c r="G383" s="63">
        <v>256.0</v>
      </c>
      <c r="H383" s="57" t="s">
        <v>71</v>
      </c>
      <c r="I383" s="56" t="s">
        <v>72</v>
      </c>
      <c r="J383" s="56">
        <v>0.0</v>
      </c>
      <c r="K383" s="58" t="s">
        <v>73</v>
      </c>
      <c r="L383" s="58" t="s">
        <v>73</v>
      </c>
      <c r="M383" s="58" t="s">
        <v>73</v>
      </c>
      <c r="N383" s="58" t="s">
        <v>73</v>
      </c>
      <c r="O383" s="59">
        <f>($C383/$D383)*VLOOKUP($E383,'AWS Platforms Ratios'!$A$2:$O$25,7,FALSE)</f>
        <v>0.5443528939</v>
      </c>
      <c r="P383" s="59">
        <f>($C383/$D383)*VLOOKUP($E383,'AWS Platforms Ratios'!$A$2:$O$25,8,FALSE)</f>
        <v>1.49184586</v>
      </c>
      <c r="Q383" s="59">
        <f>($C383/$D383)*VLOOKUP($E383,'AWS Platforms Ratios'!$A$2:$O$25,9,FALSE)</f>
        <v>3.526235932</v>
      </c>
      <c r="R383" s="59">
        <f>($C383/$D383)*VLOOKUP($E383,'AWS Platforms Ratios'!$A$2:$O$25,10,FALSE)</f>
        <v>4.774429763</v>
      </c>
      <c r="S383" s="59">
        <f>$F383*VLOOKUP($E383,'AWS Platforms Ratios'!$A$2:$O$25,11,FALSE)</f>
        <v>0.8</v>
      </c>
      <c r="T383" s="59">
        <f>$F383*VLOOKUP($E383,'AWS Platforms Ratios'!$A$2:$O$25,12,FALSE)</f>
        <v>1.2</v>
      </c>
      <c r="U383" s="59">
        <f>$F383*VLOOKUP($E383,'AWS Platforms Ratios'!$A$2:$O$25,13,FALSE)</f>
        <v>1.6</v>
      </c>
      <c r="V383" s="59">
        <f>$F383*VLOOKUP($E383,'AWS Platforms Ratios'!$A$2:$O$25,14,FALSE)</f>
        <v>2.4</v>
      </c>
      <c r="W383" s="60">
        <f>IF($K383&lt;&gt;"N/A",$M383*(VLOOKUP($L383,'GPU Specs &amp; Ratios'!$B$2:$I$8,5,FALSE)),0)</f>
        <v>0</v>
      </c>
      <c r="X383" s="60">
        <f>IF($K383&lt;&gt;"N/A",$M383*(VLOOKUP($L383,'GPU Specs &amp; Ratios'!$B$2:$I$8,6,FALSE)),0)</f>
        <v>0</v>
      </c>
      <c r="Y383" s="60">
        <f>IF($K383&lt;&gt;"N/A",$M383*(VLOOKUP($L383,'GPU Specs &amp; Ratios'!$B$2:$I$8,7,FALSE)),0)</f>
        <v>0</v>
      </c>
      <c r="Z383" s="60">
        <f>IF($K383&lt;&gt;"N/A",$M383*(VLOOKUP($L383,'GPU Specs &amp; Ratios'!$B$2:$I$8,8,FALSE)),0)</f>
        <v>0</v>
      </c>
      <c r="AA383" s="60">
        <f>(C383/D383)*VLOOKUP($E383,'AWS Platforms Ratios'!$A$2:$O$25,15,FALSE)</f>
        <v>0.9375</v>
      </c>
      <c r="AB383" s="60">
        <f t="shared" ref="AB383:AE383" si="383">O383+S383+W383+$AA383</f>
        <v>2.281852894</v>
      </c>
      <c r="AC383" s="60">
        <f t="shared" si="383"/>
        <v>3.62934586</v>
      </c>
      <c r="AD383" s="60">
        <f t="shared" si="383"/>
        <v>6.063735932</v>
      </c>
      <c r="AE383" s="60">
        <f t="shared" si="383"/>
        <v>8.111929763</v>
      </c>
      <c r="AF383" s="60">
        <f>IF(G383&gt;'Scope 3 Ratios'!$B$5,(G383-'Scope 3 Ratios'!$B$5)*('Scope 3 Ratios'!$B$6/'Scope 3 Ratios'!$B$5),0)</f>
        <v>332.856</v>
      </c>
      <c r="AG383" s="60">
        <f>J383*IF(I383="SSD",'Scope 3 Ratios'!$B$9,'Scope 3 Ratios'!$B$8)</f>
        <v>0</v>
      </c>
      <c r="AH383" s="60">
        <f>IF(K383&lt;&gt;"N/A",K383*'Scope 3 Ratios'!$B$10,0)</f>
        <v>0</v>
      </c>
      <c r="AI383" s="60">
        <f>(VLOOKUP($E383,'AWS Platforms Ratios'!$A$2:$O$25,3,FALSE)-1)*'Scope 3 Ratios'!$B$7</f>
        <v>0</v>
      </c>
      <c r="AJ383" s="60">
        <f>'Scope 3 Ratios'!$B$2+AF383+AG383+AH383+AI383</f>
        <v>1332.856</v>
      </c>
      <c r="AK383" s="60">
        <f>AJ383*'Scope 3 Ratios'!$B$4*(C383/D383)</f>
        <v>1.2052011</v>
      </c>
      <c r="AL383" s="63" t="s">
        <v>673</v>
      </c>
    </row>
    <row r="384" ht="15.0" customHeight="1">
      <c r="A384" s="63" t="s">
        <v>675</v>
      </c>
      <c r="B384" s="56" t="s">
        <v>668</v>
      </c>
      <c r="C384" s="63">
        <v>2.0</v>
      </c>
      <c r="D384" s="56">
        <f>VLOOKUP(E384,'AWS Platforms Ratios'!$A$2:$B$25,2,FALSE)</f>
        <v>64</v>
      </c>
      <c r="E384" s="63" t="s">
        <v>189</v>
      </c>
      <c r="F384" s="63">
        <v>8.0</v>
      </c>
      <c r="G384" s="63">
        <v>256.0</v>
      </c>
      <c r="H384" s="57" t="s">
        <v>71</v>
      </c>
      <c r="I384" s="56" t="s">
        <v>72</v>
      </c>
      <c r="J384" s="56">
        <v>0.0</v>
      </c>
      <c r="K384" s="58" t="s">
        <v>73</v>
      </c>
      <c r="L384" s="58" t="s">
        <v>73</v>
      </c>
      <c r="M384" s="58" t="s">
        <v>73</v>
      </c>
      <c r="N384" s="58" t="s">
        <v>73</v>
      </c>
      <c r="O384" s="59">
        <f>($C384/$D384)*VLOOKUP($E384,'AWS Platforms Ratios'!$A$2:$O$25,7,FALSE)</f>
        <v>0.5443528939</v>
      </c>
      <c r="P384" s="59">
        <f>($C384/$D384)*VLOOKUP($E384,'AWS Platforms Ratios'!$A$2:$O$25,8,FALSE)</f>
        <v>1.49184586</v>
      </c>
      <c r="Q384" s="59">
        <f>($C384/$D384)*VLOOKUP($E384,'AWS Platforms Ratios'!$A$2:$O$25,9,FALSE)</f>
        <v>3.526235932</v>
      </c>
      <c r="R384" s="59">
        <f>($C384/$D384)*VLOOKUP($E384,'AWS Platforms Ratios'!$A$2:$O$25,10,FALSE)</f>
        <v>4.774429763</v>
      </c>
      <c r="S384" s="59">
        <f>$F384*VLOOKUP($E384,'AWS Platforms Ratios'!$A$2:$O$25,11,FALSE)</f>
        <v>1.6</v>
      </c>
      <c r="T384" s="59">
        <f>$F384*VLOOKUP($E384,'AWS Platforms Ratios'!$A$2:$O$25,12,FALSE)</f>
        <v>2.4</v>
      </c>
      <c r="U384" s="59">
        <f>$F384*VLOOKUP($E384,'AWS Platforms Ratios'!$A$2:$O$25,13,FALSE)</f>
        <v>3.2</v>
      </c>
      <c r="V384" s="59">
        <f>$F384*VLOOKUP($E384,'AWS Platforms Ratios'!$A$2:$O$25,14,FALSE)</f>
        <v>4.8</v>
      </c>
      <c r="W384" s="60">
        <f>IF($K384&lt;&gt;"N/A",$M384*(VLOOKUP($L384,'GPU Specs &amp; Ratios'!$B$2:$I$8,5,FALSE)),0)</f>
        <v>0</v>
      </c>
      <c r="X384" s="60">
        <f>IF($K384&lt;&gt;"N/A",$M384*(VLOOKUP($L384,'GPU Specs &amp; Ratios'!$B$2:$I$8,6,FALSE)),0)</f>
        <v>0</v>
      </c>
      <c r="Y384" s="60">
        <f>IF($K384&lt;&gt;"N/A",$M384*(VLOOKUP($L384,'GPU Specs &amp; Ratios'!$B$2:$I$8,7,FALSE)),0)</f>
        <v>0</v>
      </c>
      <c r="Z384" s="60">
        <f>IF($K384&lt;&gt;"N/A",$M384*(VLOOKUP($L384,'GPU Specs &amp; Ratios'!$B$2:$I$8,8,FALSE)),0)</f>
        <v>0</v>
      </c>
      <c r="AA384" s="60">
        <f>(C384/D384)*VLOOKUP($E384,'AWS Platforms Ratios'!$A$2:$O$25,15,FALSE)</f>
        <v>0.9375</v>
      </c>
      <c r="AB384" s="60">
        <f t="shared" ref="AB384:AE384" si="384">O384+S384+W384+$AA384</f>
        <v>3.081852894</v>
      </c>
      <c r="AC384" s="60">
        <f t="shared" si="384"/>
        <v>4.82934586</v>
      </c>
      <c r="AD384" s="60">
        <f t="shared" si="384"/>
        <v>7.663735932</v>
      </c>
      <c r="AE384" s="60">
        <f t="shared" si="384"/>
        <v>10.51192976</v>
      </c>
      <c r="AF384" s="60">
        <f>IF(G384&gt;'Scope 3 Ratios'!$B$5,(G384-'Scope 3 Ratios'!$B$5)*('Scope 3 Ratios'!$B$6/'Scope 3 Ratios'!$B$5),0)</f>
        <v>332.856</v>
      </c>
      <c r="AG384" s="60">
        <f>J384*IF(I384="SSD",'Scope 3 Ratios'!$B$9,'Scope 3 Ratios'!$B$8)</f>
        <v>0</v>
      </c>
      <c r="AH384" s="60">
        <f>IF(K384&lt;&gt;"N/A",K384*'Scope 3 Ratios'!$B$10,0)</f>
        <v>0</v>
      </c>
      <c r="AI384" s="60">
        <f>(VLOOKUP($E384,'AWS Platforms Ratios'!$A$2:$O$25,3,FALSE)-1)*'Scope 3 Ratios'!$B$7</f>
        <v>0</v>
      </c>
      <c r="AJ384" s="60">
        <f>'Scope 3 Ratios'!$B$2+AF384+AG384+AH384+AI384</f>
        <v>1332.856</v>
      </c>
      <c r="AK384" s="60">
        <f>AJ384*'Scope 3 Ratios'!$B$4*(C384/D384)</f>
        <v>1.2052011</v>
      </c>
      <c r="AL384" s="63" t="s">
        <v>676</v>
      </c>
    </row>
    <row r="385" ht="15.0" customHeight="1">
      <c r="A385" s="63" t="s">
        <v>677</v>
      </c>
      <c r="B385" s="56" t="s">
        <v>668</v>
      </c>
      <c r="C385" s="63">
        <v>4.0</v>
      </c>
      <c r="D385" s="56">
        <f>VLOOKUP(E385,'AWS Platforms Ratios'!$A$2:$B$25,2,FALSE)</f>
        <v>64</v>
      </c>
      <c r="E385" s="63" t="s">
        <v>189</v>
      </c>
      <c r="F385" s="63">
        <v>16.0</v>
      </c>
      <c r="G385" s="63">
        <v>256.0</v>
      </c>
      <c r="H385" s="57" t="s">
        <v>71</v>
      </c>
      <c r="I385" s="56" t="s">
        <v>72</v>
      </c>
      <c r="J385" s="56">
        <v>0.0</v>
      </c>
      <c r="K385" s="58" t="s">
        <v>73</v>
      </c>
      <c r="L385" s="58" t="s">
        <v>73</v>
      </c>
      <c r="M385" s="58" t="s">
        <v>73</v>
      </c>
      <c r="N385" s="58" t="s">
        <v>73</v>
      </c>
      <c r="O385" s="59">
        <f>($C385/$D385)*VLOOKUP($E385,'AWS Platforms Ratios'!$A$2:$O$25,7,FALSE)</f>
        <v>1.088705788</v>
      </c>
      <c r="P385" s="59">
        <f>($C385/$D385)*VLOOKUP($E385,'AWS Platforms Ratios'!$A$2:$O$25,8,FALSE)</f>
        <v>2.98369172</v>
      </c>
      <c r="Q385" s="59">
        <f>($C385/$D385)*VLOOKUP($E385,'AWS Platforms Ratios'!$A$2:$O$25,9,FALSE)</f>
        <v>7.052471865</v>
      </c>
      <c r="R385" s="59">
        <f>($C385/$D385)*VLOOKUP($E385,'AWS Platforms Ratios'!$A$2:$O$25,10,FALSE)</f>
        <v>9.548859526</v>
      </c>
      <c r="S385" s="59">
        <f>$F385*VLOOKUP($E385,'AWS Platforms Ratios'!$A$2:$O$25,11,FALSE)</f>
        <v>3.2</v>
      </c>
      <c r="T385" s="59">
        <f>$F385*VLOOKUP($E385,'AWS Platforms Ratios'!$A$2:$O$25,12,FALSE)</f>
        <v>4.8</v>
      </c>
      <c r="U385" s="59">
        <f>$F385*VLOOKUP($E385,'AWS Platforms Ratios'!$A$2:$O$25,13,FALSE)</f>
        <v>6.4</v>
      </c>
      <c r="V385" s="59">
        <f>$F385*VLOOKUP($E385,'AWS Platforms Ratios'!$A$2:$O$25,14,FALSE)</f>
        <v>9.6</v>
      </c>
      <c r="W385" s="60">
        <f>IF($K385&lt;&gt;"N/A",$M385*(VLOOKUP($L385,'GPU Specs &amp; Ratios'!$B$2:$I$8,5,FALSE)),0)</f>
        <v>0</v>
      </c>
      <c r="X385" s="60">
        <f>IF($K385&lt;&gt;"N/A",$M385*(VLOOKUP($L385,'GPU Specs &amp; Ratios'!$B$2:$I$8,6,FALSE)),0)</f>
        <v>0</v>
      </c>
      <c r="Y385" s="60">
        <f>IF($K385&lt;&gt;"N/A",$M385*(VLOOKUP($L385,'GPU Specs &amp; Ratios'!$B$2:$I$8,7,FALSE)),0)</f>
        <v>0</v>
      </c>
      <c r="Z385" s="60">
        <f>IF($K385&lt;&gt;"N/A",$M385*(VLOOKUP($L385,'GPU Specs &amp; Ratios'!$B$2:$I$8,8,FALSE)),0)</f>
        <v>0</v>
      </c>
      <c r="AA385" s="60">
        <f>(C385/D385)*VLOOKUP($E385,'AWS Platforms Ratios'!$A$2:$O$25,15,FALSE)</f>
        <v>1.875</v>
      </c>
      <c r="AB385" s="60">
        <f t="shared" ref="AB385:AE385" si="385">O385+S385+W385+$AA385</f>
        <v>6.163705788</v>
      </c>
      <c r="AC385" s="60">
        <f t="shared" si="385"/>
        <v>9.65869172</v>
      </c>
      <c r="AD385" s="60">
        <f t="shared" si="385"/>
        <v>15.32747186</v>
      </c>
      <c r="AE385" s="60">
        <f t="shared" si="385"/>
        <v>21.02385953</v>
      </c>
      <c r="AF385" s="60">
        <f>IF(G385&gt;'Scope 3 Ratios'!$B$5,(G385-'Scope 3 Ratios'!$B$5)*('Scope 3 Ratios'!$B$6/'Scope 3 Ratios'!$B$5),0)</f>
        <v>332.856</v>
      </c>
      <c r="AG385" s="60">
        <f>J385*IF(I385="SSD",'Scope 3 Ratios'!$B$9,'Scope 3 Ratios'!$B$8)</f>
        <v>0</v>
      </c>
      <c r="AH385" s="60">
        <f>IF(K385&lt;&gt;"N/A",K385*'Scope 3 Ratios'!$B$10,0)</f>
        <v>0</v>
      </c>
      <c r="AI385" s="60">
        <f>(VLOOKUP($E385,'AWS Platforms Ratios'!$A$2:$O$25,3,FALSE)-1)*'Scope 3 Ratios'!$B$7</f>
        <v>0</v>
      </c>
      <c r="AJ385" s="60">
        <f>'Scope 3 Ratios'!$B$2+AF385+AG385+AH385+AI385</f>
        <v>1332.856</v>
      </c>
      <c r="AK385" s="60">
        <f>AJ385*'Scope 3 Ratios'!$B$4*(C385/D385)</f>
        <v>2.410402199</v>
      </c>
      <c r="AL385" s="63" t="s">
        <v>678</v>
      </c>
    </row>
    <row r="386" ht="15.0" customHeight="1">
      <c r="A386" s="63" t="s">
        <v>679</v>
      </c>
      <c r="B386" s="56" t="s">
        <v>668</v>
      </c>
      <c r="C386" s="63">
        <v>8.0</v>
      </c>
      <c r="D386" s="56">
        <f>VLOOKUP(E386,'AWS Platforms Ratios'!$A$2:$B$25,2,FALSE)</f>
        <v>64</v>
      </c>
      <c r="E386" s="63" t="s">
        <v>189</v>
      </c>
      <c r="F386" s="63">
        <v>32.0</v>
      </c>
      <c r="G386" s="63">
        <v>256.0</v>
      </c>
      <c r="H386" s="57" t="s">
        <v>71</v>
      </c>
      <c r="I386" s="56" t="s">
        <v>72</v>
      </c>
      <c r="J386" s="56">
        <v>0.0</v>
      </c>
      <c r="K386" s="58" t="s">
        <v>73</v>
      </c>
      <c r="L386" s="58" t="s">
        <v>73</v>
      </c>
      <c r="M386" s="58" t="s">
        <v>73</v>
      </c>
      <c r="N386" s="58" t="s">
        <v>73</v>
      </c>
      <c r="O386" s="59">
        <f>($C386/$D386)*VLOOKUP($E386,'AWS Platforms Ratios'!$A$2:$O$25,7,FALSE)</f>
        <v>2.177411576</v>
      </c>
      <c r="P386" s="59">
        <f>($C386/$D386)*VLOOKUP($E386,'AWS Platforms Ratios'!$A$2:$O$25,8,FALSE)</f>
        <v>5.967383441</v>
      </c>
      <c r="Q386" s="59">
        <f>($C386/$D386)*VLOOKUP($E386,'AWS Platforms Ratios'!$A$2:$O$25,9,FALSE)</f>
        <v>14.10494373</v>
      </c>
      <c r="R386" s="59">
        <f>($C386/$D386)*VLOOKUP($E386,'AWS Platforms Ratios'!$A$2:$O$25,10,FALSE)</f>
        <v>19.09771905</v>
      </c>
      <c r="S386" s="59">
        <f>$F386*VLOOKUP($E386,'AWS Platforms Ratios'!$A$2:$O$25,11,FALSE)</f>
        <v>6.4</v>
      </c>
      <c r="T386" s="59">
        <f>$F386*VLOOKUP($E386,'AWS Platforms Ratios'!$A$2:$O$25,12,FALSE)</f>
        <v>9.6</v>
      </c>
      <c r="U386" s="59">
        <f>$F386*VLOOKUP($E386,'AWS Platforms Ratios'!$A$2:$O$25,13,FALSE)</f>
        <v>12.8</v>
      </c>
      <c r="V386" s="59">
        <f>$F386*VLOOKUP($E386,'AWS Platforms Ratios'!$A$2:$O$25,14,FALSE)</f>
        <v>19.2</v>
      </c>
      <c r="W386" s="60">
        <f>IF($K386&lt;&gt;"N/A",$M386*(VLOOKUP($L386,'GPU Specs &amp; Ratios'!$B$2:$I$8,5,FALSE)),0)</f>
        <v>0</v>
      </c>
      <c r="X386" s="60">
        <f>IF($K386&lt;&gt;"N/A",$M386*(VLOOKUP($L386,'GPU Specs &amp; Ratios'!$B$2:$I$8,6,FALSE)),0)</f>
        <v>0</v>
      </c>
      <c r="Y386" s="60">
        <f>IF($K386&lt;&gt;"N/A",$M386*(VLOOKUP($L386,'GPU Specs &amp; Ratios'!$B$2:$I$8,7,FALSE)),0)</f>
        <v>0</v>
      </c>
      <c r="Z386" s="60">
        <f>IF($K386&lt;&gt;"N/A",$M386*(VLOOKUP($L386,'GPU Specs &amp; Ratios'!$B$2:$I$8,8,FALSE)),0)</f>
        <v>0</v>
      </c>
      <c r="AA386" s="60">
        <f>(C386/D386)*VLOOKUP($E386,'AWS Platforms Ratios'!$A$2:$O$25,15,FALSE)</f>
        <v>3.75</v>
      </c>
      <c r="AB386" s="60">
        <f t="shared" ref="AB386:AE386" si="386">O386+S386+W386+$AA386</f>
        <v>12.32741158</v>
      </c>
      <c r="AC386" s="60">
        <f t="shared" si="386"/>
        <v>19.31738344</v>
      </c>
      <c r="AD386" s="60">
        <f t="shared" si="386"/>
        <v>30.65494373</v>
      </c>
      <c r="AE386" s="60">
        <f t="shared" si="386"/>
        <v>42.04771905</v>
      </c>
      <c r="AF386" s="60">
        <f>IF(G386&gt;'Scope 3 Ratios'!$B$5,(G386-'Scope 3 Ratios'!$B$5)*('Scope 3 Ratios'!$B$6/'Scope 3 Ratios'!$B$5),0)</f>
        <v>332.856</v>
      </c>
      <c r="AG386" s="60">
        <f>J386*IF(I386="SSD",'Scope 3 Ratios'!$B$9,'Scope 3 Ratios'!$B$8)</f>
        <v>0</v>
      </c>
      <c r="AH386" s="60">
        <f>IF(K386&lt;&gt;"N/A",K386*'Scope 3 Ratios'!$B$10,0)</f>
        <v>0</v>
      </c>
      <c r="AI386" s="60">
        <f>(VLOOKUP($E386,'AWS Platforms Ratios'!$A$2:$O$25,3,FALSE)-1)*'Scope 3 Ratios'!$B$7</f>
        <v>0</v>
      </c>
      <c r="AJ386" s="60">
        <f>'Scope 3 Ratios'!$B$2+AF386+AG386+AH386+AI386</f>
        <v>1332.856</v>
      </c>
      <c r="AK386" s="60">
        <f>AJ386*'Scope 3 Ratios'!$B$4*(C386/D386)</f>
        <v>4.820804398</v>
      </c>
      <c r="AL386" s="63" t="s">
        <v>678</v>
      </c>
    </row>
    <row r="387" ht="15.0" customHeight="1">
      <c r="A387" s="56" t="s">
        <v>680</v>
      </c>
      <c r="B387" s="56" t="s">
        <v>681</v>
      </c>
      <c r="C387" s="56">
        <v>448.0</v>
      </c>
      <c r="D387" s="56">
        <f>VLOOKUP(E387,'AWS Platforms Ratios'!$A$2:$B$25,2,FALSE)</f>
        <v>448</v>
      </c>
      <c r="E387" s="57" t="s">
        <v>682</v>
      </c>
      <c r="F387" s="56">
        <v>6144.0</v>
      </c>
      <c r="G387" s="56">
        <v>24576.0</v>
      </c>
      <c r="H387" s="57" t="s">
        <v>71</v>
      </c>
      <c r="I387" s="56" t="s">
        <v>72</v>
      </c>
      <c r="J387" s="56">
        <v>0.0</v>
      </c>
      <c r="K387" s="58" t="s">
        <v>73</v>
      </c>
      <c r="L387" s="58" t="s">
        <v>73</v>
      </c>
      <c r="M387" s="58" t="s">
        <v>73</v>
      </c>
      <c r="N387" s="58" t="s">
        <v>73</v>
      </c>
      <c r="O387" s="59">
        <f>($C387/$D387)*VLOOKUP($E387,'AWS Platforms Ratios'!$A$2:$O$25,7,FALSE)</f>
        <v>159.17</v>
      </c>
      <c r="P387" s="59">
        <f>($C387/$D387)*VLOOKUP($E387,'AWS Platforms Ratios'!$A$2:$O$25,8,FALSE)</f>
        <v>403.2325</v>
      </c>
      <c r="Q387" s="59">
        <f>($C387/$D387)*VLOOKUP($E387,'AWS Platforms Ratios'!$A$2:$O$25,9,FALSE)</f>
        <v>945.175</v>
      </c>
      <c r="R387" s="59">
        <f>($C387/$D387)*VLOOKUP($E387,'AWS Platforms Ratios'!$A$2:$O$25,10,FALSE)</f>
        <v>1314.43125</v>
      </c>
      <c r="S387" s="59">
        <f>$F387*VLOOKUP($E387,'AWS Platforms Ratios'!$A$2:$O$25,11,FALSE)</f>
        <v>1228.8</v>
      </c>
      <c r="T387" s="59">
        <f>$F387*VLOOKUP($E387,'AWS Platforms Ratios'!$A$2:$O$25,12,FALSE)</f>
        <v>1843.2</v>
      </c>
      <c r="U387" s="59">
        <f>$F387*VLOOKUP($E387,'AWS Platforms Ratios'!$A$2:$O$25,13,FALSE)</f>
        <v>2457.6</v>
      </c>
      <c r="V387" s="59">
        <f>$F387*VLOOKUP($E387,'AWS Platforms Ratios'!$A$2:$O$25,14,FALSE)</f>
        <v>3686.4</v>
      </c>
      <c r="W387" s="60">
        <f>IF($K387&lt;&gt;"N/A",$M387*(VLOOKUP($L387,'GPU Specs &amp; Ratios'!$B$2:$I$8,5,FALSE)),0)</f>
        <v>0</v>
      </c>
      <c r="X387" s="60">
        <f>IF($K387&lt;&gt;"N/A",$M387*(VLOOKUP($L387,'GPU Specs &amp; Ratios'!$B$2:$I$8,6,FALSE)),0)</f>
        <v>0</v>
      </c>
      <c r="Y387" s="60">
        <f>IF($K387&lt;&gt;"N/A",$M387*(VLOOKUP($L387,'GPU Specs &amp; Ratios'!$B$2:$I$8,7,FALSE)),0)</f>
        <v>0</v>
      </c>
      <c r="Z387" s="60">
        <f>IF($K387&lt;&gt;"N/A",$M387*(VLOOKUP($L387,'GPU Specs &amp; Ratios'!$B$2:$I$8,8,FALSE)),0)</f>
        <v>0</v>
      </c>
      <c r="AA387" s="60">
        <f>(C387/D387)*VLOOKUP($E387,'AWS Platforms Ratios'!$A$2:$O$25,15,FALSE)</f>
        <v>264</v>
      </c>
      <c r="AB387" s="60">
        <f t="shared" ref="AB387:AE387" si="387">O387+S387+W387+$AA387</f>
        <v>1651.97</v>
      </c>
      <c r="AC387" s="60">
        <f t="shared" si="387"/>
        <v>2510.4325</v>
      </c>
      <c r="AD387" s="60">
        <f t="shared" si="387"/>
        <v>3666.775</v>
      </c>
      <c r="AE387" s="60">
        <f t="shared" si="387"/>
        <v>5264.83125</v>
      </c>
      <c r="AF387" s="60">
        <f>IF(G387&gt;'Scope 3 Ratios'!$B$5,(G387-'Scope 3 Ratios'!$B$5)*('Scope 3 Ratios'!$B$6/'Scope 3 Ratios'!$B$5),0)</f>
        <v>34062.264</v>
      </c>
      <c r="AG387" s="60">
        <f>J387*IF(I387="SSD",'Scope 3 Ratios'!$B$9,'Scope 3 Ratios'!$B$8)</f>
        <v>0</v>
      </c>
      <c r="AH387" s="60">
        <f>IF(K387&lt;&gt;"N/A",K387*'Scope 3 Ratios'!$B$10,0)</f>
        <v>0</v>
      </c>
      <c r="AI387" s="60">
        <f>(VLOOKUP($E387,'AWS Platforms Ratios'!$A$2:$O$25,3,FALSE)-1)*'Scope 3 Ratios'!$B$7</f>
        <v>700</v>
      </c>
      <c r="AJ387" s="60">
        <f>'Scope 3 Ratios'!$B$2+AF387+AG387+AH387+AI387</f>
        <v>35762.264</v>
      </c>
      <c r="AK387" s="60">
        <f>AJ387*'Scope 3 Ratios'!$B$4*(F387/G387)</f>
        <v>258.6969329</v>
      </c>
      <c r="AL387" s="61" t="s">
        <v>683</v>
      </c>
    </row>
    <row r="388" ht="15.0" customHeight="1">
      <c r="A388" s="56" t="s">
        <v>684</v>
      </c>
      <c r="B388" s="56" t="s">
        <v>681</v>
      </c>
      <c r="C388" s="56">
        <v>448.0</v>
      </c>
      <c r="D388" s="56">
        <f>VLOOKUP(E388,'AWS Platforms Ratios'!$A$2:$B$25,2,FALSE)</f>
        <v>448</v>
      </c>
      <c r="E388" s="57" t="s">
        <v>682</v>
      </c>
      <c r="F388" s="56">
        <v>9216.0</v>
      </c>
      <c r="G388" s="56">
        <v>24576.0</v>
      </c>
      <c r="H388" s="57" t="s">
        <v>71</v>
      </c>
      <c r="I388" s="56" t="s">
        <v>72</v>
      </c>
      <c r="J388" s="56">
        <v>0.0</v>
      </c>
      <c r="K388" s="58" t="s">
        <v>73</v>
      </c>
      <c r="L388" s="58" t="s">
        <v>73</v>
      </c>
      <c r="M388" s="58" t="s">
        <v>73</v>
      </c>
      <c r="N388" s="58" t="s">
        <v>73</v>
      </c>
      <c r="O388" s="59">
        <f>($C388/$D388)*VLOOKUP($E388,'AWS Platforms Ratios'!$A$2:$O$25,7,FALSE)</f>
        <v>159.17</v>
      </c>
      <c r="P388" s="59">
        <f>($C388/$D388)*VLOOKUP($E388,'AWS Platforms Ratios'!$A$2:$O$25,8,FALSE)</f>
        <v>403.2325</v>
      </c>
      <c r="Q388" s="59">
        <f>($C388/$D388)*VLOOKUP($E388,'AWS Platforms Ratios'!$A$2:$O$25,9,FALSE)</f>
        <v>945.175</v>
      </c>
      <c r="R388" s="59">
        <f>($C388/$D388)*VLOOKUP($E388,'AWS Platforms Ratios'!$A$2:$O$25,10,FALSE)</f>
        <v>1314.43125</v>
      </c>
      <c r="S388" s="59">
        <f>$F388*VLOOKUP($E388,'AWS Platforms Ratios'!$A$2:$O$25,11,FALSE)</f>
        <v>1843.2</v>
      </c>
      <c r="T388" s="59">
        <f>$F388*VLOOKUP($E388,'AWS Platforms Ratios'!$A$2:$O$25,12,FALSE)</f>
        <v>2764.8</v>
      </c>
      <c r="U388" s="59">
        <f>$F388*VLOOKUP($E388,'AWS Platforms Ratios'!$A$2:$O$25,13,FALSE)</f>
        <v>3686.4</v>
      </c>
      <c r="V388" s="59">
        <f>$F388*VLOOKUP($E388,'AWS Platforms Ratios'!$A$2:$O$25,14,FALSE)</f>
        <v>5529.6</v>
      </c>
      <c r="W388" s="60">
        <f>IF($K388&lt;&gt;"N/A",$M388*(VLOOKUP($L388,'GPU Specs &amp; Ratios'!$B$2:$I$8,5,FALSE)),0)</f>
        <v>0</v>
      </c>
      <c r="X388" s="60">
        <f>IF($K388&lt;&gt;"N/A",$M388*(VLOOKUP($L388,'GPU Specs &amp; Ratios'!$B$2:$I$8,6,FALSE)),0)</f>
        <v>0</v>
      </c>
      <c r="Y388" s="60">
        <f>IF($K388&lt;&gt;"N/A",$M388*(VLOOKUP($L388,'GPU Specs &amp; Ratios'!$B$2:$I$8,7,FALSE)),0)</f>
        <v>0</v>
      </c>
      <c r="Z388" s="60">
        <f>IF($K388&lt;&gt;"N/A",$M388*(VLOOKUP($L388,'GPU Specs &amp; Ratios'!$B$2:$I$8,8,FALSE)),0)</f>
        <v>0</v>
      </c>
      <c r="AA388" s="60">
        <f>(C388/D388)*VLOOKUP($E388,'AWS Platforms Ratios'!$A$2:$O$25,15,FALSE)</f>
        <v>264</v>
      </c>
      <c r="AB388" s="60">
        <f t="shared" ref="AB388:AE388" si="388">O388+S388+W388+$AA388</f>
        <v>2266.37</v>
      </c>
      <c r="AC388" s="60">
        <f t="shared" si="388"/>
        <v>3432.0325</v>
      </c>
      <c r="AD388" s="60">
        <f t="shared" si="388"/>
        <v>4895.575</v>
      </c>
      <c r="AE388" s="60">
        <f t="shared" si="388"/>
        <v>7108.03125</v>
      </c>
      <c r="AF388" s="60">
        <f>IF(G388&gt;'Scope 3 Ratios'!$B$5,(G388-'Scope 3 Ratios'!$B$5)*('Scope 3 Ratios'!$B$6/'Scope 3 Ratios'!$B$5),0)</f>
        <v>34062.264</v>
      </c>
      <c r="AG388" s="60">
        <f>J388*IF(I388="SSD",'Scope 3 Ratios'!$B$9,'Scope 3 Ratios'!$B$8)</f>
        <v>0</v>
      </c>
      <c r="AH388" s="60">
        <f>IF(K388&lt;&gt;"N/A",K388*'Scope 3 Ratios'!$B$10,0)</f>
        <v>0</v>
      </c>
      <c r="AI388" s="60">
        <f>(VLOOKUP($E388,'AWS Platforms Ratios'!$A$2:$O$25,3,FALSE)-1)*'Scope 3 Ratios'!$B$7</f>
        <v>700</v>
      </c>
      <c r="AJ388" s="60">
        <f>'Scope 3 Ratios'!$B$2+AF388+AG388+AH388+AI388</f>
        <v>35762.264</v>
      </c>
      <c r="AK388" s="60">
        <f>AJ388*'Scope 3 Ratios'!$B$4*(F388/G388)</f>
        <v>388.0453993</v>
      </c>
      <c r="AL388" s="61" t="s">
        <v>683</v>
      </c>
    </row>
    <row r="389" ht="15.0" customHeight="1">
      <c r="A389" s="56" t="s">
        <v>685</v>
      </c>
      <c r="B389" s="56" t="s">
        <v>681</v>
      </c>
      <c r="C389" s="56">
        <v>448.0</v>
      </c>
      <c r="D389" s="56">
        <f>VLOOKUP(E389,'AWS Platforms Ratios'!$A$2:$B$25,2,FALSE)</f>
        <v>448</v>
      </c>
      <c r="E389" s="57" t="s">
        <v>682</v>
      </c>
      <c r="F389" s="56">
        <v>12288.0</v>
      </c>
      <c r="G389" s="56">
        <v>24576.0</v>
      </c>
      <c r="H389" s="57" t="s">
        <v>71</v>
      </c>
      <c r="I389" s="56" t="s">
        <v>72</v>
      </c>
      <c r="J389" s="56">
        <v>0.0</v>
      </c>
      <c r="K389" s="58" t="s">
        <v>73</v>
      </c>
      <c r="L389" s="58" t="s">
        <v>73</v>
      </c>
      <c r="M389" s="58" t="s">
        <v>73</v>
      </c>
      <c r="N389" s="58" t="s">
        <v>73</v>
      </c>
      <c r="O389" s="59">
        <f>($C389/$D389)*VLOOKUP($E389,'AWS Platforms Ratios'!$A$2:$O$25,7,FALSE)</f>
        <v>159.17</v>
      </c>
      <c r="P389" s="59">
        <f>($C389/$D389)*VLOOKUP($E389,'AWS Platforms Ratios'!$A$2:$O$25,8,FALSE)</f>
        <v>403.2325</v>
      </c>
      <c r="Q389" s="59">
        <f>($C389/$D389)*VLOOKUP($E389,'AWS Platforms Ratios'!$A$2:$O$25,9,FALSE)</f>
        <v>945.175</v>
      </c>
      <c r="R389" s="59">
        <f>($C389/$D389)*VLOOKUP($E389,'AWS Platforms Ratios'!$A$2:$O$25,10,FALSE)</f>
        <v>1314.43125</v>
      </c>
      <c r="S389" s="59">
        <f>$F389*VLOOKUP($E389,'AWS Platforms Ratios'!$A$2:$O$25,11,FALSE)</f>
        <v>2457.6</v>
      </c>
      <c r="T389" s="59">
        <f>$F389*VLOOKUP($E389,'AWS Platforms Ratios'!$A$2:$O$25,12,FALSE)</f>
        <v>3686.4</v>
      </c>
      <c r="U389" s="59">
        <f>$F389*VLOOKUP($E389,'AWS Platforms Ratios'!$A$2:$O$25,13,FALSE)</f>
        <v>4915.2</v>
      </c>
      <c r="V389" s="59">
        <f>$F389*VLOOKUP($E389,'AWS Platforms Ratios'!$A$2:$O$25,14,FALSE)</f>
        <v>7372.8</v>
      </c>
      <c r="W389" s="60">
        <f>IF($K389&lt;&gt;"N/A",$M389*(VLOOKUP($L389,'GPU Specs &amp; Ratios'!$B$2:$I$8,5,FALSE)),0)</f>
        <v>0</v>
      </c>
      <c r="X389" s="60">
        <f>IF($K389&lt;&gt;"N/A",$M389*(VLOOKUP($L389,'GPU Specs &amp; Ratios'!$B$2:$I$8,6,FALSE)),0)</f>
        <v>0</v>
      </c>
      <c r="Y389" s="60">
        <f>IF($K389&lt;&gt;"N/A",$M389*(VLOOKUP($L389,'GPU Specs &amp; Ratios'!$B$2:$I$8,7,FALSE)),0)</f>
        <v>0</v>
      </c>
      <c r="Z389" s="60">
        <f>IF($K389&lt;&gt;"N/A",$M389*(VLOOKUP($L389,'GPU Specs &amp; Ratios'!$B$2:$I$8,8,FALSE)),0)</f>
        <v>0</v>
      </c>
      <c r="AA389" s="60">
        <f>(C389/D389)*VLOOKUP($E389,'AWS Platforms Ratios'!$A$2:$O$25,15,FALSE)</f>
        <v>264</v>
      </c>
      <c r="AB389" s="60">
        <f t="shared" ref="AB389:AE389" si="389">O389+S389+W389+$AA389</f>
        <v>2880.77</v>
      </c>
      <c r="AC389" s="60">
        <f t="shared" si="389"/>
        <v>4353.6325</v>
      </c>
      <c r="AD389" s="60">
        <f t="shared" si="389"/>
        <v>6124.375</v>
      </c>
      <c r="AE389" s="60">
        <f t="shared" si="389"/>
        <v>8951.23125</v>
      </c>
      <c r="AF389" s="60">
        <f>IF(G389&gt;'Scope 3 Ratios'!$B$5,(G389-'Scope 3 Ratios'!$B$5)*('Scope 3 Ratios'!$B$6/'Scope 3 Ratios'!$B$5),0)</f>
        <v>34062.264</v>
      </c>
      <c r="AG389" s="60">
        <f>J389*IF(I389="SSD",'Scope 3 Ratios'!$B$9,'Scope 3 Ratios'!$B$8)</f>
        <v>0</v>
      </c>
      <c r="AH389" s="60">
        <f>IF(K389&lt;&gt;"N/A",K389*'Scope 3 Ratios'!$B$10,0)</f>
        <v>0</v>
      </c>
      <c r="AI389" s="60">
        <f>(VLOOKUP($E389,'AWS Platforms Ratios'!$A$2:$O$25,3,FALSE)-1)*'Scope 3 Ratios'!$B$7</f>
        <v>700</v>
      </c>
      <c r="AJ389" s="60">
        <f>'Scope 3 Ratios'!$B$2+AF389+AG389+AH389+AI389</f>
        <v>35762.264</v>
      </c>
      <c r="AK389" s="60">
        <f>AJ389*'Scope 3 Ratios'!$B$4*(F389/G389)</f>
        <v>517.3938657</v>
      </c>
      <c r="AL389" s="61" t="s">
        <v>683</v>
      </c>
    </row>
    <row r="390" ht="15.0" customHeight="1">
      <c r="A390" s="56" t="s">
        <v>686</v>
      </c>
      <c r="B390" s="56" t="s">
        <v>349</v>
      </c>
      <c r="C390" s="56">
        <v>448.0</v>
      </c>
      <c r="D390" s="56">
        <f>VLOOKUP(E390,'AWS Platforms Ratios'!$A$2:$B$25,2,FALSE)</f>
        <v>448</v>
      </c>
      <c r="E390" s="57" t="s">
        <v>682</v>
      </c>
      <c r="F390" s="56">
        <v>18432.0</v>
      </c>
      <c r="G390" s="56">
        <v>24576.0</v>
      </c>
      <c r="H390" s="57" t="s">
        <v>71</v>
      </c>
      <c r="I390" s="56" t="s">
        <v>72</v>
      </c>
      <c r="J390" s="56">
        <v>0.0</v>
      </c>
      <c r="K390" s="58" t="s">
        <v>73</v>
      </c>
      <c r="L390" s="58" t="s">
        <v>73</v>
      </c>
      <c r="M390" s="58" t="s">
        <v>73</v>
      </c>
      <c r="N390" s="58" t="s">
        <v>73</v>
      </c>
      <c r="O390" s="59">
        <f>($C390/$D390)*VLOOKUP($E390,'AWS Platforms Ratios'!$A$2:$O$25,7,FALSE)</f>
        <v>159.17</v>
      </c>
      <c r="P390" s="59">
        <f>($C390/$D390)*VLOOKUP($E390,'AWS Platforms Ratios'!$A$2:$O$25,8,FALSE)</f>
        <v>403.2325</v>
      </c>
      <c r="Q390" s="59">
        <f>($C390/$D390)*VLOOKUP($E390,'AWS Platforms Ratios'!$A$2:$O$25,9,FALSE)</f>
        <v>945.175</v>
      </c>
      <c r="R390" s="59">
        <f>($C390/$D390)*VLOOKUP($E390,'AWS Platforms Ratios'!$A$2:$O$25,10,FALSE)</f>
        <v>1314.43125</v>
      </c>
      <c r="S390" s="59">
        <f>$F390*VLOOKUP($E390,'AWS Platforms Ratios'!$A$2:$O$25,11,FALSE)</f>
        <v>3686.4</v>
      </c>
      <c r="T390" s="59">
        <f>$F390*VLOOKUP($E390,'AWS Platforms Ratios'!$A$2:$O$25,12,FALSE)</f>
        <v>5529.6</v>
      </c>
      <c r="U390" s="59">
        <f>$F390*VLOOKUP($E390,'AWS Platforms Ratios'!$A$2:$O$25,13,FALSE)</f>
        <v>7372.8</v>
      </c>
      <c r="V390" s="59">
        <f>$F390*VLOOKUP($E390,'AWS Platforms Ratios'!$A$2:$O$25,14,FALSE)</f>
        <v>11059.2</v>
      </c>
      <c r="W390" s="60">
        <f>IF($K390&lt;&gt;"N/A",$M390*(VLOOKUP($L390,'GPU Specs &amp; Ratios'!$B$2:$I$8,5,FALSE)),0)</f>
        <v>0</v>
      </c>
      <c r="X390" s="60">
        <f>IF($K390&lt;&gt;"N/A",$M390*(VLOOKUP($L390,'GPU Specs &amp; Ratios'!$B$2:$I$8,6,FALSE)),0)</f>
        <v>0</v>
      </c>
      <c r="Y390" s="60">
        <f>IF($K390&lt;&gt;"N/A",$M390*(VLOOKUP($L390,'GPU Specs &amp; Ratios'!$B$2:$I$8,7,FALSE)),0)</f>
        <v>0</v>
      </c>
      <c r="Z390" s="60">
        <f>IF($K390&lt;&gt;"N/A",$M390*(VLOOKUP($L390,'GPU Specs &amp; Ratios'!$B$2:$I$8,8,FALSE)),0)</f>
        <v>0</v>
      </c>
      <c r="AA390" s="60">
        <f>(C390/D390)*VLOOKUP($E390,'AWS Platforms Ratios'!$A$2:$O$25,15,FALSE)</f>
        <v>264</v>
      </c>
      <c r="AB390" s="60">
        <f t="shared" ref="AB390:AE390" si="390">O390+S390+W390+$AA390</f>
        <v>4109.57</v>
      </c>
      <c r="AC390" s="60">
        <f t="shared" si="390"/>
        <v>6196.8325</v>
      </c>
      <c r="AD390" s="60">
        <f t="shared" si="390"/>
        <v>8581.975</v>
      </c>
      <c r="AE390" s="60">
        <f t="shared" si="390"/>
        <v>12637.63125</v>
      </c>
      <c r="AF390" s="60">
        <f>IF(G390&gt;'Scope 3 Ratios'!$B$5,(G390-'Scope 3 Ratios'!$B$5)*('Scope 3 Ratios'!$B$6/'Scope 3 Ratios'!$B$5),0)</f>
        <v>34062.264</v>
      </c>
      <c r="AG390" s="60">
        <f>J390*IF(I390="SSD",'Scope 3 Ratios'!$B$9,'Scope 3 Ratios'!$B$8)</f>
        <v>0</v>
      </c>
      <c r="AH390" s="60">
        <f>IF(K390&lt;&gt;"N/A",K390*'Scope 3 Ratios'!$B$10,0)</f>
        <v>0</v>
      </c>
      <c r="AI390" s="60">
        <f>(VLOOKUP($E390,'AWS Platforms Ratios'!$A$2:$O$25,3,FALSE)-1)*'Scope 3 Ratios'!$B$7</f>
        <v>700</v>
      </c>
      <c r="AJ390" s="60">
        <f>'Scope 3 Ratios'!$B$2+AF390+AG390+AH390+AI390</f>
        <v>35762.264</v>
      </c>
      <c r="AK390" s="60">
        <f>AJ390*'Scope 3 Ratios'!$B$4*(F390/G390)</f>
        <v>776.0907986</v>
      </c>
      <c r="AL390" s="61" t="s">
        <v>683</v>
      </c>
    </row>
    <row r="391" ht="15.0" customHeight="1">
      <c r="A391" s="56" t="s">
        <v>687</v>
      </c>
      <c r="B391" s="56" t="s">
        <v>349</v>
      </c>
      <c r="C391" s="56">
        <v>448.0</v>
      </c>
      <c r="D391" s="56">
        <f>VLOOKUP(E391,'AWS Platforms Ratios'!$A$2:$B$25,2,FALSE)</f>
        <v>448</v>
      </c>
      <c r="E391" s="57" t="s">
        <v>682</v>
      </c>
      <c r="F391" s="56">
        <v>24576.0</v>
      </c>
      <c r="G391" s="56">
        <v>24576.0</v>
      </c>
      <c r="H391" s="57" t="s">
        <v>71</v>
      </c>
      <c r="I391" s="56" t="s">
        <v>72</v>
      </c>
      <c r="J391" s="56">
        <v>0.0</v>
      </c>
      <c r="K391" s="58" t="s">
        <v>73</v>
      </c>
      <c r="L391" s="58" t="s">
        <v>73</v>
      </c>
      <c r="M391" s="58" t="s">
        <v>73</v>
      </c>
      <c r="N391" s="58" t="s">
        <v>73</v>
      </c>
      <c r="O391" s="59">
        <f>($C391/$D391)*VLOOKUP($E391,'AWS Platforms Ratios'!$A$2:$O$25,7,FALSE)</f>
        <v>159.17</v>
      </c>
      <c r="P391" s="59">
        <f>($C391/$D391)*VLOOKUP($E391,'AWS Platforms Ratios'!$A$2:$O$25,8,FALSE)</f>
        <v>403.2325</v>
      </c>
      <c r="Q391" s="59">
        <f>($C391/$D391)*VLOOKUP($E391,'AWS Platforms Ratios'!$A$2:$O$25,9,FALSE)</f>
        <v>945.175</v>
      </c>
      <c r="R391" s="59">
        <f>($C391/$D391)*VLOOKUP($E391,'AWS Platforms Ratios'!$A$2:$O$25,10,FALSE)</f>
        <v>1314.43125</v>
      </c>
      <c r="S391" s="59">
        <f>$F391*VLOOKUP($E391,'AWS Platforms Ratios'!$A$2:$O$25,11,FALSE)</f>
        <v>4915.2</v>
      </c>
      <c r="T391" s="59">
        <f>$F391*VLOOKUP($E391,'AWS Platforms Ratios'!$A$2:$O$25,12,FALSE)</f>
        <v>7372.8</v>
      </c>
      <c r="U391" s="59">
        <f>$F391*VLOOKUP($E391,'AWS Platforms Ratios'!$A$2:$O$25,13,FALSE)</f>
        <v>9830.4</v>
      </c>
      <c r="V391" s="59">
        <f>$F391*VLOOKUP($E391,'AWS Platforms Ratios'!$A$2:$O$25,14,FALSE)</f>
        <v>14745.6</v>
      </c>
      <c r="W391" s="60">
        <f>IF($K391&lt;&gt;"N/A",$M391*(VLOOKUP($L391,'GPU Specs &amp; Ratios'!$B$2:$I$8,5,FALSE)),0)</f>
        <v>0</v>
      </c>
      <c r="X391" s="60">
        <f>IF($K391&lt;&gt;"N/A",$M391*(VLOOKUP($L391,'GPU Specs &amp; Ratios'!$B$2:$I$8,6,FALSE)),0)</f>
        <v>0</v>
      </c>
      <c r="Y391" s="60">
        <f>IF($K391&lt;&gt;"N/A",$M391*(VLOOKUP($L391,'GPU Specs &amp; Ratios'!$B$2:$I$8,7,FALSE)),0)</f>
        <v>0</v>
      </c>
      <c r="Z391" s="60">
        <f>IF($K391&lt;&gt;"N/A",$M391*(VLOOKUP($L391,'GPU Specs &amp; Ratios'!$B$2:$I$8,8,FALSE)),0)</f>
        <v>0</v>
      </c>
      <c r="AA391" s="60">
        <f>(C391/D391)*VLOOKUP($E391,'AWS Platforms Ratios'!$A$2:$O$25,15,FALSE)</f>
        <v>264</v>
      </c>
      <c r="AB391" s="60">
        <f t="shared" ref="AB391:AE391" si="391">O391+S391+W391+$AA391</f>
        <v>5338.37</v>
      </c>
      <c r="AC391" s="60">
        <f t="shared" si="391"/>
        <v>8040.0325</v>
      </c>
      <c r="AD391" s="60">
        <f t="shared" si="391"/>
        <v>11039.575</v>
      </c>
      <c r="AE391" s="60">
        <f t="shared" si="391"/>
        <v>16324.03125</v>
      </c>
      <c r="AF391" s="60">
        <f>IF(G391&gt;'Scope 3 Ratios'!$B$5,(G391-'Scope 3 Ratios'!$B$5)*('Scope 3 Ratios'!$B$6/'Scope 3 Ratios'!$B$5),0)</f>
        <v>34062.264</v>
      </c>
      <c r="AG391" s="60">
        <f>J391*IF(I391="SSD",'Scope 3 Ratios'!$B$9,'Scope 3 Ratios'!$B$8)</f>
        <v>0</v>
      </c>
      <c r="AH391" s="60">
        <f>IF(K391&lt;&gt;"N/A",K391*'Scope 3 Ratios'!$B$10,0)</f>
        <v>0</v>
      </c>
      <c r="AI391" s="60">
        <f>(VLOOKUP($E391,'AWS Platforms Ratios'!$A$2:$O$25,3,FALSE)-1)*'Scope 3 Ratios'!$B$7</f>
        <v>700</v>
      </c>
      <c r="AJ391" s="60">
        <f>'Scope 3 Ratios'!$B$2+AF391+AG391+AH391+AI391</f>
        <v>35762.264</v>
      </c>
      <c r="AK391" s="60">
        <f>AJ391*'Scope 3 Ratios'!$B$4*(F391/G391)</f>
        <v>1034.787731</v>
      </c>
      <c r="AL391" s="61" t="s">
        <v>683</v>
      </c>
    </row>
    <row r="392" ht="15.0" customHeight="1">
      <c r="A392" s="56" t="s">
        <v>688</v>
      </c>
      <c r="B392" s="56" t="s">
        <v>689</v>
      </c>
      <c r="C392" s="56">
        <v>64.0</v>
      </c>
      <c r="D392" s="56">
        <f>VLOOKUP(E392,'AWS Platforms Ratios'!$A$2:$B$25,2,FALSE)</f>
        <v>128</v>
      </c>
      <c r="E392" s="57" t="s">
        <v>690</v>
      </c>
      <c r="F392" s="56">
        <v>976.0</v>
      </c>
      <c r="G392" s="56">
        <v>1952.0</v>
      </c>
      <c r="H392" s="57" t="s">
        <v>691</v>
      </c>
      <c r="I392" s="56" t="s">
        <v>85</v>
      </c>
      <c r="J392" s="56">
        <v>2.0</v>
      </c>
      <c r="K392" s="58" t="s">
        <v>73</v>
      </c>
      <c r="L392" s="58" t="s">
        <v>73</v>
      </c>
      <c r="M392" s="58" t="s">
        <v>73</v>
      </c>
      <c r="N392" s="58" t="s">
        <v>73</v>
      </c>
      <c r="O392" s="59">
        <f>($C392/$D392)*VLOOKUP($E392,'AWS Platforms Ratios'!$A$2:$O$25,7,FALSE)</f>
        <v>36.1862069</v>
      </c>
      <c r="P392" s="59">
        <f>($C392/$D392)*VLOOKUP($E392,'AWS Platforms Ratios'!$A$2:$O$25,8,FALSE)</f>
        <v>103.3034483</v>
      </c>
      <c r="Q392" s="59">
        <f>($C392/$D392)*VLOOKUP($E392,'AWS Platforms Ratios'!$A$2:$O$25,9,FALSE)</f>
        <v>212.4724138</v>
      </c>
      <c r="R392" s="59">
        <f>($C392/$D392)*VLOOKUP($E392,'AWS Platforms Ratios'!$A$2:$O$25,10,FALSE)</f>
        <v>290.8267241</v>
      </c>
      <c r="S392" s="59">
        <f>$F392*VLOOKUP($E392,'AWS Platforms Ratios'!$A$2:$O$25,11,FALSE)</f>
        <v>195.2</v>
      </c>
      <c r="T392" s="59">
        <f>$F392*VLOOKUP($E392,'AWS Platforms Ratios'!$A$2:$O$25,12,FALSE)</f>
        <v>292.8</v>
      </c>
      <c r="U392" s="59">
        <f>$F392*VLOOKUP($E392,'AWS Platforms Ratios'!$A$2:$O$25,13,FALSE)</f>
        <v>390.4</v>
      </c>
      <c r="V392" s="59">
        <f>$F392*VLOOKUP($E392,'AWS Platforms Ratios'!$A$2:$O$25,14,FALSE)</f>
        <v>585.6</v>
      </c>
      <c r="W392" s="60">
        <f>IF($K392&lt;&gt;"N/A",$M392*(VLOOKUP($L392,'GPU Specs &amp; Ratios'!$B$2:$I$8,5,FALSE)),0)</f>
        <v>0</v>
      </c>
      <c r="X392" s="60">
        <f>IF($K392&lt;&gt;"N/A",$M392*(VLOOKUP($L392,'GPU Specs &amp; Ratios'!$B$2:$I$8,6,FALSE)),0)</f>
        <v>0</v>
      </c>
      <c r="Y392" s="60">
        <f>IF($K392&lt;&gt;"N/A",$M392*(VLOOKUP($L392,'GPU Specs &amp; Ratios'!$B$2:$I$8,7,FALSE)),0)</f>
        <v>0</v>
      </c>
      <c r="Z392" s="60">
        <f>IF($K392&lt;&gt;"N/A",$M392*(VLOOKUP($L392,'GPU Specs &amp; Ratios'!$B$2:$I$8,8,FALSE)),0)</f>
        <v>0</v>
      </c>
      <c r="AA392" s="60">
        <f>(C392/D392)*VLOOKUP($E392,'AWS Platforms Ratios'!$A$2:$O$25,15,FALSE)</f>
        <v>60</v>
      </c>
      <c r="AB392" s="60">
        <f t="shared" ref="AB392:AE392" si="392">O392+S392+W392+$AA392</f>
        <v>291.3862069</v>
      </c>
      <c r="AC392" s="60">
        <f t="shared" si="392"/>
        <v>456.1034483</v>
      </c>
      <c r="AD392" s="60">
        <f t="shared" si="392"/>
        <v>662.8724138</v>
      </c>
      <c r="AE392" s="60">
        <f t="shared" si="392"/>
        <v>936.4267241</v>
      </c>
      <c r="AF392" s="60">
        <f>IF(G392&gt;'Scope 3 Ratios'!$B$5,(G392-'Scope 3 Ratios'!$B$5)*('Scope 3 Ratios'!$B$6/'Scope 3 Ratios'!$B$5),0)</f>
        <v>2685.0384</v>
      </c>
      <c r="AG392" s="60">
        <f>J392*IF(I392="SSD",'Scope 3 Ratios'!$B$9,'Scope 3 Ratios'!$B$8)</f>
        <v>200</v>
      </c>
      <c r="AH392" s="60">
        <f>IF(K392&lt;&gt;"N/A",K392*'Scope 3 Ratios'!$B$10,0)</f>
        <v>0</v>
      </c>
      <c r="AI392" s="60">
        <f>(VLOOKUP($E392,'AWS Platforms Ratios'!$A$2:$O$25,3,FALSE)-1)*'Scope 3 Ratios'!$B$7</f>
        <v>300</v>
      </c>
      <c r="AJ392" s="60">
        <f>'Scope 3 Ratios'!$B$2+AF392+AG392+AH392+AI392</f>
        <v>4185.0384</v>
      </c>
      <c r="AK392" s="60">
        <f>AJ392*'Scope 3 Ratios'!$B$4*(C392/D392)</f>
        <v>60.54743056</v>
      </c>
      <c r="AL392" s="61" t="s">
        <v>692</v>
      </c>
    </row>
    <row r="393" ht="15.0" customHeight="1">
      <c r="A393" s="56" t="s">
        <v>693</v>
      </c>
      <c r="B393" s="56" t="s">
        <v>694</v>
      </c>
      <c r="C393" s="56">
        <v>128.0</v>
      </c>
      <c r="D393" s="56">
        <f>VLOOKUP(E393,'AWS Platforms Ratios'!$A$2:$B$25,2,FALSE)</f>
        <v>128</v>
      </c>
      <c r="E393" s="57" t="s">
        <v>690</v>
      </c>
      <c r="F393" s="56">
        <v>1952.0</v>
      </c>
      <c r="G393" s="56">
        <v>1952.0</v>
      </c>
      <c r="H393" s="57" t="s">
        <v>695</v>
      </c>
      <c r="I393" s="56" t="s">
        <v>85</v>
      </c>
      <c r="J393" s="56">
        <v>2.0</v>
      </c>
      <c r="K393" s="58" t="s">
        <v>73</v>
      </c>
      <c r="L393" s="58" t="s">
        <v>73</v>
      </c>
      <c r="M393" s="58" t="s">
        <v>73</v>
      </c>
      <c r="N393" s="58" t="s">
        <v>73</v>
      </c>
      <c r="O393" s="59">
        <f>($C393/$D393)*VLOOKUP($E393,'AWS Platforms Ratios'!$A$2:$O$25,7,FALSE)</f>
        <v>72.37241379</v>
      </c>
      <c r="P393" s="59">
        <f>($C393/$D393)*VLOOKUP($E393,'AWS Platforms Ratios'!$A$2:$O$25,8,FALSE)</f>
        <v>206.6068966</v>
      </c>
      <c r="Q393" s="59">
        <f>($C393/$D393)*VLOOKUP($E393,'AWS Platforms Ratios'!$A$2:$O$25,9,FALSE)</f>
        <v>424.9448276</v>
      </c>
      <c r="R393" s="59">
        <f>($C393/$D393)*VLOOKUP($E393,'AWS Platforms Ratios'!$A$2:$O$25,10,FALSE)</f>
        <v>581.6534483</v>
      </c>
      <c r="S393" s="59">
        <f>$F393*VLOOKUP($E393,'AWS Platforms Ratios'!$A$2:$O$25,11,FALSE)</f>
        <v>390.4</v>
      </c>
      <c r="T393" s="59">
        <f>$F393*VLOOKUP($E393,'AWS Platforms Ratios'!$A$2:$O$25,12,FALSE)</f>
        <v>585.6</v>
      </c>
      <c r="U393" s="59">
        <f>$F393*VLOOKUP($E393,'AWS Platforms Ratios'!$A$2:$O$25,13,FALSE)</f>
        <v>780.8</v>
      </c>
      <c r="V393" s="59">
        <f>$F393*VLOOKUP($E393,'AWS Platforms Ratios'!$A$2:$O$25,14,FALSE)</f>
        <v>1171.2</v>
      </c>
      <c r="W393" s="60">
        <f>IF($K393&lt;&gt;"N/A",$M393*(VLOOKUP($L393,'GPU Specs &amp; Ratios'!$B$2:$I$8,5,FALSE)),0)</f>
        <v>0</v>
      </c>
      <c r="X393" s="60">
        <f>IF($K393&lt;&gt;"N/A",$M393*(VLOOKUP($L393,'GPU Specs &amp; Ratios'!$B$2:$I$8,6,FALSE)),0)</f>
        <v>0</v>
      </c>
      <c r="Y393" s="60">
        <f>IF($K393&lt;&gt;"N/A",$M393*(VLOOKUP($L393,'GPU Specs &amp; Ratios'!$B$2:$I$8,7,FALSE)),0)</f>
        <v>0</v>
      </c>
      <c r="Z393" s="60">
        <f>IF($K393&lt;&gt;"N/A",$M393*(VLOOKUP($L393,'GPU Specs &amp; Ratios'!$B$2:$I$8,8,FALSE)),0)</f>
        <v>0</v>
      </c>
      <c r="AA393" s="60">
        <f>(C393/D393)*VLOOKUP($E393,'AWS Platforms Ratios'!$A$2:$O$25,15,FALSE)</f>
        <v>120</v>
      </c>
      <c r="AB393" s="60">
        <f t="shared" ref="AB393:AE393" si="393">O393+S393+W393+$AA393</f>
        <v>582.7724138</v>
      </c>
      <c r="AC393" s="60">
        <f t="shared" si="393"/>
        <v>912.2068966</v>
      </c>
      <c r="AD393" s="60">
        <f t="shared" si="393"/>
        <v>1325.744828</v>
      </c>
      <c r="AE393" s="60">
        <f t="shared" si="393"/>
        <v>1872.853448</v>
      </c>
      <c r="AF393" s="60">
        <f>IF(G393&gt;'Scope 3 Ratios'!$B$5,(G393-'Scope 3 Ratios'!$B$5)*('Scope 3 Ratios'!$B$6/'Scope 3 Ratios'!$B$5),0)</f>
        <v>2685.0384</v>
      </c>
      <c r="AG393" s="60">
        <f>J393*IF(I393="SSD",'Scope 3 Ratios'!$B$9,'Scope 3 Ratios'!$B$8)</f>
        <v>200</v>
      </c>
      <c r="AH393" s="60">
        <f>IF(K393&lt;&gt;"N/A",K393*'Scope 3 Ratios'!$B$10,0)</f>
        <v>0</v>
      </c>
      <c r="AI393" s="60">
        <f>(VLOOKUP($E393,'AWS Platforms Ratios'!$A$2:$O$25,3,FALSE)-1)*'Scope 3 Ratios'!$B$7</f>
        <v>300</v>
      </c>
      <c r="AJ393" s="60">
        <f>'Scope 3 Ratios'!$B$2+AF393+AG393+AH393+AI393</f>
        <v>4185.0384</v>
      </c>
      <c r="AK393" s="60">
        <f>AJ393*'Scope 3 Ratios'!$B$4*(C393/D393)</f>
        <v>121.0948611</v>
      </c>
      <c r="AL393" s="61" t="s">
        <v>692</v>
      </c>
    </row>
    <row r="394" ht="15.0" customHeight="1">
      <c r="A394" s="56" t="s">
        <v>696</v>
      </c>
      <c r="B394" s="56" t="s">
        <v>313</v>
      </c>
      <c r="C394" s="56">
        <v>4.0</v>
      </c>
      <c r="D394" s="56">
        <f>VLOOKUP(E394,'AWS Platforms Ratios'!$A$2:$B$25,2,FALSE)</f>
        <v>128</v>
      </c>
      <c r="E394" s="57" t="s">
        <v>690</v>
      </c>
      <c r="F394" s="56">
        <v>122.0</v>
      </c>
      <c r="G394" s="56">
        <v>3904.0</v>
      </c>
      <c r="H394" s="57" t="s">
        <v>697</v>
      </c>
      <c r="I394" s="56" t="s">
        <v>85</v>
      </c>
      <c r="J394" s="56">
        <v>2.0</v>
      </c>
      <c r="K394" s="58" t="s">
        <v>73</v>
      </c>
      <c r="L394" s="58" t="s">
        <v>73</v>
      </c>
      <c r="M394" s="58" t="s">
        <v>73</v>
      </c>
      <c r="N394" s="58" t="s">
        <v>73</v>
      </c>
      <c r="O394" s="59">
        <f>($C394/$D394)*VLOOKUP($E394,'AWS Platforms Ratios'!$A$2:$O$25,7,FALSE)</f>
        <v>2.261637931</v>
      </c>
      <c r="P394" s="59">
        <f>($C394/$D394)*VLOOKUP($E394,'AWS Platforms Ratios'!$A$2:$O$25,8,FALSE)</f>
        <v>6.456465517</v>
      </c>
      <c r="Q394" s="59">
        <f>($C394/$D394)*VLOOKUP($E394,'AWS Platforms Ratios'!$A$2:$O$25,9,FALSE)</f>
        <v>13.27952586</v>
      </c>
      <c r="R394" s="59">
        <f>($C394/$D394)*VLOOKUP($E394,'AWS Platforms Ratios'!$A$2:$O$25,10,FALSE)</f>
        <v>18.17667026</v>
      </c>
      <c r="S394" s="59">
        <f>$F394*VLOOKUP($E394,'AWS Platforms Ratios'!$A$2:$O$25,11,FALSE)</f>
        <v>24.4</v>
      </c>
      <c r="T394" s="59">
        <f>$F394*VLOOKUP($E394,'AWS Platforms Ratios'!$A$2:$O$25,12,FALSE)</f>
        <v>36.6</v>
      </c>
      <c r="U394" s="59">
        <f>$F394*VLOOKUP($E394,'AWS Platforms Ratios'!$A$2:$O$25,13,FALSE)</f>
        <v>48.8</v>
      </c>
      <c r="V394" s="59">
        <f>$F394*VLOOKUP($E394,'AWS Platforms Ratios'!$A$2:$O$25,14,FALSE)</f>
        <v>73.2</v>
      </c>
      <c r="W394" s="60">
        <f>IF($K394&lt;&gt;"N/A",$M394*(VLOOKUP($L394,'GPU Specs &amp; Ratios'!$B$2:$I$8,5,FALSE)),0)</f>
        <v>0</v>
      </c>
      <c r="X394" s="60">
        <f>IF($K394&lt;&gt;"N/A",$M394*(VLOOKUP($L394,'GPU Specs &amp; Ratios'!$B$2:$I$8,6,FALSE)),0)</f>
        <v>0</v>
      </c>
      <c r="Y394" s="60">
        <f>IF($K394&lt;&gt;"N/A",$M394*(VLOOKUP($L394,'GPU Specs &amp; Ratios'!$B$2:$I$8,7,FALSE)),0)</f>
        <v>0</v>
      </c>
      <c r="Z394" s="60">
        <f>IF($K394&lt;&gt;"N/A",$M394*(VLOOKUP($L394,'GPU Specs &amp; Ratios'!$B$2:$I$8,8,FALSE)),0)</f>
        <v>0</v>
      </c>
      <c r="AA394" s="60">
        <f>(C394/D394)*VLOOKUP($E394,'AWS Platforms Ratios'!$A$2:$O$25,15,FALSE)</f>
        <v>3.75</v>
      </c>
      <c r="AB394" s="60">
        <f t="shared" ref="AB394:AE394" si="394">O394+S394+W394+$AA394</f>
        <v>30.41163793</v>
      </c>
      <c r="AC394" s="60">
        <f t="shared" si="394"/>
        <v>46.80646552</v>
      </c>
      <c r="AD394" s="60">
        <f t="shared" si="394"/>
        <v>65.82952586</v>
      </c>
      <c r="AE394" s="60">
        <f t="shared" si="394"/>
        <v>95.12667026</v>
      </c>
      <c r="AF394" s="60">
        <f>IF(G394&gt;'Scope 3 Ratios'!$B$5,(G394-'Scope 3 Ratios'!$B$5)*('Scope 3 Ratios'!$B$6/'Scope 3 Ratios'!$B$5),0)</f>
        <v>5392.2672</v>
      </c>
      <c r="AG394" s="60">
        <f>J394*IF(I394="SSD",'Scope 3 Ratios'!$B$9,'Scope 3 Ratios'!$B$8)</f>
        <v>200</v>
      </c>
      <c r="AH394" s="60">
        <f>IF(K394&lt;&gt;"N/A",K394*'Scope 3 Ratios'!$B$10,0)</f>
        <v>0</v>
      </c>
      <c r="AI394" s="60">
        <f>(VLOOKUP($E394,'AWS Platforms Ratios'!$A$2:$O$25,3,FALSE)-1)*'Scope 3 Ratios'!$B$7</f>
        <v>300</v>
      </c>
      <c r="AJ394" s="60">
        <f>'Scope 3 Ratios'!$B$2+AF394+AG394+AH394+AI394</f>
        <v>6892.2672</v>
      </c>
      <c r="AK394" s="60">
        <f>AJ394*'Scope 3 Ratios'!$B$4*(C394/D394)</f>
        <v>6.232157118</v>
      </c>
      <c r="AL394" s="61" t="s">
        <v>692</v>
      </c>
    </row>
    <row r="395" ht="15.0" customHeight="1">
      <c r="A395" s="56" t="s">
        <v>698</v>
      </c>
      <c r="B395" s="56" t="s">
        <v>313</v>
      </c>
      <c r="C395" s="56">
        <v>8.0</v>
      </c>
      <c r="D395" s="56">
        <f>VLOOKUP(E395,'AWS Platforms Ratios'!$A$2:$B$25,2,FALSE)</f>
        <v>128</v>
      </c>
      <c r="E395" s="57" t="s">
        <v>690</v>
      </c>
      <c r="F395" s="56">
        <v>244.0</v>
      </c>
      <c r="G395" s="56">
        <v>3904.0</v>
      </c>
      <c r="H395" s="57" t="s">
        <v>699</v>
      </c>
      <c r="I395" s="56" t="s">
        <v>85</v>
      </c>
      <c r="J395" s="56">
        <v>2.0</v>
      </c>
      <c r="K395" s="58" t="s">
        <v>73</v>
      </c>
      <c r="L395" s="58" t="s">
        <v>73</v>
      </c>
      <c r="M395" s="58" t="s">
        <v>73</v>
      </c>
      <c r="N395" s="58" t="s">
        <v>73</v>
      </c>
      <c r="O395" s="59">
        <f>($C395/$D395)*VLOOKUP($E395,'AWS Platforms Ratios'!$A$2:$O$25,7,FALSE)</f>
        <v>4.523275862</v>
      </c>
      <c r="P395" s="59">
        <f>($C395/$D395)*VLOOKUP($E395,'AWS Platforms Ratios'!$A$2:$O$25,8,FALSE)</f>
        <v>12.91293103</v>
      </c>
      <c r="Q395" s="59">
        <f>($C395/$D395)*VLOOKUP($E395,'AWS Platforms Ratios'!$A$2:$O$25,9,FALSE)</f>
        <v>26.55905172</v>
      </c>
      <c r="R395" s="59">
        <f>($C395/$D395)*VLOOKUP($E395,'AWS Platforms Ratios'!$A$2:$O$25,10,FALSE)</f>
        <v>36.35334052</v>
      </c>
      <c r="S395" s="59">
        <f>$F395*VLOOKUP($E395,'AWS Platforms Ratios'!$A$2:$O$25,11,FALSE)</f>
        <v>48.8</v>
      </c>
      <c r="T395" s="59">
        <f>$F395*VLOOKUP($E395,'AWS Platforms Ratios'!$A$2:$O$25,12,FALSE)</f>
        <v>73.2</v>
      </c>
      <c r="U395" s="59">
        <f>$F395*VLOOKUP($E395,'AWS Platforms Ratios'!$A$2:$O$25,13,FALSE)</f>
        <v>97.6</v>
      </c>
      <c r="V395" s="59">
        <f>$F395*VLOOKUP($E395,'AWS Platforms Ratios'!$A$2:$O$25,14,FALSE)</f>
        <v>146.4</v>
      </c>
      <c r="W395" s="60">
        <f>IF($K395&lt;&gt;"N/A",$M395*(VLOOKUP($L395,'GPU Specs &amp; Ratios'!$B$2:$I$8,5,FALSE)),0)</f>
        <v>0</v>
      </c>
      <c r="X395" s="60">
        <f>IF($K395&lt;&gt;"N/A",$M395*(VLOOKUP($L395,'GPU Specs &amp; Ratios'!$B$2:$I$8,6,FALSE)),0)</f>
        <v>0</v>
      </c>
      <c r="Y395" s="60">
        <f>IF($K395&lt;&gt;"N/A",$M395*(VLOOKUP($L395,'GPU Specs &amp; Ratios'!$B$2:$I$8,7,FALSE)),0)</f>
        <v>0</v>
      </c>
      <c r="Z395" s="60">
        <f>IF($K395&lt;&gt;"N/A",$M395*(VLOOKUP($L395,'GPU Specs &amp; Ratios'!$B$2:$I$8,8,FALSE)),0)</f>
        <v>0</v>
      </c>
      <c r="AA395" s="60">
        <f>(C395/D395)*VLOOKUP($E395,'AWS Platforms Ratios'!$A$2:$O$25,15,FALSE)</f>
        <v>7.5</v>
      </c>
      <c r="AB395" s="60">
        <f t="shared" ref="AB395:AE395" si="395">O395+S395+W395+$AA395</f>
        <v>60.82327586</v>
      </c>
      <c r="AC395" s="60">
        <f t="shared" si="395"/>
        <v>93.61293103</v>
      </c>
      <c r="AD395" s="60">
        <f t="shared" si="395"/>
        <v>131.6590517</v>
      </c>
      <c r="AE395" s="60">
        <f t="shared" si="395"/>
        <v>190.2533405</v>
      </c>
      <c r="AF395" s="60">
        <f>IF(G395&gt;'Scope 3 Ratios'!$B$5,(G395-'Scope 3 Ratios'!$B$5)*('Scope 3 Ratios'!$B$6/'Scope 3 Ratios'!$B$5),0)</f>
        <v>5392.2672</v>
      </c>
      <c r="AG395" s="60">
        <f>J395*IF(I395="SSD",'Scope 3 Ratios'!$B$9,'Scope 3 Ratios'!$B$8)</f>
        <v>200</v>
      </c>
      <c r="AH395" s="60">
        <f>IF(K395&lt;&gt;"N/A",K395*'Scope 3 Ratios'!$B$10,0)</f>
        <v>0</v>
      </c>
      <c r="AI395" s="60">
        <f>(VLOOKUP($E395,'AWS Platforms Ratios'!$A$2:$O$25,3,FALSE)-1)*'Scope 3 Ratios'!$B$7</f>
        <v>300</v>
      </c>
      <c r="AJ395" s="60">
        <f>'Scope 3 Ratios'!$B$2+AF395+AG395+AH395+AI395</f>
        <v>6892.2672</v>
      </c>
      <c r="AK395" s="60">
        <f>AJ395*'Scope 3 Ratios'!$B$4*(C395/D395)</f>
        <v>12.46431424</v>
      </c>
      <c r="AL395" s="61" t="s">
        <v>692</v>
      </c>
    </row>
    <row r="396" ht="15.0" customHeight="1">
      <c r="A396" s="56" t="s">
        <v>700</v>
      </c>
      <c r="B396" s="56" t="s">
        <v>313</v>
      </c>
      <c r="C396" s="56">
        <v>16.0</v>
      </c>
      <c r="D396" s="56">
        <f>VLOOKUP(E396,'AWS Platforms Ratios'!$A$2:$B$25,2,FALSE)</f>
        <v>128</v>
      </c>
      <c r="E396" s="57" t="s">
        <v>690</v>
      </c>
      <c r="F396" s="56">
        <v>488.0</v>
      </c>
      <c r="G396" s="56">
        <v>3904.0</v>
      </c>
      <c r="H396" s="57" t="s">
        <v>701</v>
      </c>
      <c r="I396" s="56" t="s">
        <v>85</v>
      </c>
      <c r="J396" s="56">
        <v>2.0</v>
      </c>
      <c r="K396" s="58" t="s">
        <v>73</v>
      </c>
      <c r="L396" s="58" t="s">
        <v>73</v>
      </c>
      <c r="M396" s="58" t="s">
        <v>73</v>
      </c>
      <c r="N396" s="58" t="s">
        <v>73</v>
      </c>
      <c r="O396" s="59">
        <f>($C396/$D396)*VLOOKUP($E396,'AWS Platforms Ratios'!$A$2:$O$25,7,FALSE)</f>
        <v>9.046551724</v>
      </c>
      <c r="P396" s="59">
        <f>($C396/$D396)*VLOOKUP($E396,'AWS Platforms Ratios'!$A$2:$O$25,8,FALSE)</f>
        <v>25.82586207</v>
      </c>
      <c r="Q396" s="59">
        <f>($C396/$D396)*VLOOKUP($E396,'AWS Platforms Ratios'!$A$2:$O$25,9,FALSE)</f>
        <v>53.11810345</v>
      </c>
      <c r="R396" s="59">
        <f>($C396/$D396)*VLOOKUP($E396,'AWS Platforms Ratios'!$A$2:$O$25,10,FALSE)</f>
        <v>72.70668103</v>
      </c>
      <c r="S396" s="59">
        <f>$F396*VLOOKUP($E396,'AWS Platforms Ratios'!$A$2:$O$25,11,FALSE)</f>
        <v>97.6</v>
      </c>
      <c r="T396" s="59">
        <f>$F396*VLOOKUP($E396,'AWS Platforms Ratios'!$A$2:$O$25,12,FALSE)</f>
        <v>146.4</v>
      </c>
      <c r="U396" s="59">
        <f>$F396*VLOOKUP($E396,'AWS Platforms Ratios'!$A$2:$O$25,13,FALSE)</f>
        <v>195.2</v>
      </c>
      <c r="V396" s="59">
        <f>$F396*VLOOKUP($E396,'AWS Platforms Ratios'!$A$2:$O$25,14,FALSE)</f>
        <v>292.8</v>
      </c>
      <c r="W396" s="60">
        <f>IF($K396&lt;&gt;"N/A",$M396*(VLOOKUP($L396,'GPU Specs &amp; Ratios'!$B$2:$I$8,5,FALSE)),0)</f>
        <v>0</v>
      </c>
      <c r="X396" s="60">
        <f>IF($K396&lt;&gt;"N/A",$M396*(VLOOKUP($L396,'GPU Specs &amp; Ratios'!$B$2:$I$8,6,FALSE)),0)</f>
        <v>0</v>
      </c>
      <c r="Y396" s="60">
        <f>IF($K396&lt;&gt;"N/A",$M396*(VLOOKUP($L396,'GPU Specs &amp; Ratios'!$B$2:$I$8,7,FALSE)),0)</f>
        <v>0</v>
      </c>
      <c r="Z396" s="60">
        <f>IF($K396&lt;&gt;"N/A",$M396*(VLOOKUP($L396,'GPU Specs &amp; Ratios'!$B$2:$I$8,8,FALSE)),0)</f>
        <v>0</v>
      </c>
      <c r="AA396" s="60">
        <f>(C396/D396)*VLOOKUP($E396,'AWS Platforms Ratios'!$A$2:$O$25,15,FALSE)</f>
        <v>15</v>
      </c>
      <c r="AB396" s="60">
        <f t="shared" ref="AB396:AE396" si="396">O396+S396+W396+$AA396</f>
        <v>121.6465517</v>
      </c>
      <c r="AC396" s="60">
        <f t="shared" si="396"/>
        <v>187.2258621</v>
      </c>
      <c r="AD396" s="60">
        <f t="shared" si="396"/>
        <v>263.3181034</v>
      </c>
      <c r="AE396" s="60">
        <f t="shared" si="396"/>
        <v>380.506681</v>
      </c>
      <c r="AF396" s="60">
        <f>IF(G396&gt;'Scope 3 Ratios'!$B$5,(G396-'Scope 3 Ratios'!$B$5)*('Scope 3 Ratios'!$B$6/'Scope 3 Ratios'!$B$5),0)</f>
        <v>5392.2672</v>
      </c>
      <c r="AG396" s="60">
        <f>J396*IF(I396="SSD",'Scope 3 Ratios'!$B$9,'Scope 3 Ratios'!$B$8)</f>
        <v>200</v>
      </c>
      <c r="AH396" s="60">
        <f>IF(K396&lt;&gt;"N/A",K396*'Scope 3 Ratios'!$B$10,0)</f>
        <v>0</v>
      </c>
      <c r="AI396" s="60">
        <f>(VLOOKUP($E396,'AWS Platforms Ratios'!$A$2:$O$25,3,FALSE)-1)*'Scope 3 Ratios'!$B$7</f>
        <v>300</v>
      </c>
      <c r="AJ396" s="60">
        <f>'Scope 3 Ratios'!$B$2+AF396+AG396+AH396+AI396</f>
        <v>6892.2672</v>
      </c>
      <c r="AK396" s="60">
        <f>AJ396*'Scope 3 Ratios'!$B$4*(C396/D396)</f>
        <v>24.92862847</v>
      </c>
      <c r="AL396" s="61" t="s">
        <v>692</v>
      </c>
    </row>
    <row r="397" ht="15.0" customHeight="1">
      <c r="A397" s="56" t="s">
        <v>702</v>
      </c>
      <c r="B397" s="56" t="s">
        <v>313</v>
      </c>
      <c r="C397" s="56">
        <v>32.0</v>
      </c>
      <c r="D397" s="56">
        <f>VLOOKUP(E397,'AWS Platforms Ratios'!$A$2:$B$25,2,FALSE)</f>
        <v>128</v>
      </c>
      <c r="E397" s="57" t="s">
        <v>690</v>
      </c>
      <c r="F397" s="56">
        <v>976.0</v>
      </c>
      <c r="G397" s="56">
        <v>3904.0</v>
      </c>
      <c r="H397" s="57" t="s">
        <v>703</v>
      </c>
      <c r="I397" s="56" t="s">
        <v>85</v>
      </c>
      <c r="J397" s="56">
        <v>2.0</v>
      </c>
      <c r="K397" s="58" t="s">
        <v>73</v>
      </c>
      <c r="L397" s="58" t="s">
        <v>73</v>
      </c>
      <c r="M397" s="58" t="s">
        <v>73</v>
      </c>
      <c r="N397" s="58" t="s">
        <v>73</v>
      </c>
      <c r="O397" s="59">
        <f>($C397/$D397)*VLOOKUP($E397,'AWS Platforms Ratios'!$A$2:$O$25,7,FALSE)</f>
        <v>18.09310345</v>
      </c>
      <c r="P397" s="59">
        <f>($C397/$D397)*VLOOKUP($E397,'AWS Platforms Ratios'!$A$2:$O$25,8,FALSE)</f>
        <v>51.65172414</v>
      </c>
      <c r="Q397" s="59">
        <f>($C397/$D397)*VLOOKUP($E397,'AWS Platforms Ratios'!$A$2:$O$25,9,FALSE)</f>
        <v>106.2362069</v>
      </c>
      <c r="R397" s="59">
        <f>($C397/$D397)*VLOOKUP($E397,'AWS Platforms Ratios'!$A$2:$O$25,10,FALSE)</f>
        <v>145.4133621</v>
      </c>
      <c r="S397" s="59">
        <f>$F397*VLOOKUP($E397,'AWS Platforms Ratios'!$A$2:$O$25,11,FALSE)</f>
        <v>195.2</v>
      </c>
      <c r="T397" s="59">
        <f>$F397*VLOOKUP($E397,'AWS Platforms Ratios'!$A$2:$O$25,12,FALSE)</f>
        <v>292.8</v>
      </c>
      <c r="U397" s="59">
        <f>$F397*VLOOKUP($E397,'AWS Platforms Ratios'!$A$2:$O$25,13,FALSE)</f>
        <v>390.4</v>
      </c>
      <c r="V397" s="59">
        <f>$F397*VLOOKUP($E397,'AWS Platforms Ratios'!$A$2:$O$25,14,FALSE)</f>
        <v>585.6</v>
      </c>
      <c r="W397" s="60">
        <f>IF($K397&lt;&gt;"N/A",$M397*(VLOOKUP($L397,'GPU Specs &amp; Ratios'!$B$2:$I$8,5,FALSE)),0)</f>
        <v>0</v>
      </c>
      <c r="X397" s="60">
        <f>IF($K397&lt;&gt;"N/A",$M397*(VLOOKUP($L397,'GPU Specs &amp; Ratios'!$B$2:$I$8,6,FALSE)),0)</f>
        <v>0</v>
      </c>
      <c r="Y397" s="60">
        <f>IF($K397&lt;&gt;"N/A",$M397*(VLOOKUP($L397,'GPU Specs &amp; Ratios'!$B$2:$I$8,7,FALSE)),0)</f>
        <v>0</v>
      </c>
      <c r="Z397" s="60">
        <f>IF($K397&lt;&gt;"N/A",$M397*(VLOOKUP($L397,'GPU Specs &amp; Ratios'!$B$2:$I$8,8,FALSE)),0)</f>
        <v>0</v>
      </c>
      <c r="AA397" s="60">
        <f>(C397/D397)*VLOOKUP($E397,'AWS Platforms Ratios'!$A$2:$O$25,15,FALSE)</f>
        <v>30</v>
      </c>
      <c r="AB397" s="60">
        <f t="shared" ref="AB397:AE397" si="397">O397+S397+W397+$AA397</f>
        <v>243.2931034</v>
      </c>
      <c r="AC397" s="60">
        <f t="shared" si="397"/>
        <v>374.4517241</v>
      </c>
      <c r="AD397" s="60">
        <f t="shared" si="397"/>
        <v>526.6362069</v>
      </c>
      <c r="AE397" s="60">
        <f t="shared" si="397"/>
        <v>761.0133621</v>
      </c>
      <c r="AF397" s="60">
        <f>IF(G397&gt;'Scope 3 Ratios'!$B$5,(G397-'Scope 3 Ratios'!$B$5)*('Scope 3 Ratios'!$B$6/'Scope 3 Ratios'!$B$5),0)</f>
        <v>5392.2672</v>
      </c>
      <c r="AG397" s="60">
        <f>J397*IF(I397="SSD",'Scope 3 Ratios'!$B$9,'Scope 3 Ratios'!$B$8)</f>
        <v>200</v>
      </c>
      <c r="AH397" s="60">
        <f>IF(K397&lt;&gt;"N/A",K397*'Scope 3 Ratios'!$B$10,0)</f>
        <v>0</v>
      </c>
      <c r="AI397" s="60">
        <f>(VLOOKUP($E397,'AWS Platforms Ratios'!$A$2:$O$25,3,FALSE)-1)*'Scope 3 Ratios'!$B$7</f>
        <v>300</v>
      </c>
      <c r="AJ397" s="60">
        <f>'Scope 3 Ratios'!$B$2+AF397+AG397+AH397+AI397</f>
        <v>6892.2672</v>
      </c>
      <c r="AK397" s="60">
        <f>AJ397*'Scope 3 Ratios'!$B$4*(C397/D397)</f>
        <v>49.85725694</v>
      </c>
      <c r="AL397" s="61" t="s">
        <v>692</v>
      </c>
    </row>
    <row r="398" ht="15.0" customHeight="1">
      <c r="A398" s="56" t="s">
        <v>704</v>
      </c>
      <c r="B398" s="56" t="s">
        <v>313</v>
      </c>
      <c r="C398" s="56">
        <v>64.0</v>
      </c>
      <c r="D398" s="56">
        <f>VLOOKUP(E398,'AWS Platforms Ratios'!$A$2:$B$25,2,FALSE)</f>
        <v>128</v>
      </c>
      <c r="E398" s="57" t="s">
        <v>690</v>
      </c>
      <c r="F398" s="56">
        <v>1952.0</v>
      </c>
      <c r="G398" s="56">
        <v>3904.0</v>
      </c>
      <c r="H398" s="57" t="s">
        <v>691</v>
      </c>
      <c r="I398" s="56" t="s">
        <v>85</v>
      </c>
      <c r="J398" s="56">
        <v>2.0</v>
      </c>
      <c r="K398" s="58" t="s">
        <v>73</v>
      </c>
      <c r="L398" s="58" t="s">
        <v>73</v>
      </c>
      <c r="M398" s="58" t="s">
        <v>73</v>
      </c>
      <c r="N398" s="58" t="s">
        <v>73</v>
      </c>
      <c r="O398" s="59">
        <f>($C398/$D398)*VLOOKUP($E398,'AWS Platforms Ratios'!$A$2:$O$25,7,FALSE)</f>
        <v>36.1862069</v>
      </c>
      <c r="P398" s="59">
        <f>($C398/$D398)*VLOOKUP($E398,'AWS Platforms Ratios'!$A$2:$O$25,8,FALSE)</f>
        <v>103.3034483</v>
      </c>
      <c r="Q398" s="59">
        <f>($C398/$D398)*VLOOKUP($E398,'AWS Platforms Ratios'!$A$2:$O$25,9,FALSE)</f>
        <v>212.4724138</v>
      </c>
      <c r="R398" s="59">
        <f>($C398/$D398)*VLOOKUP($E398,'AWS Platforms Ratios'!$A$2:$O$25,10,FALSE)</f>
        <v>290.8267241</v>
      </c>
      <c r="S398" s="59">
        <f>$F398*VLOOKUP($E398,'AWS Platforms Ratios'!$A$2:$O$25,11,FALSE)</f>
        <v>390.4</v>
      </c>
      <c r="T398" s="59">
        <f>$F398*VLOOKUP($E398,'AWS Platforms Ratios'!$A$2:$O$25,12,FALSE)</f>
        <v>585.6</v>
      </c>
      <c r="U398" s="59">
        <f>$F398*VLOOKUP($E398,'AWS Platforms Ratios'!$A$2:$O$25,13,FALSE)</f>
        <v>780.8</v>
      </c>
      <c r="V398" s="59">
        <f>$F398*VLOOKUP($E398,'AWS Platforms Ratios'!$A$2:$O$25,14,FALSE)</f>
        <v>1171.2</v>
      </c>
      <c r="W398" s="60">
        <f>IF($K398&lt;&gt;"N/A",$M398*(VLOOKUP($L398,'GPU Specs &amp; Ratios'!$B$2:$I$8,5,FALSE)),0)</f>
        <v>0</v>
      </c>
      <c r="X398" s="60">
        <f>IF($K398&lt;&gt;"N/A",$M398*(VLOOKUP($L398,'GPU Specs &amp; Ratios'!$B$2:$I$8,6,FALSE)),0)</f>
        <v>0</v>
      </c>
      <c r="Y398" s="60">
        <f>IF($K398&lt;&gt;"N/A",$M398*(VLOOKUP($L398,'GPU Specs &amp; Ratios'!$B$2:$I$8,7,FALSE)),0)</f>
        <v>0</v>
      </c>
      <c r="Z398" s="60">
        <f>IF($K398&lt;&gt;"N/A",$M398*(VLOOKUP($L398,'GPU Specs &amp; Ratios'!$B$2:$I$8,8,FALSE)),0)</f>
        <v>0</v>
      </c>
      <c r="AA398" s="60">
        <f>(C398/D398)*VLOOKUP($E398,'AWS Platforms Ratios'!$A$2:$O$25,15,FALSE)</f>
        <v>60</v>
      </c>
      <c r="AB398" s="60">
        <f t="shared" ref="AB398:AE398" si="398">O398+S398+W398+$AA398</f>
        <v>486.5862069</v>
      </c>
      <c r="AC398" s="60">
        <f t="shared" si="398"/>
        <v>748.9034483</v>
      </c>
      <c r="AD398" s="60">
        <f t="shared" si="398"/>
        <v>1053.272414</v>
      </c>
      <c r="AE398" s="60">
        <f t="shared" si="398"/>
        <v>1522.026724</v>
      </c>
      <c r="AF398" s="60">
        <f>IF(G398&gt;'Scope 3 Ratios'!$B$5,(G398-'Scope 3 Ratios'!$B$5)*('Scope 3 Ratios'!$B$6/'Scope 3 Ratios'!$B$5),0)</f>
        <v>5392.2672</v>
      </c>
      <c r="AG398" s="60">
        <f>J398*IF(I398="SSD",'Scope 3 Ratios'!$B$9,'Scope 3 Ratios'!$B$8)</f>
        <v>200</v>
      </c>
      <c r="AH398" s="60">
        <f>IF(K398&lt;&gt;"N/A",K398*'Scope 3 Ratios'!$B$10,0)</f>
        <v>0</v>
      </c>
      <c r="AI398" s="60">
        <f>(VLOOKUP($E398,'AWS Platforms Ratios'!$A$2:$O$25,3,FALSE)-1)*'Scope 3 Ratios'!$B$7</f>
        <v>300</v>
      </c>
      <c r="AJ398" s="60">
        <f>'Scope 3 Ratios'!$B$2+AF398+AG398+AH398+AI398</f>
        <v>6892.2672</v>
      </c>
      <c r="AK398" s="60">
        <f>AJ398*'Scope 3 Ratios'!$B$4*(C398/D398)</f>
        <v>99.71451389</v>
      </c>
      <c r="AL398" s="61" t="s">
        <v>692</v>
      </c>
    </row>
    <row r="399" ht="15.0" customHeight="1">
      <c r="A399" s="56" t="s">
        <v>705</v>
      </c>
      <c r="B399" s="56" t="s">
        <v>706</v>
      </c>
      <c r="C399" s="56">
        <v>128.0</v>
      </c>
      <c r="D399" s="56">
        <f>VLOOKUP(E399,'AWS Platforms Ratios'!$A$2:$B$25,2,FALSE)</f>
        <v>128</v>
      </c>
      <c r="E399" s="57" t="s">
        <v>690</v>
      </c>
      <c r="F399" s="56">
        <v>3904.0</v>
      </c>
      <c r="G399" s="56">
        <v>3904.0</v>
      </c>
      <c r="H399" s="57" t="s">
        <v>695</v>
      </c>
      <c r="I399" s="56" t="s">
        <v>85</v>
      </c>
      <c r="J399" s="56">
        <v>2.0</v>
      </c>
      <c r="K399" s="58" t="s">
        <v>73</v>
      </c>
      <c r="L399" s="58" t="s">
        <v>73</v>
      </c>
      <c r="M399" s="58" t="s">
        <v>73</v>
      </c>
      <c r="N399" s="58" t="s">
        <v>73</v>
      </c>
      <c r="O399" s="59">
        <f>($C399/$D399)*VLOOKUP($E399,'AWS Platforms Ratios'!$A$2:$O$25,7,FALSE)</f>
        <v>72.37241379</v>
      </c>
      <c r="P399" s="59">
        <f>($C399/$D399)*VLOOKUP($E399,'AWS Platforms Ratios'!$A$2:$O$25,8,FALSE)</f>
        <v>206.6068966</v>
      </c>
      <c r="Q399" s="59">
        <f>($C399/$D399)*VLOOKUP($E399,'AWS Platforms Ratios'!$A$2:$O$25,9,FALSE)</f>
        <v>424.9448276</v>
      </c>
      <c r="R399" s="59">
        <f>($C399/$D399)*VLOOKUP($E399,'AWS Platforms Ratios'!$A$2:$O$25,10,FALSE)</f>
        <v>581.6534483</v>
      </c>
      <c r="S399" s="59">
        <f>$F399*VLOOKUP($E399,'AWS Platforms Ratios'!$A$2:$O$25,11,FALSE)</f>
        <v>780.8</v>
      </c>
      <c r="T399" s="59">
        <f>$F399*VLOOKUP($E399,'AWS Platforms Ratios'!$A$2:$O$25,12,FALSE)</f>
        <v>1171.2</v>
      </c>
      <c r="U399" s="59">
        <f>$F399*VLOOKUP($E399,'AWS Platforms Ratios'!$A$2:$O$25,13,FALSE)</f>
        <v>1561.6</v>
      </c>
      <c r="V399" s="59">
        <f>$F399*VLOOKUP($E399,'AWS Platforms Ratios'!$A$2:$O$25,14,FALSE)</f>
        <v>2342.4</v>
      </c>
      <c r="W399" s="60">
        <f>IF($K399&lt;&gt;"N/A",$M399*(VLOOKUP($L399,'GPU Specs &amp; Ratios'!$B$2:$I$8,5,FALSE)),0)</f>
        <v>0</v>
      </c>
      <c r="X399" s="60">
        <f>IF($K399&lt;&gt;"N/A",$M399*(VLOOKUP($L399,'GPU Specs &amp; Ratios'!$B$2:$I$8,6,FALSE)),0)</f>
        <v>0</v>
      </c>
      <c r="Y399" s="60">
        <f>IF($K399&lt;&gt;"N/A",$M399*(VLOOKUP($L399,'GPU Specs &amp; Ratios'!$B$2:$I$8,7,FALSE)),0)</f>
        <v>0</v>
      </c>
      <c r="Z399" s="60">
        <f>IF($K399&lt;&gt;"N/A",$M399*(VLOOKUP($L399,'GPU Specs &amp; Ratios'!$B$2:$I$8,8,FALSE)),0)</f>
        <v>0</v>
      </c>
      <c r="AA399" s="60">
        <f>(C399/D399)*VLOOKUP($E399,'AWS Platforms Ratios'!$A$2:$O$25,15,FALSE)</f>
        <v>120</v>
      </c>
      <c r="AB399" s="60">
        <f t="shared" ref="AB399:AE399" si="399">O399+S399+W399+$AA399</f>
        <v>973.1724138</v>
      </c>
      <c r="AC399" s="60">
        <f t="shared" si="399"/>
        <v>1497.806897</v>
      </c>
      <c r="AD399" s="60">
        <f t="shared" si="399"/>
        <v>2106.544828</v>
      </c>
      <c r="AE399" s="60">
        <f t="shared" si="399"/>
        <v>3044.053448</v>
      </c>
      <c r="AF399" s="60">
        <f>IF(G399&gt;'Scope 3 Ratios'!$B$5,(G399-'Scope 3 Ratios'!$B$5)*('Scope 3 Ratios'!$B$6/'Scope 3 Ratios'!$B$5),0)</f>
        <v>5392.2672</v>
      </c>
      <c r="AG399" s="60">
        <f>J399*IF(I399="SSD",'Scope 3 Ratios'!$B$9,'Scope 3 Ratios'!$B$8)</f>
        <v>200</v>
      </c>
      <c r="AH399" s="60">
        <f>IF(K399&lt;&gt;"N/A",K399*'Scope 3 Ratios'!$B$10,0)</f>
        <v>0</v>
      </c>
      <c r="AI399" s="60">
        <f>(VLOOKUP($E399,'AWS Platforms Ratios'!$A$2:$O$25,3,FALSE)-1)*'Scope 3 Ratios'!$B$7</f>
        <v>300</v>
      </c>
      <c r="AJ399" s="60">
        <f>'Scope 3 Ratios'!$B$2+AF399+AG399+AH399+AI399</f>
        <v>6892.2672</v>
      </c>
      <c r="AK399" s="60">
        <f>AJ399*'Scope 3 Ratios'!$B$4*(C399/D399)</f>
        <v>199.4290278</v>
      </c>
      <c r="AL399" s="61" t="s">
        <v>692</v>
      </c>
    </row>
    <row r="400" ht="15.0" customHeight="1">
      <c r="A400" s="63" t="s">
        <v>707</v>
      </c>
      <c r="B400" s="56" t="s">
        <v>708</v>
      </c>
      <c r="C400" s="63">
        <v>1.0</v>
      </c>
      <c r="D400" s="56">
        <f>VLOOKUP(E400,'AWS Platforms Ratios'!$A$2:$B$25,2,FALSE)</f>
        <v>64</v>
      </c>
      <c r="E400" s="63" t="s">
        <v>189</v>
      </c>
      <c r="F400" s="63">
        <v>16.0</v>
      </c>
      <c r="G400" s="63">
        <v>1024.0</v>
      </c>
      <c r="H400" s="64" t="s">
        <v>709</v>
      </c>
      <c r="I400" s="56" t="s">
        <v>85</v>
      </c>
      <c r="J400" s="56">
        <v>2.0</v>
      </c>
      <c r="K400" s="58" t="s">
        <v>73</v>
      </c>
      <c r="L400" s="58" t="s">
        <v>73</v>
      </c>
      <c r="M400" s="58" t="s">
        <v>73</v>
      </c>
      <c r="N400" s="58" t="s">
        <v>73</v>
      </c>
      <c r="O400" s="59">
        <f>($C400/$D400)*VLOOKUP($E400,'AWS Platforms Ratios'!$A$2:$O$25,7,FALSE)</f>
        <v>0.2721764469</v>
      </c>
      <c r="P400" s="59">
        <f>($C400/$D400)*VLOOKUP($E400,'AWS Platforms Ratios'!$A$2:$O$25,8,FALSE)</f>
        <v>0.7459229301</v>
      </c>
      <c r="Q400" s="59">
        <f>($C400/$D400)*VLOOKUP($E400,'AWS Platforms Ratios'!$A$2:$O$25,9,FALSE)</f>
        <v>1.763117966</v>
      </c>
      <c r="R400" s="59">
        <f>($C400/$D400)*VLOOKUP($E400,'AWS Platforms Ratios'!$A$2:$O$25,10,FALSE)</f>
        <v>2.387214881</v>
      </c>
      <c r="S400" s="59">
        <f>$F400*VLOOKUP($E400,'AWS Platforms Ratios'!$A$2:$O$25,11,FALSE)</f>
        <v>3.2</v>
      </c>
      <c r="T400" s="59">
        <f>$F400*VLOOKUP($E400,'AWS Platforms Ratios'!$A$2:$O$25,12,FALSE)</f>
        <v>4.8</v>
      </c>
      <c r="U400" s="59">
        <f>$F400*VLOOKUP($E400,'AWS Platforms Ratios'!$A$2:$O$25,13,FALSE)</f>
        <v>6.4</v>
      </c>
      <c r="V400" s="59">
        <f>$F400*VLOOKUP($E400,'AWS Platforms Ratios'!$A$2:$O$25,14,FALSE)</f>
        <v>9.6</v>
      </c>
      <c r="W400" s="60">
        <f>IF($K400&lt;&gt;"N/A",$M400*(VLOOKUP($L400,'GPU Specs &amp; Ratios'!$B$2:$I$8,5,FALSE)),0)</f>
        <v>0</v>
      </c>
      <c r="X400" s="60">
        <f>IF($K400&lt;&gt;"N/A",$M400*(VLOOKUP($L400,'GPU Specs &amp; Ratios'!$B$2:$I$8,6,FALSE)),0)</f>
        <v>0</v>
      </c>
      <c r="Y400" s="60">
        <f>IF($K400&lt;&gt;"N/A",$M400*(VLOOKUP($L400,'GPU Specs &amp; Ratios'!$B$2:$I$8,7,FALSE)),0)</f>
        <v>0</v>
      </c>
      <c r="Z400" s="60">
        <f>IF($K400&lt;&gt;"N/A",$M400*(VLOOKUP($L400,'GPU Specs &amp; Ratios'!$B$2:$I$8,8,FALSE)),0)</f>
        <v>0</v>
      </c>
      <c r="AA400" s="60">
        <f>(C400/D400)*VLOOKUP($E400,'AWS Platforms Ratios'!$A$2:$O$25,15,FALSE)</f>
        <v>0.46875</v>
      </c>
      <c r="AB400" s="60">
        <f t="shared" ref="AB400:AE400" si="400">O400+S400+W400+$AA400</f>
        <v>3.940926447</v>
      </c>
      <c r="AC400" s="60">
        <f t="shared" si="400"/>
        <v>6.01467293</v>
      </c>
      <c r="AD400" s="60">
        <f t="shared" si="400"/>
        <v>8.631867966</v>
      </c>
      <c r="AE400" s="60">
        <f t="shared" si="400"/>
        <v>12.45596488</v>
      </c>
      <c r="AF400" s="60">
        <f>IF(G400&gt;'Scope 3 Ratios'!$B$5,(G400-'Scope 3 Ratios'!$B$5)*('Scope 3 Ratios'!$B$6/'Scope 3 Ratios'!$B$5),0)</f>
        <v>1397.9952</v>
      </c>
      <c r="AG400" s="60">
        <f>J400*IF(I400="SSD",'Scope 3 Ratios'!$B$9,'Scope 3 Ratios'!$B$8)</f>
        <v>200</v>
      </c>
      <c r="AH400" s="60">
        <f>IF(K400&lt;&gt;"N/A",K400*'Scope 3 Ratios'!$B$10,0)</f>
        <v>0</v>
      </c>
      <c r="AI400" s="60">
        <f>(VLOOKUP($E400,'AWS Platforms Ratios'!$A$2:$O$25,3,FALSE)-1)*'Scope 3 Ratios'!$B$7</f>
        <v>0</v>
      </c>
      <c r="AJ400" s="60">
        <f>'Scope 3 Ratios'!$B$2+AF400+AG400+AH400+AI400</f>
        <v>2597.9952</v>
      </c>
      <c r="AK400" s="60">
        <f>AJ400*'Scope 3 Ratios'!$B$4*(C400/D400)</f>
        <v>1.174585503</v>
      </c>
      <c r="AL400" s="65"/>
    </row>
    <row r="401" ht="15.0" customHeight="1">
      <c r="A401" s="63" t="s">
        <v>710</v>
      </c>
      <c r="B401" s="56" t="s">
        <v>708</v>
      </c>
      <c r="C401" s="63">
        <v>2.0</v>
      </c>
      <c r="D401" s="56">
        <f>VLOOKUP(E401,'AWS Platforms Ratios'!$A$2:$B$25,2,FALSE)</f>
        <v>64</v>
      </c>
      <c r="E401" s="63" t="s">
        <v>189</v>
      </c>
      <c r="F401" s="63">
        <v>32.0</v>
      </c>
      <c r="G401" s="63">
        <v>1024.0</v>
      </c>
      <c r="H401" s="64" t="s">
        <v>711</v>
      </c>
      <c r="I401" s="56" t="s">
        <v>85</v>
      </c>
      <c r="J401" s="56">
        <v>2.0</v>
      </c>
      <c r="K401" s="58" t="s">
        <v>73</v>
      </c>
      <c r="L401" s="58" t="s">
        <v>73</v>
      </c>
      <c r="M401" s="58" t="s">
        <v>73</v>
      </c>
      <c r="N401" s="58" t="s">
        <v>73</v>
      </c>
      <c r="O401" s="59">
        <f>($C401/$D401)*VLOOKUP($E401,'AWS Platforms Ratios'!$A$2:$O$25,7,FALSE)</f>
        <v>0.5443528939</v>
      </c>
      <c r="P401" s="59">
        <f>($C401/$D401)*VLOOKUP($E401,'AWS Platforms Ratios'!$A$2:$O$25,8,FALSE)</f>
        <v>1.49184586</v>
      </c>
      <c r="Q401" s="59">
        <f>($C401/$D401)*VLOOKUP($E401,'AWS Platforms Ratios'!$A$2:$O$25,9,FALSE)</f>
        <v>3.526235932</v>
      </c>
      <c r="R401" s="59">
        <f>($C401/$D401)*VLOOKUP($E401,'AWS Platforms Ratios'!$A$2:$O$25,10,FALSE)</f>
        <v>4.774429763</v>
      </c>
      <c r="S401" s="59">
        <f>$F401*VLOOKUP($E401,'AWS Platforms Ratios'!$A$2:$O$25,11,FALSE)</f>
        <v>6.4</v>
      </c>
      <c r="T401" s="59">
        <f>$F401*VLOOKUP($E401,'AWS Platforms Ratios'!$A$2:$O$25,12,FALSE)</f>
        <v>9.6</v>
      </c>
      <c r="U401" s="59">
        <f>$F401*VLOOKUP($E401,'AWS Platforms Ratios'!$A$2:$O$25,13,FALSE)</f>
        <v>12.8</v>
      </c>
      <c r="V401" s="59">
        <f>$F401*VLOOKUP($E401,'AWS Platforms Ratios'!$A$2:$O$25,14,FALSE)</f>
        <v>19.2</v>
      </c>
      <c r="W401" s="60">
        <f>IF($K401&lt;&gt;"N/A",$M401*(VLOOKUP($L401,'GPU Specs &amp; Ratios'!$B$2:$I$8,5,FALSE)),0)</f>
        <v>0</v>
      </c>
      <c r="X401" s="60">
        <f>IF($K401&lt;&gt;"N/A",$M401*(VLOOKUP($L401,'GPU Specs &amp; Ratios'!$B$2:$I$8,6,FALSE)),0)</f>
        <v>0</v>
      </c>
      <c r="Y401" s="60">
        <f>IF($K401&lt;&gt;"N/A",$M401*(VLOOKUP($L401,'GPU Specs &amp; Ratios'!$B$2:$I$8,7,FALSE)),0)</f>
        <v>0</v>
      </c>
      <c r="Z401" s="60">
        <f>IF($K401&lt;&gt;"N/A",$M401*(VLOOKUP($L401,'GPU Specs &amp; Ratios'!$B$2:$I$8,8,FALSE)),0)</f>
        <v>0</v>
      </c>
      <c r="AA401" s="60">
        <f>(C401/D401)*VLOOKUP($E401,'AWS Platforms Ratios'!$A$2:$O$25,15,FALSE)</f>
        <v>0.9375</v>
      </c>
      <c r="AB401" s="60">
        <f t="shared" ref="AB401:AE401" si="401">O401+S401+W401+$AA401</f>
        <v>7.881852894</v>
      </c>
      <c r="AC401" s="60">
        <f t="shared" si="401"/>
        <v>12.02934586</v>
      </c>
      <c r="AD401" s="60">
        <f t="shared" si="401"/>
        <v>17.26373593</v>
      </c>
      <c r="AE401" s="60">
        <f t="shared" si="401"/>
        <v>24.91192976</v>
      </c>
      <c r="AF401" s="60">
        <f>IF(G401&gt;'Scope 3 Ratios'!$B$5,(G401-'Scope 3 Ratios'!$B$5)*('Scope 3 Ratios'!$B$6/'Scope 3 Ratios'!$B$5),0)</f>
        <v>1397.9952</v>
      </c>
      <c r="AG401" s="60">
        <f>J401*IF(I401="SSD",'Scope 3 Ratios'!$B$9,'Scope 3 Ratios'!$B$8)</f>
        <v>200</v>
      </c>
      <c r="AH401" s="60">
        <f>IF(K401&lt;&gt;"N/A",K401*'Scope 3 Ratios'!$B$10,0)</f>
        <v>0</v>
      </c>
      <c r="AI401" s="60">
        <f>(VLOOKUP($E401,'AWS Platforms Ratios'!$A$2:$O$25,3,FALSE)-1)*'Scope 3 Ratios'!$B$7</f>
        <v>0</v>
      </c>
      <c r="AJ401" s="60">
        <f>'Scope 3 Ratios'!$B$2+AF401+AG401+AH401+AI401</f>
        <v>2597.9952</v>
      </c>
      <c r="AK401" s="60">
        <f>AJ401*'Scope 3 Ratios'!$B$4*(C401/D401)</f>
        <v>2.349171007</v>
      </c>
      <c r="AL401" s="65"/>
    </row>
    <row r="402" ht="15.0" customHeight="1">
      <c r="A402" s="63" t="s">
        <v>712</v>
      </c>
      <c r="B402" s="56" t="s">
        <v>708</v>
      </c>
      <c r="C402" s="63">
        <v>4.0</v>
      </c>
      <c r="D402" s="56">
        <f>VLOOKUP(E402,'AWS Platforms Ratios'!$A$2:$B$25,2,FALSE)</f>
        <v>64</v>
      </c>
      <c r="E402" s="63" t="s">
        <v>189</v>
      </c>
      <c r="F402" s="63">
        <v>64.0</v>
      </c>
      <c r="G402" s="63">
        <v>1024.0</v>
      </c>
      <c r="H402" s="64" t="s">
        <v>713</v>
      </c>
      <c r="I402" s="56" t="s">
        <v>85</v>
      </c>
      <c r="J402" s="56">
        <v>2.0</v>
      </c>
      <c r="K402" s="58" t="s">
        <v>73</v>
      </c>
      <c r="L402" s="58" t="s">
        <v>73</v>
      </c>
      <c r="M402" s="58" t="s">
        <v>73</v>
      </c>
      <c r="N402" s="58" t="s">
        <v>73</v>
      </c>
      <c r="O402" s="59">
        <f>($C402/$D402)*VLOOKUP($E402,'AWS Platforms Ratios'!$A$2:$O$25,7,FALSE)</f>
        <v>1.088705788</v>
      </c>
      <c r="P402" s="59">
        <f>($C402/$D402)*VLOOKUP($E402,'AWS Platforms Ratios'!$A$2:$O$25,8,FALSE)</f>
        <v>2.98369172</v>
      </c>
      <c r="Q402" s="59">
        <f>($C402/$D402)*VLOOKUP($E402,'AWS Platforms Ratios'!$A$2:$O$25,9,FALSE)</f>
        <v>7.052471865</v>
      </c>
      <c r="R402" s="59">
        <f>($C402/$D402)*VLOOKUP($E402,'AWS Platforms Ratios'!$A$2:$O$25,10,FALSE)</f>
        <v>9.548859526</v>
      </c>
      <c r="S402" s="59">
        <f>$F402*VLOOKUP($E402,'AWS Platforms Ratios'!$A$2:$O$25,11,FALSE)</f>
        <v>12.8</v>
      </c>
      <c r="T402" s="59">
        <f>$F402*VLOOKUP($E402,'AWS Platforms Ratios'!$A$2:$O$25,12,FALSE)</f>
        <v>19.2</v>
      </c>
      <c r="U402" s="59">
        <f>$F402*VLOOKUP($E402,'AWS Platforms Ratios'!$A$2:$O$25,13,FALSE)</f>
        <v>25.6</v>
      </c>
      <c r="V402" s="59">
        <f>$F402*VLOOKUP($E402,'AWS Platforms Ratios'!$A$2:$O$25,14,FALSE)</f>
        <v>38.4</v>
      </c>
      <c r="W402" s="60">
        <f>IF($K402&lt;&gt;"N/A",$M402*(VLOOKUP($L402,'GPU Specs &amp; Ratios'!$B$2:$I$8,5,FALSE)),0)</f>
        <v>0</v>
      </c>
      <c r="X402" s="60">
        <f>IF($K402&lt;&gt;"N/A",$M402*(VLOOKUP($L402,'GPU Specs &amp; Ratios'!$B$2:$I$8,6,FALSE)),0)</f>
        <v>0</v>
      </c>
      <c r="Y402" s="60">
        <f>IF($K402&lt;&gt;"N/A",$M402*(VLOOKUP($L402,'GPU Specs &amp; Ratios'!$B$2:$I$8,7,FALSE)),0)</f>
        <v>0</v>
      </c>
      <c r="Z402" s="60">
        <f>IF($K402&lt;&gt;"N/A",$M402*(VLOOKUP($L402,'GPU Specs &amp; Ratios'!$B$2:$I$8,8,FALSE)),0)</f>
        <v>0</v>
      </c>
      <c r="AA402" s="60">
        <f>(C402/D402)*VLOOKUP($E402,'AWS Platforms Ratios'!$A$2:$O$25,15,FALSE)</f>
        <v>1.875</v>
      </c>
      <c r="AB402" s="60">
        <f t="shared" ref="AB402:AE402" si="402">O402+S402+W402+$AA402</f>
        <v>15.76370579</v>
      </c>
      <c r="AC402" s="60">
        <f t="shared" si="402"/>
        <v>24.05869172</v>
      </c>
      <c r="AD402" s="60">
        <f t="shared" si="402"/>
        <v>34.52747186</v>
      </c>
      <c r="AE402" s="60">
        <f t="shared" si="402"/>
        <v>49.82385953</v>
      </c>
      <c r="AF402" s="60">
        <f>IF(G402&gt;'Scope 3 Ratios'!$B$5,(G402-'Scope 3 Ratios'!$B$5)*('Scope 3 Ratios'!$B$6/'Scope 3 Ratios'!$B$5),0)</f>
        <v>1397.9952</v>
      </c>
      <c r="AG402" s="60">
        <f>J402*IF(I402="SSD",'Scope 3 Ratios'!$B$9,'Scope 3 Ratios'!$B$8)</f>
        <v>200</v>
      </c>
      <c r="AH402" s="60">
        <f>IF(K402&lt;&gt;"N/A",K402*'Scope 3 Ratios'!$B$10,0)</f>
        <v>0</v>
      </c>
      <c r="AI402" s="60">
        <f>(VLOOKUP($E402,'AWS Platforms Ratios'!$A$2:$O$25,3,FALSE)-1)*'Scope 3 Ratios'!$B$7</f>
        <v>0</v>
      </c>
      <c r="AJ402" s="60">
        <f>'Scope 3 Ratios'!$B$2+AF402+AG402+AH402+AI402</f>
        <v>2597.9952</v>
      </c>
      <c r="AK402" s="60">
        <f>AJ402*'Scope 3 Ratios'!$B$4*(C402/D402)</f>
        <v>4.698342014</v>
      </c>
      <c r="AL402" s="65"/>
    </row>
    <row r="403" ht="15.0" customHeight="1">
      <c r="A403" s="63" t="s">
        <v>714</v>
      </c>
      <c r="B403" s="56" t="s">
        <v>708</v>
      </c>
      <c r="C403" s="63">
        <v>8.0</v>
      </c>
      <c r="D403" s="56">
        <f>VLOOKUP(E403,'AWS Platforms Ratios'!$A$2:$B$25,2,FALSE)</f>
        <v>64</v>
      </c>
      <c r="E403" s="63" t="s">
        <v>189</v>
      </c>
      <c r="F403" s="63">
        <v>128.0</v>
      </c>
      <c r="G403" s="63">
        <v>1024.0</v>
      </c>
      <c r="H403" s="64" t="s">
        <v>715</v>
      </c>
      <c r="I403" s="56" t="s">
        <v>85</v>
      </c>
      <c r="J403" s="56">
        <v>2.0</v>
      </c>
      <c r="K403" s="58" t="s">
        <v>73</v>
      </c>
      <c r="L403" s="58" t="s">
        <v>73</v>
      </c>
      <c r="M403" s="58" t="s">
        <v>73</v>
      </c>
      <c r="N403" s="58" t="s">
        <v>73</v>
      </c>
      <c r="O403" s="59">
        <f>($C403/$D403)*VLOOKUP($E403,'AWS Platforms Ratios'!$A$2:$O$25,7,FALSE)</f>
        <v>2.177411576</v>
      </c>
      <c r="P403" s="59">
        <f>($C403/$D403)*VLOOKUP($E403,'AWS Platforms Ratios'!$A$2:$O$25,8,FALSE)</f>
        <v>5.967383441</v>
      </c>
      <c r="Q403" s="59">
        <f>($C403/$D403)*VLOOKUP($E403,'AWS Platforms Ratios'!$A$2:$O$25,9,FALSE)</f>
        <v>14.10494373</v>
      </c>
      <c r="R403" s="59">
        <f>($C403/$D403)*VLOOKUP($E403,'AWS Platforms Ratios'!$A$2:$O$25,10,FALSE)</f>
        <v>19.09771905</v>
      </c>
      <c r="S403" s="59">
        <f>$F403*VLOOKUP($E403,'AWS Platforms Ratios'!$A$2:$O$25,11,FALSE)</f>
        <v>25.6</v>
      </c>
      <c r="T403" s="59">
        <f>$F403*VLOOKUP($E403,'AWS Platforms Ratios'!$A$2:$O$25,12,FALSE)</f>
        <v>38.4</v>
      </c>
      <c r="U403" s="59">
        <f>$F403*VLOOKUP($E403,'AWS Platforms Ratios'!$A$2:$O$25,13,FALSE)</f>
        <v>51.2</v>
      </c>
      <c r="V403" s="59">
        <f>$F403*VLOOKUP($E403,'AWS Platforms Ratios'!$A$2:$O$25,14,FALSE)</f>
        <v>76.8</v>
      </c>
      <c r="W403" s="60">
        <f>IF($K403&lt;&gt;"N/A",$M403*(VLOOKUP($L403,'GPU Specs &amp; Ratios'!$B$2:$I$8,5,FALSE)),0)</f>
        <v>0</v>
      </c>
      <c r="X403" s="60">
        <f>IF($K403&lt;&gt;"N/A",$M403*(VLOOKUP($L403,'GPU Specs &amp; Ratios'!$B$2:$I$8,6,FALSE)),0)</f>
        <v>0</v>
      </c>
      <c r="Y403" s="60">
        <f>IF($K403&lt;&gt;"N/A",$M403*(VLOOKUP($L403,'GPU Specs &amp; Ratios'!$B$2:$I$8,7,FALSE)),0)</f>
        <v>0</v>
      </c>
      <c r="Z403" s="60">
        <f>IF($K403&lt;&gt;"N/A",$M403*(VLOOKUP($L403,'GPU Specs &amp; Ratios'!$B$2:$I$8,8,FALSE)),0)</f>
        <v>0</v>
      </c>
      <c r="AA403" s="60">
        <f>(C403/D403)*VLOOKUP($E403,'AWS Platforms Ratios'!$A$2:$O$25,15,FALSE)</f>
        <v>3.75</v>
      </c>
      <c r="AB403" s="60">
        <f t="shared" ref="AB403:AE403" si="403">O403+S403+W403+$AA403</f>
        <v>31.52741158</v>
      </c>
      <c r="AC403" s="60">
        <f t="shared" si="403"/>
        <v>48.11738344</v>
      </c>
      <c r="AD403" s="60">
        <f t="shared" si="403"/>
        <v>69.05494373</v>
      </c>
      <c r="AE403" s="60">
        <f t="shared" si="403"/>
        <v>99.64771905</v>
      </c>
      <c r="AF403" s="60">
        <f>IF(G403&gt;'Scope 3 Ratios'!$B$5,(G403-'Scope 3 Ratios'!$B$5)*('Scope 3 Ratios'!$B$6/'Scope 3 Ratios'!$B$5),0)</f>
        <v>1397.9952</v>
      </c>
      <c r="AG403" s="60">
        <f>J403*IF(I403="SSD",'Scope 3 Ratios'!$B$9,'Scope 3 Ratios'!$B$8)</f>
        <v>200</v>
      </c>
      <c r="AH403" s="60">
        <f>IF(K403&lt;&gt;"N/A",K403*'Scope 3 Ratios'!$B$10,0)</f>
        <v>0</v>
      </c>
      <c r="AI403" s="60">
        <f>(VLOOKUP($E403,'AWS Platforms Ratios'!$A$2:$O$25,3,FALSE)-1)*'Scope 3 Ratios'!$B$7</f>
        <v>0</v>
      </c>
      <c r="AJ403" s="60">
        <f>'Scope 3 Ratios'!$B$2+AF403+AG403+AH403+AI403</f>
        <v>2597.9952</v>
      </c>
      <c r="AK403" s="60">
        <f>AJ403*'Scope 3 Ratios'!$B$4*(C403/D403)</f>
        <v>9.396684028</v>
      </c>
      <c r="AL403" s="65"/>
    </row>
    <row r="404" ht="15.0" customHeight="1">
      <c r="A404" s="63" t="s">
        <v>716</v>
      </c>
      <c r="B404" s="56" t="s">
        <v>708</v>
      </c>
      <c r="C404" s="63">
        <v>16.0</v>
      </c>
      <c r="D404" s="56">
        <f>VLOOKUP(E404,'AWS Platforms Ratios'!$A$2:$B$25,2,FALSE)</f>
        <v>64</v>
      </c>
      <c r="E404" s="63" t="s">
        <v>189</v>
      </c>
      <c r="F404" s="63">
        <v>256.0</v>
      </c>
      <c r="G404" s="63">
        <v>1024.0</v>
      </c>
      <c r="H404" s="64" t="s">
        <v>717</v>
      </c>
      <c r="I404" s="56" t="s">
        <v>85</v>
      </c>
      <c r="J404" s="56">
        <v>2.0</v>
      </c>
      <c r="K404" s="58" t="s">
        <v>73</v>
      </c>
      <c r="L404" s="58" t="s">
        <v>73</v>
      </c>
      <c r="M404" s="58" t="s">
        <v>73</v>
      </c>
      <c r="N404" s="58" t="s">
        <v>73</v>
      </c>
      <c r="O404" s="59">
        <f>($C404/$D404)*VLOOKUP($E404,'AWS Platforms Ratios'!$A$2:$O$25,7,FALSE)</f>
        <v>4.354823151</v>
      </c>
      <c r="P404" s="59">
        <f>($C404/$D404)*VLOOKUP($E404,'AWS Platforms Ratios'!$A$2:$O$25,8,FALSE)</f>
        <v>11.93476688</v>
      </c>
      <c r="Q404" s="59">
        <f>($C404/$D404)*VLOOKUP($E404,'AWS Platforms Ratios'!$A$2:$O$25,9,FALSE)</f>
        <v>28.20988746</v>
      </c>
      <c r="R404" s="59">
        <f>($C404/$D404)*VLOOKUP($E404,'AWS Platforms Ratios'!$A$2:$O$25,10,FALSE)</f>
        <v>38.1954381</v>
      </c>
      <c r="S404" s="59">
        <f>$F404*VLOOKUP($E404,'AWS Platforms Ratios'!$A$2:$O$25,11,FALSE)</f>
        <v>51.2</v>
      </c>
      <c r="T404" s="59">
        <f>$F404*VLOOKUP($E404,'AWS Platforms Ratios'!$A$2:$O$25,12,FALSE)</f>
        <v>76.8</v>
      </c>
      <c r="U404" s="59">
        <f>$F404*VLOOKUP($E404,'AWS Platforms Ratios'!$A$2:$O$25,13,FALSE)</f>
        <v>102.4</v>
      </c>
      <c r="V404" s="59">
        <f>$F404*VLOOKUP($E404,'AWS Platforms Ratios'!$A$2:$O$25,14,FALSE)</f>
        <v>153.6</v>
      </c>
      <c r="W404" s="60">
        <f>IF($K404&lt;&gt;"N/A",$M404*(VLOOKUP($L404,'GPU Specs &amp; Ratios'!$B$2:$I$8,5,FALSE)),0)</f>
        <v>0</v>
      </c>
      <c r="X404" s="60">
        <f>IF($K404&lt;&gt;"N/A",$M404*(VLOOKUP($L404,'GPU Specs &amp; Ratios'!$B$2:$I$8,6,FALSE)),0)</f>
        <v>0</v>
      </c>
      <c r="Y404" s="60">
        <f>IF($K404&lt;&gt;"N/A",$M404*(VLOOKUP($L404,'GPU Specs &amp; Ratios'!$B$2:$I$8,7,FALSE)),0)</f>
        <v>0</v>
      </c>
      <c r="Z404" s="60">
        <f>IF($K404&lt;&gt;"N/A",$M404*(VLOOKUP($L404,'GPU Specs &amp; Ratios'!$B$2:$I$8,8,FALSE)),0)</f>
        <v>0</v>
      </c>
      <c r="AA404" s="60">
        <f>(C404/D404)*VLOOKUP($E404,'AWS Platforms Ratios'!$A$2:$O$25,15,FALSE)</f>
        <v>7.5</v>
      </c>
      <c r="AB404" s="60">
        <f t="shared" ref="AB404:AE404" si="404">O404+S404+W404+$AA404</f>
        <v>63.05482315</v>
      </c>
      <c r="AC404" s="60">
        <f t="shared" si="404"/>
        <v>96.23476688</v>
      </c>
      <c r="AD404" s="60">
        <f t="shared" si="404"/>
        <v>138.1098875</v>
      </c>
      <c r="AE404" s="60">
        <f t="shared" si="404"/>
        <v>199.2954381</v>
      </c>
      <c r="AF404" s="60">
        <f>IF(G404&gt;'Scope 3 Ratios'!$B$5,(G404-'Scope 3 Ratios'!$B$5)*('Scope 3 Ratios'!$B$6/'Scope 3 Ratios'!$B$5),0)</f>
        <v>1397.9952</v>
      </c>
      <c r="AG404" s="60">
        <f>J404*IF(I404="SSD",'Scope 3 Ratios'!$B$9,'Scope 3 Ratios'!$B$8)</f>
        <v>200</v>
      </c>
      <c r="AH404" s="60">
        <f>IF(K404&lt;&gt;"N/A",K404*'Scope 3 Ratios'!$B$10,0)</f>
        <v>0</v>
      </c>
      <c r="AI404" s="60">
        <f>(VLOOKUP($E404,'AWS Platforms Ratios'!$A$2:$O$25,3,FALSE)-1)*'Scope 3 Ratios'!$B$7</f>
        <v>0</v>
      </c>
      <c r="AJ404" s="60">
        <f>'Scope 3 Ratios'!$B$2+AF404+AG404+AH404+AI404</f>
        <v>2597.9952</v>
      </c>
      <c r="AK404" s="60">
        <f>AJ404*'Scope 3 Ratios'!$B$4*(C404/D404)</f>
        <v>18.79336806</v>
      </c>
      <c r="AL404" s="65"/>
    </row>
    <row r="405" ht="15.0" customHeight="1">
      <c r="A405" s="63" t="s">
        <v>718</v>
      </c>
      <c r="B405" s="56" t="s">
        <v>708</v>
      </c>
      <c r="C405" s="63">
        <v>32.0</v>
      </c>
      <c r="D405" s="56">
        <f>VLOOKUP(E405,'AWS Platforms Ratios'!$A$2:$B$25,2,FALSE)</f>
        <v>64</v>
      </c>
      <c r="E405" s="63" t="s">
        <v>189</v>
      </c>
      <c r="F405" s="63">
        <v>512.0</v>
      </c>
      <c r="G405" s="63">
        <v>1024.0</v>
      </c>
      <c r="H405" s="64" t="s">
        <v>719</v>
      </c>
      <c r="I405" s="56" t="s">
        <v>85</v>
      </c>
      <c r="J405" s="56">
        <v>2.0</v>
      </c>
      <c r="K405" s="58" t="s">
        <v>73</v>
      </c>
      <c r="L405" s="58" t="s">
        <v>73</v>
      </c>
      <c r="M405" s="58" t="s">
        <v>73</v>
      </c>
      <c r="N405" s="58" t="s">
        <v>73</v>
      </c>
      <c r="O405" s="59">
        <f>($C405/$D405)*VLOOKUP($E405,'AWS Platforms Ratios'!$A$2:$O$25,7,FALSE)</f>
        <v>8.709646302</v>
      </c>
      <c r="P405" s="59">
        <f>($C405/$D405)*VLOOKUP($E405,'AWS Platforms Ratios'!$A$2:$O$25,8,FALSE)</f>
        <v>23.86953376</v>
      </c>
      <c r="Q405" s="59">
        <f>($C405/$D405)*VLOOKUP($E405,'AWS Platforms Ratios'!$A$2:$O$25,9,FALSE)</f>
        <v>56.41977492</v>
      </c>
      <c r="R405" s="59">
        <f>($C405/$D405)*VLOOKUP($E405,'AWS Platforms Ratios'!$A$2:$O$25,10,FALSE)</f>
        <v>76.39087621</v>
      </c>
      <c r="S405" s="59">
        <f>$F405*VLOOKUP($E405,'AWS Platforms Ratios'!$A$2:$O$25,11,FALSE)</f>
        <v>102.4</v>
      </c>
      <c r="T405" s="59">
        <f>$F405*VLOOKUP($E405,'AWS Platforms Ratios'!$A$2:$O$25,12,FALSE)</f>
        <v>153.6</v>
      </c>
      <c r="U405" s="59">
        <f>$F405*VLOOKUP($E405,'AWS Platforms Ratios'!$A$2:$O$25,13,FALSE)</f>
        <v>204.8</v>
      </c>
      <c r="V405" s="59">
        <f>$F405*VLOOKUP($E405,'AWS Platforms Ratios'!$A$2:$O$25,14,FALSE)</f>
        <v>307.2</v>
      </c>
      <c r="W405" s="60">
        <f>IF($K405&lt;&gt;"N/A",$M405*(VLOOKUP($L405,'GPU Specs &amp; Ratios'!$B$2:$I$8,5,FALSE)),0)</f>
        <v>0</v>
      </c>
      <c r="X405" s="60">
        <f>IF($K405&lt;&gt;"N/A",$M405*(VLOOKUP($L405,'GPU Specs &amp; Ratios'!$B$2:$I$8,6,FALSE)),0)</f>
        <v>0</v>
      </c>
      <c r="Y405" s="60">
        <f>IF($K405&lt;&gt;"N/A",$M405*(VLOOKUP($L405,'GPU Specs &amp; Ratios'!$B$2:$I$8,7,FALSE)),0)</f>
        <v>0</v>
      </c>
      <c r="Z405" s="60">
        <f>IF($K405&lt;&gt;"N/A",$M405*(VLOOKUP($L405,'GPU Specs &amp; Ratios'!$B$2:$I$8,8,FALSE)),0)</f>
        <v>0</v>
      </c>
      <c r="AA405" s="60">
        <f>(C405/D405)*VLOOKUP($E405,'AWS Platforms Ratios'!$A$2:$O$25,15,FALSE)</f>
        <v>15</v>
      </c>
      <c r="AB405" s="60">
        <f t="shared" ref="AB405:AE405" si="405">O405+S405+W405+$AA405</f>
        <v>126.1096463</v>
      </c>
      <c r="AC405" s="60">
        <f t="shared" si="405"/>
        <v>192.4695338</v>
      </c>
      <c r="AD405" s="60">
        <f t="shared" si="405"/>
        <v>276.2197749</v>
      </c>
      <c r="AE405" s="60">
        <f t="shared" si="405"/>
        <v>398.5908762</v>
      </c>
      <c r="AF405" s="60">
        <f>IF(G405&gt;'Scope 3 Ratios'!$B$5,(G405-'Scope 3 Ratios'!$B$5)*('Scope 3 Ratios'!$B$6/'Scope 3 Ratios'!$B$5),0)</f>
        <v>1397.9952</v>
      </c>
      <c r="AG405" s="60">
        <f>J405*IF(I405="SSD",'Scope 3 Ratios'!$B$9,'Scope 3 Ratios'!$B$8)</f>
        <v>200</v>
      </c>
      <c r="AH405" s="60">
        <f>IF(K405&lt;&gt;"N/A",K405*'Scope 3 Ratios'!$B$10,0)</f>
        <v>0</v>
      </c>
      <c r="AI405" s="60">
        <f>(VLOOKUP($E405,'AWS Platforms Ratios'!$A$2:$O$25,3,FALSE)-1)*'Scope 3 Ratios'!$B$7</f>
        <v>0</v>
      </c>
      <c r="AJ405" s="60">
        <f>'Scope 3 Ratios'!$B$2+AF405+AG405+AH405+AI405</f>
        <v>2597.9952</v>
      </c>
      <c r="AK405" s="60">
        <f>AJ405*'Scope 3 Ratios'!$B$4*(C405/D405)</f>
        <v>37.58673611</v>
      </c>
      <c r="AL405" s="65"/>
    </row>
    <row r="406" ht="15.0" customHeight="1">
      <c r="A406" s="63" t="s">
        <v>720</v>
      </c>
      <c r="B406" s="56" t="s">
        <v>708</v>
      </c>
      <c r="C406" s="63">
        <v>48.0</v>
      </c>
      <c r="D406" s="56">
        <f>VLOOKUP(E406,'AWS Platforms Ratios'!$A$2:$B$25,2,FALSE)</f>
        <v>64</v>
      </c>
      <c r="E406" s="63" t="s">
        <v>189</v>
      </c>
      <c r="F406" s="63">
        <v>768.0</v>
      </c>
      <c r="G406" s="63">
        <v>1024.0</v>
      </c>
      <c r="H406" s="64" t="s">
        <v>721</v>
      </c>
      <c r="I406" s="56" t="s">
        <v>85</v>
      </c>
      <c r="J406" s="56">
        <v>2.0</v>
      </c>
      <c r="K406" s="58" t="s">
        <v>73</v>
      </c>
      <c r="L406" s="58" t="s">
        <v>73</v>
      </c>
      <c r="M406" s="58" t="s">
        <v>73</v>
      </c>
      <c r="N406" s="58" t="s">
        <v>73</v>
      </c>
      <c r="O406" s="59">
        <f>($C406/$D406)*VLOOKUP($E406,'AWS Platforms Ratios'!$A$2:$O$25,7,FALSE)</f>
        <v>13.06446945</v>
      </c>
      <c r="P406" s="59">
        <f>($C406/$D406)*VLOOKUP($E406,'AWS Platforms Ratios'!$A$2:$O$25,8,FALSE)</f>
        <v>35.80430064</v>
      </c>
      <c r="Q406" s="59">
        <f>($C406/$D406)*VLOOKUP($E406,'AWS Platforms Ratios'!$A$2:$O$25,9,FALSE)</f>
        <v>84.62966238</v>
      </c>
      <c r="R406" s="59">
        <f>($C406/$D406)*VLOOKUP($E406,'AWS Platforms Ratios'!$A$2:$O$25,10,FALSE)</f>
        <v>114.5863143</v>
      </c>
      <c r="S406" s="59">
        <f>$F406*VLOOKUP($E406,'AWS Platforms Ratios'!$A$2:$O$25,11,FALSE)</f>
        <v>153.6</v>
      </c>
      <c r="T406" s="59">
        <f>$F406*VLOOKUP($E406,'AWS Platforms Ratios'!$A$2:$O$25,12,FALSE)</f>
        <v>230.4</v>
      </c>
      <c r="U406" s="59">
        <f>$F406*VLOOKUP($E406,'AWS Platforms Ratios'!$A$2:$O$25,13,FALSE)</f>
        <v>307.2</v>
      </c>
      <c r="V406" s="59">
        <f>$F406*VLOOKUP($E406,'AWS Platforms Ratios'!$A$2:$O$25,14,FALSE)</f>
        <v>460.8</v>
      </c>
      <c r="W406" s="60">
        <f>IF($K406&lt;&gt;"N/A",$M406*(VLOOKUP($L406,'GPU Specs &amp; Ratios'!$B$2:$I$8,5,FALSE)),0)</f>
        <v>0</v>
      </c>
      <c r="X406" s="60">
        <f>IF($K406&lt;&gt;"N/A",$M406*(VLOOKUP($L406,'GPU Specs &amp; Ratios'!$B$2:$I$8,6,FALSE)),0)</f>
        <v>0</v>
      </c>
      <c r="Y406" s="60">
        <f>IF($K406&lt;&gt;"N/A",$M406*(VLOOKUP($L406,'GPU Specs &amp; Ratios'!$B$2:$I$8,7,FALSE)),0)</f>
        <v>0</v>
      </c>
      <c r="Z406" s="60">
        <f>IF($K406&lt;&gt;"N/A",$M406*(VLOOKUP($L406,'GPU Specs &amp; Ratios'!$B$2:$I$8,8,FALSE)),0)</f>
        <v>0</v>
      </c>
      <c r="AA406" s="60">
        <f>(C406/D406)*VLOOKUP($E406,'AWS Platforms Ratios'!$A$2:$O$25,15,FALSE)</f>
        <v>22.5</v>
      </c>
      <c r="AB406" s="60">
        <f t="shared" ref="AB406:AE406" si="406">O406+S406+W406+$AA406</f>
        <v>189.1644695</v>
      </c>
      <c r="AC406" s="60">
        <f t="shared" si="406"/>
        <v>288.7043006</v>
      </c>
      <c r="AD406" s="60">
        <f t="shared" si="406"/>
        <v>414.3296624</v>
      </c>
      <c r="AE406" s="60">
        <f t="shared" si="406"/>
        <v>597.8863143</v>
      </c>
      <c r="AF406" s="60">
        <f>IF(G406&gt;'Scope 3 Ratios'!$B$5,(G406-'Scope 3 Ratios'!$B$5)*('Scope 3 Ratios'!$B$6/'Scope 3 Ratios'!$B$5),0)</f>
        <v>1397.9952</v>
      </c>
      <c r="AG406" s="60">
        <f>J406*IF(I406="SSD",'Scope 3 Ratios'!$B$9,'Scope 3 Ratios'!$B$8)</f>
        <v>200</v>
      </c>
      <c r="AH406" s="60">
        <f>IF(K406&lt;&gt;"N/A",K406*'Scope 3 Ratios'!$B$10,0)</f>
        <v>0</v>
      </c>
      <c r="AI406" s="60">
        <f>(VLOOKUP($E406,'AWS Platforms Ratios'!$A$2:$O$25,3,FALSE)-1)*'Scope 3 Ratios'!$B$7</f>
        <v>0</v>
      </c>
      <c r="AJ406" s="60">
        <f>'Scope 3 Ratios'!$B$2+AF406+AG406+AH406+AI406</f>
        <v>2597.9952</v>
      </c>
      <c r="AK406" s="60">
        <f>AJ406*'Scope 3 Ratios'!$B$4*(C406/D406)</f>
        <v>56.38010417</v>
      </c>
      <c r="AL406" s="65"/>
    </row>
    <row r="407" ht="15.0" customHeight="1">
      <c r="A407" s="63" t="s">
        <v>722</v>
      </c>
      <c r="B407" s="56" t="s">
        <v>708</v>
      </c>
      <c r="C407" s="63">
        <v>64.0</v>
      </c>
      <c r="D407" s="56">
        <f>VLOOKUP(E407,'AWS Platforms Ratios'!$A$2:$B$25,2,FALSE)</f>
        <v>64</v>
      </c>
      <c r="E407" s="63" t="s">
        <v>189</v>
      </c>
      <c r="F407" s="63">
        <v>1024.0</v>
      </c>
      <c r="G407" s="63">
        <v>1024.0</v>
      </c>
      <c r="H407" s="64" t="s">
        <v>723</v>
      </c>
      <c r="I407" s="56" t="s">
        <v>85</v>
      </c>
      <c r="J407" s="56">
        <v>2.0</v>
      </c>
      <c r="K407" s="58" t="s">
        <v>73</v>
      </c>
      <c r="L407" s="58" t="s">
        <v>73</v>
      </c>
      <c r="M407" s="58" t="s">
        <v>73</v>
      </c>
      <c r="N407" s="58" t="s">
        <v>73</v>
      </c>
      <c r="O407" s="59">
        <f>($C407/$D407)*VLOOKUP($E407,'AWS Platforms Ratios'!$A$2:$O$25,7,FALSE)</f>
        <v>17.4192926</v>
      </c>
      <c r="P407" s="59">
        <f>($C407/$D407)*VLOOKUP($E407,'AWS Platforms Ratios'!$A$2:$O$25,8,FALSE)</f>
        <v>47.73906752</v>
      </c>
      <c r="Q407" s="59">
        <f>($C407/$D407)*VLOOKUP($E407,'AWS Platforms Ratios'!$A$2:$O$25,9,FALSE)</f>
        <v>112.8395498</v>
      </c>
      <c r="R407" s="59">
        <f>($C407/$D407)*VLOOKUP($E407,'AWS Platforms Ratios'!$A$2:$O$25,10,FALSE)</f>
        <v>152.7817524</v>
      </c>
      <c r="S407" s="59">
        <f>$F407*VLOOKUP($E407,'AWS Platforms Ratios'!$A$2:$O$25,11,FALSE)</f>
        <v>204.8</v>
      </c>
      <c r="T407" s="59">
        <f>$F407*VLOOKUP($E407,'AWS Platforms Ratios'!$A$2:$O$25,12,FALSE)</f>
        <v>307.2</v>
      </c>
      <c r="U407" s="59">
        <f>$F407*VLOOKUP($E407,'AWS Platforms Ratios'!$A$2:$O$25,13,FALSE)</f>
        <v>409.6</v>
      </c>
      <c r="V407" s="59">
        <f>$F407*VLOOKUP($E407,'AWS Platforms Ratios'!$A$2:$O$25,14,FALSE)</f>
        <v>614.4</v>
      </c>
      <c r="W407" s="60">
        <f>IF($K407&lt;&gt;"N/A",$M407*(VLOOKUP($L407,'GPU Specs &amp; Ratios'!$B$2:$I$8,5,FALSE)),0)</f>
        <v>0</v>
      </c>
      <c r="X407" s="60">
        <f>IF($K407&lt;&gt;"N/A",$M407*(VLOOKUP($L407,'GPU Specs &amp; Ratios'!$B$2:$I$8,6,FALSE)),0)</f>
        <v>0</v>
      </c>
      <c r="Y407" s="60">
        <f>IF($K407&lt;&gt;"N/A",$M407*(VLOOKUP($L407,'GPU Specs &amp; Ratios'!$B$2:$I$8,7,FALSE)),0)</f>
        <v>0</v>
      </c>
      <c r="Z407" s="60">
        <f>IF($K407&lt;&gt;"N/A",$M407*(VLOOKUP($L407,'GPU Specs &amp; Ratios'!$B$2:$I$8,8,FALSE)),0)</f>
        <v>0</v>
      </c>
      <c r="AA407" s="60">
        <f>(C407/D407)*VLOOKUP($E407,'AWS Platforms Ratios'!$A$2:$O$25,15,FALSE)</f>
        <v>30</v>
      </c>
      <c r="AB407" s="60">
        <f t="shared" ref="AB407:AE407" si="407">O407+S407+W407+$AA407</f>
        <v>252.2192926</v>
      </c>
      <c r="AC407" s="60">
        <f t="shared" si="407"/>
        <v>384.9390675</v>
      </c>
      <c r="AD407" s="60">
        <f t="shared" si="407"/>
        <v>552.4395498</v>
      </c>
      <c r="AE407" s="60">
        <f t="shared" si="407"/>
        <v>797.1817524</v>
      </c>
      <c r="AF407" s="60">
        <f>IF(G407&gt;'Scope 3 Ratios'!$B$5,(G407-'Scope 3 Ratios'!$B$5)*('Scope 3 Ratios'!$B$6/'Scope 3 Ratios'!$B$5),0)</f>
        <v>1397.9952</v>
      </c>
      <c r="AG407" s="60">
        <f>J407*IF(I407="SSD",'Scope 3 Ratios'!$B$9,'Scope 3 Ratios'!$B$8)</f>
        <v>200</v>
      </c>
      <c r="AH407" s="60">
        <f>IF(K407&lt;&gt;"N/A",K407*'Scope 3 Ratios'!$B$10,0)</f>
        <v>0</v>
      </c>
      <c r="AI407" s="60">
        <f>(VLOOKUP($E407,'AWS Platforms Ratios'!$A$2:$O$25,3,FALSE)-1)*'Scope 3 Ratios'!$B$7</f>
        <v>0</v>
      </c>
      <c r="AJ407" s="60">
        <f>'Scope 3 Ratios'!$B$2+AF407+AG407+AH407+AI407</f>
        <v>2597.9952</v>
      </c>
      <c r="AK407" s="60">
        <f>AJ407*'Scope 3 Ratios'!$B$4*(C407/D407)</f>
        <v>75.17347222</v>
      </c>
      <c r="AL407" s="65"/>
    </row>
    <row r="408" ht="15.0" customHeight="1">
      <c r="A408" s="63" t="s">
        <v>724</v>
      </c>
      <c r="B408" s="56" t="s">
        <v>708</v>
      </c>
      <c r="C408" s="63">
        <v>64.0</v>
      </c>
      <c r="D408" s="56">
        <f>VLOOKUP(E408,'AWS Platforms Ratios'!$A$2:$B$25,2,FALSE)</f>
        <v>64</v>
      </c>
      <c r="E408" s="63" t="s">
        <v>189</v>
      </c>
      <c r="F408" s="63">
        <v>1024.0</v>
      </c>
      <c r="G408" s="63">
        <v>1024.0</v>
      </c>
      <c r="H408" s="64" t="s">
        <v>723</v>
      </c>
      <c r="I408" s="56" t="s">
        <v>85</v>
      </c>
      <c r="J408" s="56">
        <v>2.0</v>
      </c>
      <c r="K408" s="58" t="s">
        <v>73</v>
      </c>
      <c r="L408" s="58" t="s">
        <v>73</v>
      </c>
      <c r="M408" s="58" t="s">
        <v>73</v>
      </c>
      <c r="N408" s="58" t="s">
        <v>73</v>
      </c>
      <c r="O408" s="59">
        <f>($C408/$D408)*VLOOKUP($E408,'AWS Platforms Ratios'!$A$2:$O$25,7,FALSE)</f>
        <v>17.4192926</v>
      </c>
      <c r="P408" s="59">
        <f>($C408/$D408)*VLOOKUP($E408,'AWS Platforms Ratios'!$A$2:$O$25,8,FALSE)</f>
        <v>47.73906752</v>
      </c>
      <c r="Q408" s="59">
        <f>($C408/$D408)*VLOOKUP($E408,'AWS Platforms Ratios'!$A$2:$O$25,9,FALSE)</f>
        <v>112.8395498</v>
      </c>
      <c r="R408" s="59">
        <f>($C408/$D408)*VLOOKUP($E408,'AWS Platforms Ratios'!$A$2:$O$25,10,FALSE)</f>
        <v>152.7817524</v>
      </c>
      <c r="S408" s="59">
        <f>$F408*VLOOKUP($E408,'AWS Platforms Ratios'!$A$2:$O$25,11,FALSE)</f>
        <v>204.8</v>
      </c>
      <c r="T408" s="59">
        <f>$F408*VLOOKUP($E408,'AWS Platforms Ratios'!$A$2:$O$25,12,FALSE)</f>
        <v>307.2</v>
      </c>
      <c r="U408" s="59">
        <f>$F408*VLOOKUP($E408,'AWS Platforms Ratios'!$A$2:$O$25,13,FALSE)</f>
        <v>409.6</v>
      </c>
      <c r="V408" s="59">
        <f>$F408*VLOOKUP($E408,'AWS Platforms Ratios'!$A$2:$O$25,14,FALSE)</f>
        <v>614.4</v>
      </c>
      <c r="W408" s="60">
        <f>IF($K408&lt;&gt;"N/A",$M408*(VLOOKUP($L408,'GPU Specs &amp; Ratios'!$B$2:$I$8,5,FALSE)),0)</f>
        <v>0</v>
      </c>
      <c r="X408" s="60">
        <f>IF($K408&lt;&gt;"N/A",$M408*(VLOOKUP($L408,'GPU Specs &amp; Ratios'!$B$2:$I$8,6,FALSE)),0)</f>
        <v>0</v>
      </c>
      <c r="Y408" s="60">
        <f>IF($K408&lt;&gt;"N/A",$M408*(VLOOKUP($L408,'GPU Specs &amp; Ratios'!$B$2:$I$8,7,FALSE)),0)</f>
        <v>0</v>
      </c>
      <c r="Z408" s="60">
        <f>IF($K408&lt;&gt;"N/A",$M408*(VLOOKUP($L408,'GPU Specs &amp; Ratios'!$B$2:$I$8,8,FALSE)),0)</f>
        <v>0</v>
      </c>
      <c r="AA408" s="60">
        <f>(C408/D408)*VLOOKUP($E408,'AWS Platforms Ratios'!$A$2:$O$25,15,FALSE)</f>
        <v>30</v>
      </c>
      <c r="AB408" s="60">
        <f t="shared" ref="AB408:AE408" si="408">O408+S408+W408+$AA408</f>
        <v>252.2192926</v>
      </c>
      <c r="AC408" s="60">
        <f t="shared" si="408"/>
        <v>384.9390675</v>
      </c>
      <c r="AD408" s="60">
        <f t="shared" si="408"/>
        <v>552.4395498</v>
      </c>
      <c r="AE408" s="60">
        <f t="shared" si="408"/>
        <v>797.1817524</v>
      </c>
      <c r="AF408" s="60">
        <f>IF(G408&gt;'Scope 3 Ratios'!$B$5,(G408-'Scope 3 Ratios'!$B$5)*('Scope 3 Ratios'!$B$6/'Scope 3 Ratios'!$B$5),0)</f>
        <v>1397.9952</v>
      </c>
      <c r="AG408" s="60">
        <f>J408*IF(I408="SSD",'Scope 3 Ratios'!$B$9,'Scope 3 Ratios'!$B$8)</f>
        <v>200</v>
      </c>
      <c r="AH408" s="60">
        <f>IF(K408&lt;&gt;"N/A",K408*'Scope 3 Ratios'!$B$10,0)</f>
        <v>0</v>
      </c>
      <c r="AI408" s="60">
        <f>(VLOOKUP($E408,'AWS Platforms Ratios'!$A$2:$O$25,3,FALSE)-1)*'Scope 3 Ratios'!$B$7</f>
        <v>0</v>
      </c>
      <c r="AJ408" s="60">
        <f>'Scope 3 Ratios'!$B$2+AF408+AG408+AH408+AI408</f>
        <v>2597.9952</v>
      </c>
      <c r="AK408" s="60">
        <f>AJ408*'Scope 3 Ratios'!$B$4*(C408/D408)</f>
        <v>75.17347222</v>
      </c>
      <c r="AL408" s="65"/>
    </row>
    <row r="409" ht="15.0" customHeight="1">
      <c r="A409" s="56" t="s">
        <v>725</v>
      </c>
      <c r="B409" s="56" t="s">
        <v>556</v>
      </c>
      <c r="C409" s="56">
        <v>2.0</v>
      </c>
      <c r="D409" s="56">
        <f>VLOOKUP(E409,'AWS Platforms Ratios'!$A$2:$B$25,2,FALSE)</f>
        <v>48</v>
      </c>
      <c r="E409" s="57" t="s">
        <v>726</v>
      </c>
      <c r="F409" s="56">
        <v>16.0</v>
      </c>
      <c r="G409" s="56">
        <v>384.0</v>
      </c>
      <c r="H409" s="57" t="s">
        <v>146</v>
      </c>
      <c r="I409" s="56" t="s">
        <v>85</v>
      </c>
      <c r="J409" s="56">
        <v>2.0</v>
      </c>
      <c r="K409" s="58" t="s">
        <v>73</v>
      </c>
      <c r="L409" s="58" t="s">
        <v>73</v>
      </c>
      <c r="M409" s="58" t="s">
        <v>73</v>
      </c>
      <c r="N409" s="58" t="s">
        <v>73</v>
      </c>
      <c r="O409" s="59">
        <f>($C409/$D409)*VLOOKUP($E409,'AWS Platforms Ratios'!$A$2:$O$25,7,FALSE)</f>
        <v>2</v>
      </c>
      <c r="P409" s="59">
        <f>($C409/$D409)*VLOOKUP($E409,'AWS Platforms Ratios'!$A$2:$O$25,8,FALSE)</f>
        <v>6.166666667</v>
      </c>
      <c r="Q409" s="59">
        <f>($C409/$D409)*VLOOKUP($E409,'AWS Platforms Ratios'!$A$2:$O$25,9,FALSE)</f>
        <v>15.04166667</v>
      </c>
      <c r="R409" s="59">
        <f>($C409/$D409)*VLOOKUP($E409,'AWS Platforms Ratios'!$A$2:$O$25,10,FALSE)</f>
        <v>18.375</v>
      </c>
      <c r="S409" s="59">
        <f>$F409*VLOOKUP($E409,'AWS Platforms Ratios'!$A$2:$O$25,11,FALSE)</f>
        <v>2.083333333</v>
      </c>
      <c r="T409" s="59">
        <f>$F409*VLOOKUP($E409,'AWS Platforms Ratios'!$A$2:$O$25,12,FALSE)</f>
        <v>3.833333333</v>
      </c>
      <c r="U409" s="59">
        <f>$F409*VLOOKUP($E409,'AWS Platforms Ratios'!$A$2:$O$25,13,FALSE)</f>
        <v>7.25</v>
      </c>
      <c r="V409" s="59">
        <f>$F409*VLOOKUP($E409,'AWS Platforms Ratios'!$A$2:$O$25,14,FALSE)</f>
        <v>10.66666667</v>
      </c>
      <c r="W409" s="60">
        <f>IF($K409&lt;&gt;"N/A",$M409*(VLOOKUP($L409,'GPU Specs &amp; Ratios'!$B$2:$I$8,5,FALSE)),0)</f>
        <v>0</v>
      </c>
      <c r="X409" s="60">
        <f>IF($K409&lt;&gt;"N/A",$M409*(VLOOKUP($L409,'GPU Specs &amp; Ratios'!$B$2:$I$8,6,FALSE)),0)</f>
        <v>0</v>
      </c>
      <c r="Y409" s="60">
        <f>IF($K409&lt;&gt;"N/A",$M409*(VLOOKUP($L409,'GPU Specs &amp; Ratios'!$B$2:$I$8,7,FALSE)),0)</f>
        <v>0</v>
      </c>
      <c r="Z409" s="60">
        <f>IF($K409&lt;&gt;"N/A",$M409*(VLOOKUP($L409,'GPU Specs &amp; Ratios'!$B$2:$I$8,8,FALSE)),0)</f>
        <v>0</v>
      </c>
      <c r="AA409" s="60">
        <f>(C409/D409)*VLOOKUP($E409,'AWS Platforms Ratios'!$A$2:$O$25,15,FALSE)</f>
        <v>4</v>
      </c>
      <c r="AB409" s="60">
        <f t="shared" ref="AB409:AE409" si="409">O409+S409+W409+$AA409</f>
        <v>8.083333333</v>
      </c>
      <c r="AC409" s="60">
        <f t="shared" si="409"/>
        <v>14</v>
      </c>
      <c r="AD409" s="60">
        <f t="shared" si="409"/>
        <v>26.29166667</v>
      </c>
      <c r="AE409" s="60">
        <f t="shared" si="409"/>
        <v>33.04166667</v>
      </c>
      <c r="AF409" s="60">
        <f>IF(G409&gt;'Scope 3 Ratios'!$B$5,(G409-'Scope 3 Ratios'!$B$5)*('Scope 3 Ratios'!$B$6/'Scope 3 Ratios'!$B$5),0)</f>
        <v>510.3792</v>
      </c>
      <c r="AG409" s="60">
        <f>J409*IF(I409="SSD",'Scope 3 Ratios'!$B$9,'Scope 3 Ratios'!$B$8)</f>
        <v>200</v>
      </c>
      <c r="AH409" s="60">
        <f>IF(K409&lt;&gt;"N/A",K409*'Scope 3 Ratios'!$B$10,0)</f>
        <v>0</v>
      </c>
      <c r="AI409" s="60">
        <f>(VLOOKUP($E409,'AWS Platforms Ratios'!$A$2:$O$25,3,FALSE)-1)*'Scope 3 Ratios'!$B$7</f>
        <v>100</v>
      </c>
      <c r="AJ409" s="60">
        <f>'Scope 3 Ratios'!$B$2+AF409+AG409+AH409+AI409</f>
        <v>1810.3792</v>
      </c>
      <c r="AK409" s="60">
        <f>AJ409*'Scope 3 Ratios'!$B$4*(C409/D409)</f>
        <v>2.182652392</v>
      </c>
      <c r="AL409" s="61" t="s">
        <v>727</v>
      </c>
    </row>
    <row r="410" ht="15.0" customHeight="1">
      <c r="A410" s="56" t="s">
        <v>728</v>
      </c>
      <c r="B410" s="56" t="s">
        <v>556</v>
      </c>
      <c r="C410" s="56">
        <v>4.0</v>
      </c>
      <c r="D410" s="56">
        <f>VLOOKUP(E410,'AWS Platforms Ratios'!$A$2:$B$25,2,FALSE)</f>
        <v>48</v>
      </c>
      <c r="E410" s="57" t="s">
        <v>726</v>
      </c>
      <c r="F410" s="56">
        <v>32.0</v>
      </c>
      <c r="G410" s="56">
        <v>384.0</v>
      </c>
      <c r="H410" s="57" t="s">
        <v>148</v>
      </c>
      <c r="I410" s="56" t="s">
        <v>85</v>
      </c>
      <c r="J410" s="56">
        <v>2.0</v>
      </c>
      <c r="K410" s="58" t="s">
        <v>73</v>
      </c>
      <c r="L410" s="58" t="s">
        <v>73</v>
      </c>
      <c r="M410" s="58" t="s">
        <v>73</v>
      </c>
      <c r="N410" s="58" t="s">
        <v>73</v>
      </c>
      <c r="O410" s="59">
        <f>($C410/$D410)*VLOOKUP($E410,'AWS Platforms Ratios'!$A$2:$O$25,7,FALSE)</f>
        <v>4</v>
      </c>
      <c r="P410" s="59">
        <f>($C410/$D410)*VLOOKUP($E410,'AWS Platforms Ratios'!$A$2:$O$25,8,FALSE)</f>
        <v>12.33333333</v>
      </c>
      <c r="Q410" s="59">
        <f>($C410/$D410)*VLOOKUP($E410,'AWS Platforms Ratios'!$A$2:$O$25,9,FALSE)</f>
        <v>30.08333333</v>
      </c>
      <c r="R410" s="59">
        <f>($C410/$D410)*VLOOKUP($E410,'AWS Platforms Ratios'!$A$2:$O$25,10,FALSE)</f>
        <v>36.75</v>
      </c>
      <c r="S410" s="59">
        <f>$F410*VLOOKUP($E410,'AWS Platforms Ratios'!$A$2:$O$25,11,FALSE)</f>
        <v>4.166666667</v>
      </c>
      <c r="T410" s="59">
        <f>$F410*VLOOKUP($E410,'AWS Platforms Ratios'!$A$2:$O$25,12,FALSE)</f>
        <v>7.666666667</v>
      </c>
      <c r="U410" s="59">
        <f>$F410*VLOOKUP($E410,'AWS Platforms Ratios'!$A$2:$O$25,13,FALSE)</f>
        <v>14.5</v>
      </c>
      <c r="V410" s="59">
        <f>$F410*VLOOKUP($E410,'AWS Platforms Ratios'!$A$2:$O$25,14,FALSE)</f>
        <v>21.33333333</v>
      </c>
      <c r="W410" s="60">
        <f>IF($K410&lt;&gt;"N/A",$M410*(VLOOKUP($L410,'GPU Specs &amp; Ratios'!$B$2:$I$8,5,FALSE)),0)</f>
        <v>0</v>
      </c>
      <c r="X410" s="60">
        <f>IF($K410&lt;&gt;"N/A",$M410*(VLOOKUP($L410,'GPU Specs &amp; Ratios'!$B$2:$I$8,6,FALSE)),0)</f>
        <v>0</v>
      </c>
      <c r="Y410" s="60">
        <f>IF($K410&lt;&gt;"N/A",$M410*(VLOOKUP($L410,'GPU Specs &amp; Ratios'!$B$2:$I$8,7,FALSE)),0)</f>
        <v>0</v>
      </c>
      <c r="Z410" s="60">
        <f>IF($K410&lt;&gt;"N/A",$M410*(VLOOKUP($L410,'GPU Specs &amp; Ratios'!$B$2:$I$8,8,FALSE)),0)</f>
        <v>0</v>
      </c>
      <c r="AA410" s="60">
        <f>(C410/D410)*VLOOKUP($E410,'AWS Platforms Ratios'!$A$2:$O$25,15,FALSE)</f>
        <v>8</v>
      </c>
      <c r="AB410" s="60">
        <f t="shared" ref="AB410:AE410" si="410">O410+S410+W410+$AA410</f>
        <v>16.16666667</v>
      </c>
      <c r="AC410" s="60">
        <f t="shared" si="410"/>
        <v>28</v>
      </c>
      <c r="AD410" s="60">
        <f t="shared" si="410"/>
        <v>52.58333333</v>
      </c>
      <c r="AE410" s="60">
        <f t="shared" si="410"/>
        <v>66.08333333</v>
      </c>
      <c r="AF410" s="60">
        <f>IF(G410&gt;'Scope 3 Ratios'!$B$5,(G410-'Scope 3 Ratios'!$B$5)*('Scope 3 Ratios'!$B$6/'Scope 3 Ratios'!$B$5),0)</f>
        <v>510.3792</v>
      </c>
      <c r="AG410" s="60">
        <f>J410*IF(I410="SSD",'Scope 3 Ratios'!$B$9,'Scope 3 Ratios'!$B$8)</f>
        <v>200</v>
      </c>
      <c r="AH410" s="60">
        <f>IF(K410&lt;&gt;"N/A",K410*'Scope 3 Ratios'!$B$10,0)</f>
        <v>0</v>
      </c>
      <c r="AI410" s="60">
        <f>(VLOOKUP($E410,'AWS Platforms Ratios'!$A$2:$O$25,3,FALSE)-1)*'Scope 3 Ratios'!$B$7</f>
        <v>100</v>
      </c>
      <c r="AJ410" s="60">
        <f>'Scope 3 Ratios'!$B$2+AF410+AG410+AH410+AI410</f>
        <v>1810.3792</v>
      </c>
      <c r="AK410" s="60">
        <f>AJ410*'Scope 3 Ratios'!$B$4*(C410/D410)</f>
        <v>4.365304784</v>
      </c>
      <c r="AL410" s="61" t="s">
        <v>727</v>
      </c>
    </row>
    <row r="411" ht="15.0" customHeight="1">
      <c r="A411" s="56" t="s">
        <v>729</v>
      </c>
      <c r="B411" s="56" t="s">
        <v>556</v>
      </c>
      <c r="C411" s="56">
        <v>8.0</v>
      </c>
      <c r="D411" s="56">
        <f>VLOOKUP(E411,'AWS Platforms Ratios'!$A$2:$B$25,2,FALSE)</f>
        <v>48</v>
      </c>
      <c r="E411" s="57" t="s">
        <v>726</v>
      </c>
      <c r="F411" s="56">
        <v>64.0</v>
      </c>
      <c r="G411" s="56">
        <v>384.0</v>
      </c>
      <c r="H411" s="57" t="s">
        <v>150</v>
      </c>
      <c r="I411" s="56" t="s">
        <v>85</v>
      </c>
      <c r="J411" s="56">
        <v>2.0</v>
      </c>
      <c r="K411" s="58" t="s">
        <v>73</v>
      </c>
      <c r="L411" s="58" t="s">
        <v>73</v>
      </c>
      <c r="M411" s="58" t="s">
        <v>73</v>
      </c>
      <c r="N411" s="58" t="s">
        <v>73</v>
      </c>
      <c r="O411" s="59">
        <f>($C411/$D411)*VLOOKUP($E411,'AWS Platforms Ratios'!$A$2:$O$25,7,FALSE)</f>
        <v>8</v>
      </c>
      <c r="P411" s="59">
        <f>($C411/$D411)*VLOOKUP($E411,'AWS Platforms Ratios'!$A$2:$O$25,8,FALSE)</f>
        <v>24.66666667</v>
      </c>
      <c r="Q411" s="59">
        <f>($C411/$D411)*VLOOKUP($E411,'AWS Platforms Ratios'!$A$2:$O$25,9,FALSE)</f>
        <v>60.16666667</v>
      </c>
      <c r="R411" s="59">
        <f>($C411/$D411)*VLOOKUP($E411,'AWS Platforms Ratios'!$A$2:$O$25,10,FALSE)</f>
        <v>73.5</v>
      </c>
      <c r="S411" s="59">
        <f>$F411*VLOOKUP($E411,'AWS Platforms Ratios'!$A$2:$O$25,11,FALSE)</f>
        <v>8.333333333</v>
      </c>
      <c r="T411" s="59">
        <f>$F411*VLOOKUP($E411,'AWS Platforms Ratios'!$A$2:$O$25,12,FALSE)</f>
        <v>15.33333333</v>
      </c>
      <c r="U411" s="59">
        <f>$F411*VLOOKUP($E411,'AWS Platforms Ratios'!$A$2:$O$25,13,FALSE)</f>
        <v>29</v>
      </c>
      <c r="V411" s="59">
        <f>$F411*VLOOKUP($E411,'AWS Platforms Ratios'!$A$2:$O$25,14,FALSE)</f>
        <v>42.66666667</v>
      </c>
      <c r="W411" s="60">
        <f>IF($K411&lt;&gt;"N/A",$M411*(VLOOKUP($L411,'GPU Specs &amp; Ratios'!$B$2:$I$8,5,FALSE)),0)</f>
        <v>0</v>
      </c>
      <c r="X411" s="60">
        <f>IF($K411&lt;&gt;"N/A",$M411*(VLOOKUP($L411,'GPU Specs &amp; Ratios'!$B$2:$I$8,6,FALSE)),0)</f>
        <v>0</v>
      </c>
      <c r="Y411" s="60">
        <f>IF($K411&lt;&gt;"N/A",$M411*(VLOOKUP($L411,'GPU Specs &amp; Ratios'!$B$2:$I$8,7,FALSE)),0)</f>
        <v>0</v>
      </c>
      <c r="Z411" s="60">
        <f>IF($K411&lt;&gt;"N/A",$M411*(VLOOKUP($L411,'GPU Specs &amp; Ratios'!$B$2:$I$8,8,FALSE)),0)</f>
        <v>0</v>
      </c>
      <c r="AA411" s="60">
        <f>(C411/D411)*VLOOKUP($E411,'AWS Platforms Ratios'!$A$2:$O$25,15,FALSE)</f>
        <v>16</v>
      </c>
      <c r="AB411" s="60">
        <f t="shared" ref="AB411:AE411" si="411">O411+S411+W411+$AA411</f>
        <v>32.33333333</v>
      </c>
      <c r="AC411" s="60">
        <f t="shared" si="411"/>
        <v>56</v>
      </c>
      <c r="AD411" s="60">
        <f t="shared" si="411"/>
        <v>105.1666667</v>
      </c>
      <c r="AE411" s="60">
        <f t="shared" si="411"/>
        <v>132.1666667</v>
      </c>
      <c r="AF411" s="60">
        <f>IF(G411&gt;'Scope 3 Ratios'!$B$5,(G411-'Scope 3 Ratios'!$B$5)*('Scope 3 Ratios'!$B$6/'Scope 3 Ratios'!$B$5),0)</f>
        <v>510.3792</v>
      </c>
      <c r="AG411" s="60">
        <f>J411*IF(I411="SSD",'Scope 3 Ratios'!$B$9,'Scope 3 Ratios'!$B$8)</f>
        <v>200</v>
      </c>
      <c r="AH411" s="60">
        <f>IF(K411&lt;&gt;"N/A",K411*'Scope 3 Ratios'!$B$10,0)</f>
        <v>0</v>
      </c>
      <c r="AI411" s="60">
        <f>(VLOOKUP($E411,'AWS Platforms Ratios'!$A$2:$O$25,3,FALSE)-1)*'Scope 3 Ratios'!$B$7</f>
        <v>100</v>
      </c>
      <c r="AJ411" s="60">
        <f>'Scope 3 Ratios'!$B$2+AF411+AG411+AH411+AI411</f>
        <v>1810.3792</v>
      </c>
      <c r="AK411" s="60">
        <f>AJ411*'Scope 3 Ratios'!$B$4*(C411/D411)</f>
        <v>8.730609568</v>
      </c>
      <c r="AL411" s="61" t="s">
        <v>727</v>
      </c>
    </row>
    <row r="412" ht="15.0" customHeight="1">
      <c r="A412" s="56" t="s">
        <v>730</v>
      </c>
      <c r="B412" s="56" t="s">
        <v>556</v>
      </c>
      <c r="C412" s="56">
        <v>12.0</v>
      </c>
      <c r="D412" s="56">
        <f>VLOOKUP(E412,'AWS Platforms Ratios'!$A$2:$B$25,2,FALSE)</f>
        <v>48</v>
      </c>
      <c r="E412" s="57" t="s">
        <v>726</v>
      </c>
      <c r="F412" s="56">
        <v>96.0</v>
      </c>
      <c r="G412" s="56">
        <v>384.0</v>
      </c>
      <c r="H412" s="57" t="s">
        <v>731</v>
      </c>
      <c r="I412" s="56" t="s">
        <v>85</v>
      </c>
      <c r="J412" s="56">
        <v>2.0</v>
      </c>
      <c r="K412" s="58" t="s">
        <v>73</v>
      </c>
      <c r="L412" s="58" t="s">
        <v>73</v>
      </c>
      <c r="M412" s="58" t="s">
        <v>73</v>
      </c>
      <c r="N412" s="58" t="s">
        <v>73</v>
      </c>
      <c r="O412" s="59">
        <f>($C412/$D412)*VLOOKUP($E412,'AWS Platforms Ratios'!$A$2:$O$25,7,FALSE)</f>
        <v>12</v>
      </c>
      <c r="P412" s="59">
        <f>($C412/$D412)*VLOOKUP($E412,'AWS Platforms Ratios'!$A$2:$O$25,8,FALSE)</f>
        <v>37</v>
      </c>
      <c r="Q412" s="59">
        <f>($C412/$D412)*VLOOKUP($E412,'AWS Platforms Ratios'!$A$2:$O$25,9,FALSE)</f>
        <v>90.25</v>
      </c>
      <c r="R412" s="59">
        <f>($C412/$D412)*VLOOKUP($E412,'AWS Platforms Ratios'!$A$2:$O$25,10,FALSE)</f>
        <v>110.25</v>
      </c>
      <c r="S412" s="59">
        <f>$F412*VLOOKUP($E412,'AWS Platforms Ratios'!$A$2:$O$25,11,FALSE)</f>
        <v>12.5</v>
      </c>
      <c r="T412" s="59">
        <f>$F412*VLOOKUP($E412,'AWS Platforms Ratios'!$A$2:$O$25,12,FALSE)</f>
        <v>23</v>
      </c>
      <c r="U412" s="59">
        <f>$F412*VLOOKUP($E412,'AWS Platforms Ratios'!$A$2:$O$25,13,FALSE)</f>
        <v>43.5</v>
      </c>
      <c r="V412" s="59">
        <f>$F412*VLOOKUP($E412,'AWS Platforms Ratios'!$A$2:$O$25,14,FALSE)</f>
        <v>64</v>
      </c>
      <c r="W412" s="60">
        <f>IF($K412&lt;&gt;"N/A",$M412*(VLOOKUP($L412,'GPU Specs &amp; Ratios'!$B$2:$I$8,5,FALSE)),0)</f>
        <v>0</v>
      </c>
      <c r="X412" s="60">
        <f>IF($K412&lt;&gt;"N/A",$M412*(VLOOKUP($L412,'GPU Specs &amp; Ratios'!$B$2:$I$8,6,FALSE)),0)</f>
        <v>0</v>
      </c>
      <c r="Y412" s="60">
        <f>IF($K412&lt;&gt;"N/A",$M412*(VLOOKUP($L412,'GPU Specs &amp; Ratios'!$B$2:$I$8,7,FALSE)),0)</f>
        <v>0</v>
      </c>
      <c r="Z412" s="60">
        <f>IF($K412&lt;&gt;"N/A",$M412*(VLOOKUP($L412,'GPU Specs &amp; Ratios'!$B$2:$I$8,8,FALSE)),0)</f>
        <v>0</v>
      </c>
      <c r="AA412" s="60">
        <f>(C412/D412)*VLOOKUP($E412,'AWS Platforms Ratios'!$A$2:$O$25,15,FALSE)</f>
        <v>24</v>
      </c>
      <c r="AB412" s="60">
        <f t="shared" ref="AB412:AE412" si="412">O412+S412+W412+$AA412</f>
        <v>48.5</v>
      </c>
      <c r="AC412" s="60">
        <f t="shared" si="412"/>
        <v>84</v>
      </c>
      <c r="AD412" s="60">
        <f t="shared" si="412"/>
        <v>157.75</v>
      </c>
      <c r="AE412" s="60">
        <f t="shared" si="412"/>
        <v>198.25</v>
      </c>
      <c r="AF412" s="60">
        <f>IF(G412&gt;'Scope 3 Ratios'!$B$5,(G412-'Scope 3 Ratios'!$B$5)*('Scope 3 Ratios'!$B$6/'Scope 3 Ratios'!$B$5),0)</f>
        <v>510.3792</v>
      </c>
      <c r="AG412" s="60">
        <f>J412*IF(I412="SSD",'Scope 3 Ratios'!$B$9,'Scope 3 Ratios'!$B$8)</f>
        <v>200</v>
      </c>
      <c r="AH412" s="60">
        <f>IF(K412&lt;&gt;"N/A",K412*'Scope 3 Ratios'!$B$10,0)</f>
        <v>0</v>
      </c>
      <c r="AI412" s="60">
        <f>(VLOOKUP($E412,'AWS Platforms Ratios'!$A$2:$O$25,3,FALSE)-1)*'Scope 3 Ratios'!$B$7</f>
        <v>100</v>
      </c>
      <c r="AJ412" s="60">
        <f>'Scope 3 Ratios'!$B$2+AF412+AG412+AH412+AI412</f>
        <v>1810.3792</v>
      </c>
      <c r="AK412" s="60">
        <f>AJ412*'Scope 3 Ratios'!$B$4*(C412/D412)</f>
        <v>13.09591435</v>
      </c>
      <c r="AL412" s="61" t="s">
        <v>727</v>
      </c>
    </row>
    <row r="413" ht="15.0" customHeight="1">
      <c r="A413" s="56" t="s">
        <v>732</v>
      </c>
      <c r="B413" s="56" t="s">
        <v>556</v>
      </c>
      <c r="C413" s="56">
        <v>24.0</v>
      </c>
      <c r="D413" s="56">
        <f>VLOOKUP(E413,'AWS Platforms Ratios'!$A$2:$B$25,2,FALSE)</f>
        <v>48</v>
      </c>
      <c r="E413" s="57" t="s">
        <v>726</v>
      </c>
      <c r="F413" s="56">
        <v>192.0</v>
      </c>
      <c r="G413" s="56">
        <v>384.0</v>
      </c>
      <c r="H413" s="57" t="s">
        <v>172</v>
      </c>
      <c r="I413" s="56" t="s">
        <v>85</v>
      </c>
      <c r="J413" s="56">
        <v>2.0</v>
      </c>
      <c r="K413" s="58" t="s">
        <v>73</v>
      </c>
      <c r="L413" s="58" t="s">
        <v>73</v>
      </c>
      <c r="M413" s="58" t="s">
        <v>73</v>
      </c>
      <c r="N413" s="58" t="s">
        <v>73</v>
      </c>
      <c r="O413" s="59">
        <f>($C413/$D413)*VLOOKUP($E413,'AWS Platforms Ratios'!$A$2:$O$25,7,FALSE)</f>
        <v>24</v>
      </c>
      <c r="P413" s="59">
        <f>($C413/$D413)*VLOOKUP($E413,'AWS Platforms Ratios'!$A$2:$O$25,8,FALSE)</f>
        <v>74</v>
      </c>
      <c r="Q413" s="59">
        <f>($C413/$D413)*VLOOKUP($E413,'AWS Platforms Ratios'!$A$2:$O$25,9,FALSE)</f>
        <v>180.5</v>
      </c>
      <c r="R413" s="59">
        <f>($C413/$D413)*VLOOKUP($E413,'AWS Platforms Ratios'!$A$2:$O$25,10,FALSE)</f>
        <v>220.5</v>
      </c>
      <c r="S413" s="59">
        <f>$F413*VLOOKUP($E413,'AWS Platforms Ratios'!$A$2:$O$25,11,FALSE)</f>
        <v>25</v>
      </c>
      <c r="T413" s="59">
        <f>$F413*VLOOKUP($E413,'AWS Platforms Ratios'!$A$2:$O$25,12,FALSE)</f>
        <v>46</v>
      </c>
      <c r="U413" s="59">
        <f>$F413*VLOOKUP($E413,'AWS Platforms Ratios'!$A$2:$O$25,13,FALSE)</f>
        <v>87</v>
      </c>
      <c r="V413" s="59">
        <f>$F413*VLOOKUP($E413,'AWS Platforms Ratios'!$A$2:$O$25,14,FALSE)</f>
        <v>128</v>
      </c>
      <c r="W413" s="60">
        <f>IF($K413&lt;&gt;"N/A",$M413*(VLOOKUP($L413,'GPU Specs &amp; Ratios'!$B$2:$I$8,5,FALSE)),0)</f>
        <v>0</v>
      </c>
      <c r="X413" s="60">
        <f>IF($K413&lt;&gt;"N/A",$M413*(VLOOKUP($L413,'GPU Specs &amp; Ratios'!$B$2:$I$8,6,FALSE)),0)</f>
        <v>0</v>
      </c>
      <c r="Y413" s="60">
        <f>IF($K413&lt;&gt;"N/A",$M413*(VLOOKUP($L413,'GPU Specs &amp; Ratios'!$B$2:$I$8,7,FALSE)),0)</f>
        <v>0</v>
      </c>
      <c r="Z413" s="60">
        <f>IF($K413&lt;&gt;"N/A",$M413*(VLOOKUP($L413,'GPU Specs &amp; Ratios'!$B$2:$I$8,8,FALSE)),0)</f>
        <v>0</v>
      </c>
      <c r="AA413" s="60">
        <f>(C413/D413)*VLOOKUP($E413,'AWS Platforms Ratios'!$A$2:$O$25,15,FALSE)</f>
        <v>48</v>
      </c>
      <c r="AB413" s="60">
        <f t="shared" ref="AB413:AE413" si="413">O413+S413+W413+$AA413</f>
        <v>97</v>
      </c>
      <c r="AC413" s="60">
        <f t="shared" si="413"/>
        <v>168</v>
      </c>
      <c r="AD413" s="60">
        <f t="shared" si="413"/>
        <v>315.5</v>
      </c>
      <c r="AE413" s="60">
        <f t="shared" si="413"/>
        <v>396.5</v>
      </c>
      <c r="AF413" s="60">
        <f>IF(G413&gt;'Scope 3 Ratios'!$B$5,(G413-'Scope 3 Ratios'!$B$5)*('Scope 3 Ratios'!$B$6/'Scope 3 Ratios'!$B$5),0)</f>
        <v>510.3792</v>
      </c>
      <c r="AG413" s="60">
        <f>J413*IF(I413="SSD",'Scope 3 Ratios'!$B$9,'Scope 3 Ratios'!$B$8)</f>
        <v>200</v>
      </c>
      <c r="AH413" s="60">
        <f>IF(K413&lt;&gt;"N/A",K413*'Scope 3 Ratios'!$B$10,0)</f>
        <v>0</v>
      </c>
      <c r="AI413" s="60">
        <f>(VLOOKUP($E413,'AWS Platforms Ratios'!$A$2:$O$25,3,FALSE)-1)*'Scope 3 Ratios'!$B$7</f>
        <v>100</v>
      </c>
      <c r="AJ413" s="60">
        <f>'Scope 3 Ratios'!$B$2+AF413+AG413+AH413+AI413</f>
        <v>1810.3792</v>
      </c>
      <c r="AK413" s="60">
        <f>AJ413*'Scope 3 Ratios'!$B$4*(C413/D413)</f>
        <v>26.1918287</v>
      </c>
      <c r="AL413" s="61" t="s">
        <v>727</v>
      </c>
    </row>
    <row r="414" ht="15.0" customHeight="1">
      <c r="A414" s="56" t="s">
        <v>733</v>
      </c>
      <c r="B414" s="56" t="s">
        <v>556</v>
      </c>
      <c r="C414" s="56">
        <v>48.0</v>
      </c>
      <c r="D414" s="56">
        <f>VLOOKUP(E414,'AWS Platforms Ratios'!$A$2:$B$25,2,FALSE)</f>
        <v>48</v>
      </c>
      <c r="E414" s="57" t="s">
        <v>726</v>
      </c>
      <c r="F414" s="56">
        <v>384.0</v>
      </c>
      <c r="G414" s="56">
        <v>384.0</v>
      </c>
      <c r="H414" s="57" t="s">
        <v>156</v>
      </c>
      <c r="I414" s="56" t="s">
        <v>85</v>
      </c>
      <c r="J414" s="56">
        <v>2.0</v>
      </c>
      <c r="K414" s="58" t="s">
        <v>73</v>
      </c>
      <c r="L414" s="58" t="s">
        <v>73</v>
      </c>
      <c r="M414" s="58" t="s">
        <v>73</v>
      </c>
      <c r="N414" s="58" t="s">
        <v>73</v>
      </c>
      <c r="O414" s="59">
        <f>($C414/$D414)*VLOOKUP($E414,'AWS Platforms Ratios'!$A$2:$O$25,7,FALSE)</f>
        <v>48</v>
      </c>
      <c r="P414" s="59">
        <f>($C414/$D414)*VLOOKUP($E414,'AWS Platforms Ratios'!$A$2:$O$25,8,FALSE)</f>
        <v>148</v>
      </c>
      <c r="Q414" s="59">
        <f>($C414/$D414)*VLOOKUP($E414,'AWS Platforms Ratios'!$A$2:$O$25,9,FALSE)</f>
        <v>361</v>
      </c>
      <c r="R414" s="59">
        <f>($C414/$D414)*VLOOKUP($E414,'AWS Platforms Ratios'!$A$2:$O$25,10,FALSE)</f>
        <v>441</v>
      </c>
      <c r="S414" s="59">
        <f>$F414*VLOOKUP($E414,'AWS Platforms Ratios'!$A$2:$O$25,11,FALSE)</f>
        <v>50</v>
      </c>
      <c r="T414" s="59">
        <f>$F414*VLOOKUP($E414,'AWS Platforms Ratios'!$A$2:$O$25,12,FALSE)</f>
        <v>92</v>
      </c>
      <c r="U414" s="59">
        <f>$F414*VLOOKUP($E414,'AWS Platforms Ratios'!$A$2:$O$25,13,FALSE)</f>
        <v>174</v>
      </c>
      <c r="V414" s="59">
        <f>$F414*VLOOKUP($E414,'AWS Platforms Ratios'!$A$2:$O$25,14,FALSE)</f>
        <v>256</v>
      </c>
      <c r="W414" s="60">
        <f>IF($K414&lt;&gt;"N/A",$M414*(VLOOKUP($L414,'GPU Specs &amp; Ratios'!$B$2:$I$8,5,FALSE)),0)</f>
        <v>0</v>
      </c>
      <c r="X414" s="60">
        <f>IF($K414&lt;&gt;"N/A",$M414*(VLOOKUP($L414,'GPU Specs &amp; Ratios'!$B$2:$I$8,6,FALSE)),0)</f>
        <v>0</v>
      </c>
      <c r="Y414" s="60">
        <f>IF($K414&lt;&gt;"N/A",$M414*(VLOOKUP($L414,'GPU Specs &amp; Ratios'!$B$2:$I$8,7,FALSE)),0)</f>
        <v>0</v>
      </c>
      <c r="Z414" s="60">
        <f>IF($K414&lt;&gt;"N/A",$M414*(VLOOKUP($L414,'GPU Specs &amp; Ratios'!$B$2:$I$8,8,FALSE)),0)</f>
        <v>0</v>
      </c>
      <c r="AA414" s="60">
        <f>(C414/D414)*VLOOKUP($E414,'AWS Platforms Ratios'!$A$2:$O$25,15,FALSE)</f>
        <v>96</v>
      </c>
      <c r="AB414" s="60">
        <f t="shared" ref="AB414:AE414" si="414">O414+S414+W414+$AA414</f>
        <v>194</v>
      </c>
      <c r="AC414" s="60">
        <f t="shared" si="414"/>
        <v>336</v>
      </c>
      <c r="AD414" s="60">
        <f t="shared" si="414"/>
        <v>631</v>
      </c>
      <c r="AE414" s="60">
        <f t="shared" si="414"/>
        <v>793</v>
      </c>
      <c r="AF414" s="60">
        <f>IF(G414&gt;'Scope 3 Ratios'!$B$5,(G414-'Scope 3 Ratios'!$B$5)*('Scope 3 Ratios'!$B$6/'Scope 3 Ratios'!$B$5),0)</f>
        <v>510.3792</v>
      </c>
      <c r="AG414" s="60">
        <f>J414*IF(I414="SSD",'Scope 3 Ratios'!$B$9,'Scope 3 Ratios'!$B$8)</f>
        <v>200</v>
      </c>
      <c r="AH414" s="60">
        <f>IF(K414&lt;&gt;"N/A",K414*'Scope 3 Ratios'!$B$10,0)</f>
        <v>0</v>
      </c>
      <c r="AI414" s="60">
        <f>(VLOOKUP($E414,'AWS Platforms Ratios'!$A$2:$O$25,3,FALSE)-1)*'Scope 3 Ratios'!$B$7</f>
        <v>100</v>
      </c>
      <c r="AJ414" s="60">
        <f>'Scope 3 Ratios'!$B$2+AF414+AG414+AH414+AI414</f>
        <v>1810.3792</v>
      </c>
      <c r="AK414" s="60">
        <f>AJ414*'Scope 3 Ratios'!$B$4*(C414/D414)</f>
        <v>52.38365741</v>
      </c>
      <c r="AL414" s="61" t="s">
        <v>727</v>
      </c>
    </row>
    <row r="415" ht="15.0" customHeight="1">
      <c r="A415" s="56" t="s">
        <v>734</v>
      </c>
      <c r="B415" s="56" t="s">
        <v>556</v>
      </c>
      <c r="C415" s="56">
        <v>48.0</v>
      </c>
      <c r="D415" s="56">
        <f>VLOOKUP(E415,'AWS Platforms Ratios'!$A$2:$B$25,2,FALSE)</f>
        <v>48</v>
      </c>
      <c r="E415" s="57" t="s">
        <v>726</v>
      </c>
      <c r="F415" s="56">
        <v>384.0</v>
      </c>
      <c r="G415" s="56">
        <v>384.0</v>
      </c>
      <c r="H415" s="57" t="s">
        <v>156</v>
      </c>
      <c r="I415" s="56" t="s">
        <v>85</v>
      </c>
      <c r="J415" s="56">
        <v>2.0</v>
      </c>
      <c r="K415" s="58" t="s">
        <v>73</v>
      </c>
      <c r="L415" s="58" t="s">
        <v>73</v>
      </c>
      <c r="M415" s="58" t="s">
        <v>73</v>
      </c>
      <c r="N415" s="58" t="s">
        <v>73</v>
      </c>
      <c r="O415" s="59">
        <f>($C415/$D415)*VLOOKUP($E415,'AWS Platforms Ratios'!$A$2:$O$25,7,FALSE)</f>
        <v>48</v>
      </c>
      <c r="P415" s="59">
        <f>($C415/$D415)*VLOOKUP($E415,'AWS Platforms Ratios'!$A$2:$O$25,8,FALSE)</f>
        <v>148</v>
      </c>
      <c r="Q415" s="59">
        <f>($C415/$D415)*VLOOKUP($E415,'AWS Platforms Ratios'!$A$2:$O$25,9,FALSE)</f>
        <v>361</v>
      </c>
      <c r="R415" s="59">
        <f>($C415/$D415)*VLOOKUP($E415,'AWS Platforms Ratios'!$A$2:$O$25,10,FALSE)</f>
        <v>441</v>
      </c>
      <c r="S415" s="59">
        <f>$F415*VLOOKUP($E415,'AWS Platforms Ratios'!$A$2:$O$25,11,FALSE)</f>
        <v>50</v>
      </c>
      <c r="T415" s="59">
        <f>$F415*VLOOKUP($E415,'AWS Platforms Ratios'!$A$2:$O$25,12,FALSE)</f>
        <v>92</v>
      </c>
      <c r="U415" s="59">
        <f>$F415*VLOOKUP($E415,'AWS Platforms Ratios'!$A$2:$O$25,13,FALSE)</f>
        <v>174</v>
      </c>
      <c r="V415" s="59">
        <f>$F415*VLOOKUP($E415,'AWS Platforms Ratios'!$A$2:$O$25,14,FALSE)</f>
        <v>256</v>
      </c>
      <c r="W415" s="60">
        <f>IF($K415&lt;&gt;"N/A",$M415*(VLOOKUP($L415,'GPU Specs &amp; Ratios'!$B$2:$I$8,5,FALSE)),0)</f>
        <v>0</v>
      </c>
      <c r="X415" s="60">
        <f>IF($K415&lt;&gt;"N/A",$M415*(VLOOKUP($L415,'GPU Specs &amp; Ratios'!$B$2:$I$8,6,FALSE)),0)</f>
        <v>0</v>
      </c>
      <c r="Y415" s="60">
        <f>IF($K415&lt;&gt;"N/A",$M415*(VLOOKUP($L415,'GPU Specs &amp; Ratios'!$B$2:$I$8,7,FALSE)),0)</f>
        <v>0</v>
      </c>
      <c r="Z415" s="60">
        <f>IF($K415&lt;&gt;"N/A",$M415*(VLOOKUP($L415,'GPU Specs &amp; Ratios'!$B$2:$I$8,8,FALSE)),0)</f>
        <v>0</v>
      </c>
      <c r="AA415" s="60">
        <f>(C415/D415)*VLOOKUP($E415,'AWS Platforms Ratios'!$A$2:$O$25,15,FALSE)</f>
        <v>96</v>
      </c>
      <c r="AB415" s="60">
        <f t="shared" ref="AB415:AE415" si="415">O415+S415+W415+$AA415</f>
        <v>194</v>
      </c>
      <c r="AC415" s="60">
        <f t="shared" si="415"/>
        <v>336</v>
      </c>
      <c r="AD415" s="60">
        <f t="shared" si="415"/>
        <v>631</v>
      </c>
      <c r="AE415" s="60">
        <f t="shared" si="415"/>
        <v>793</v>
      </c>
      <c r="AF415" s="60">
        <f>IF(G415&gt;'Scope 3 Ratios'!$B$5,(G415-'Scope 3 Ratios'!$B$5)*('Scope 3 Ratios'!$B$6/'Scope 3 Ratios'!$B$5),0)</f>
        <v>510.3792</v>
      </c>
      <c r="AG415" s="60">
        <f>J415*IF(I415="SSD",'Scope 3 Ratios'!$B$9,'Scope 3 Ratios'!$B$8)</f>
        <v>200</v>
      </c>
      <c r="AH415" s="60">
        <f>IF(K415&lt;&gt;"N/A",K415*'Scope 3 Ratios'!$B$10,0)</f>
        <v>0</v>
      </c>
      <c r="AI415" s="60">
        <f>(VLOOKUP($E415,'AWS Platforms Ratios'!$A$2:$O$25,3,FALSE)-1)*'Scope 3 Ratios'!$B$7</f>
        <v>100</v>
      </c>
      <c r="AJ415" s="60">
        <f>'Scope 3 Ratios'!$B$2+AF415+AG415+AH415+AI415</f>
        <v>1810.3792</v>
      </c>
      <c r="AK415" s="60">
        <f>AJ415*'Scope 3 Ratios'!$B$4*(C415/D415)</f>
        <v>52.38365741</v>
      </c>
      <c r="AL415" s="61" t="s">
        <v>727</v>
      </c>
    </row>
    <row r="416" ht="15.0" customHeight="1">
      <c r="A416" s="56" t="s">
        <v>735</v>
      </c>
      <c r="B416" s="56" t="s">
        <v>643</v>
      </c>
      <c r="C416" s="56">
        <v>1.0</v>
      </c>
      <c r="D416" s="56">
        <f>VLOOKUP(E416,'AWS Platforms Ratios'!$A$2:$B$25,2,FALSE)</f>
        <v>48</v>
      </c>
      <c r="E416" s="57" t="s">
        <v>225</v>
      </c>
      <c r="F416" s="56">
        <v>0.555</v>
      </c>
      <c r="G416" s="56">
        <v>288.0</v>
      </c>
      <c r="H416" s="57" t="s">
        <v>71</v>
      </c>
      <c r="I416" s="56" t="s">
        <v>72</v>
      </c>
      <c r="J416" s="56">
        <v>0.0</v>
      </c>
      <c r="K416" s="58" t="s">
        <v>73</v>
      </c>
      <c r="L416" s="58" t="s">
        <v>73</v>
      </c>
      <c r="M416" s="58" t="s">
        <v>73</v>
      </c>
      <c r="N416" s="58" t="s">
        <v>73</v>
      </c>
      <c r="O416" s="59">
        <f>($C416/$D416)*VLOOKUP($E416,'AWS Platforms Ratios'!$A$2:$O$25,7,FALSE)</f>
        <v>0.6031034483</v>
      </c>
      <c r="P416" s="59">
        <f>($C416/$D416)*VLOOKUP($E416,'AWS Platforms Ratios'!$A$2:$O$25,8,FALSE)</f>
        <v>1.721724138</v>
      </c>
      <c r="Q416" s="59">
        <f>($C416/$D416)*VLOOKUP($E416,'AWS Platforms Ratios'!$A$2:$O$25,9,FALSE)</f>
        <v>3.541206897</v>
      </c>
      <c r="R416" s="59">
        <f>($C416/$D416)*VLOOKUP($E416,'AWS Platforms Ratios'!$A$2:$O$25,10,FALSE)</f>
        <v>4.847112069</v>
      </c>
      <c r="S416" s="59">
        <f>$F416*VLOOKUP($E416,'AWS Platforms Ratios'!$A$2:$O$25,11,FALSE)</f>
        <v>0.111</v>
      </c>
      <c r="T416" s="59">
        <f>$F416*VLOOKUP($E416,'AWS Platforms Ratios'!$A$2:$O$25,12,FALSE)</f>
        <v>0.1665</v>
      </c>
      <c r="U416" s="59">
        <f>$F416*VLOOKUP($E416,'AWS Platforms Ratios'!$A$2:$O$25,13,FALSE)</f>
        <v>0.222</v>
      </c>
      <c r="V416" s="59">
        <f>$F416*VLOOKUP($E416,'AWS Platforms Ratios'!$A$2:$O$25,14,FALSE)</f>
        <v>0.333</v>
      </c>
      <c r="W416" s="60">
        <f>IF($K416&lt;&gt;"N/A",$M416*(VLOOKUP($L416,'GPU Specs &amp; Ratios'!$B$2:$I$8,5,FALSE)),0)</f>
        <v>0</v>
      </c>
      <c r="X416" s="60">
        <f>IF($K416&lt;&gt;"N/A",$M416*(VLOOKUP($L416,'GPU Specs &amp; Ratios'!$B$2:$I$8,6,FALSE)),0)</f>
        <v>0</v>
      </c>
      <c r="Y416" s="60">
        <f>IF($K416&lt;&gt;"N/A",$M416*(VLOOKUP($L416,'GPU Specs &amp; Ratios'!$B$2:$I$8,7,FALSE)),0)</f>
        <v>0</v>
      </c>
      <c r="Z416" s="60">
        <f>IF($K416&lt;&gt;"N/A",$M416*(VLOOKUP($L416,'GPU Specs &amp; Ratios'!$B$2:$I$8,8,FALSE)),0)</f>
        <v>0</v>
      </c>
      <c r="AA416" s="60">
        <f>(C416/D416)*VLOOKUP($E416,'AWS Platforms Ratios'!$A$2:$O$25,15,FALSE)</f>
        <v>1</v>
      </c>
      <c r="AB416" s="60">
        <f t="shared" ref="AB416:AE416" si="416">O416+S416+W416+$AA416</f>
        <v>1.714103448</v>
      </c>
      <c r="AC416" s="60">
        <f t="shared" si="416"/>
        <v>2.888224138</v>
      </c>
      <c r="AD416" s="60">
        <f t="shared" si="416"/>
        <v>4.763206897</v>
      </c>
      <c r="AE416" s="60">
        <f t="shared" si="416"/>
        <v>6.180112069</v>
      </c>
      <c r="AF416" s="60">
        <f>IF(G416&gt;'Scope 3 Ratios'!$B$5,(G416-'Scope 3 Ratios'!$B$5)*('Scope 3 Ratios'!$B$6/'Scope 3 Ratios'!$B$5),0)</f>
        <v>377.2368</v>
      </c>
      <c r="AG416" s="60">
        <f>J416*IF(I416="SSD",'Scope 3 Ratios'!$B$9,'Scope 3 Ratios'!$B$8)</f>
        <v>0</v>
      </c>
      <c r="AH416" s="60">
        <f>IF(K416&lt;&gt;"N/A",K416*'Scope 3 Ratios'!$B$10,0)</f>
        <v>0</v>
      </c>
      <c r="AI416" s="60">
        <f>(VLOOKUP($E416,'AWS Platforms Ratios'!$A$2:$O$25,3,FALSE)-1)*'Scope 3 Ratios'!$B$7</f>
        <v>100</v>
      </c>
      <c r="AJ416" s="60">
        <f>'Scope 3 Ratios'!$B$2+AF416+AG416+AH416+AI416</f>
        <v>1477.2368</v>
      </c>
      <c r="AK416" s="60">
        <f>AJ416*'Scope 3 Ratios'!$B$4*(C416/D416)</f>
        <v>0.8905025077</v>
      </c>
      <c r="AL416" s="61" t="s">
        <v>641</v>
      </c>
    </row>
    <row r="417" ht="15.0" customHeight="1">
      <c r="A417" s="56" t="s">
        <v>736</v>
      </c>
      <c r="B417" s="56" t="s">
        <v>643</v>
      </c>
      <c r="C417" s="56">
        <v>1.0</v>
      </c>
      <c r="D417" s="56">
        <f>VLOOKUP(E417,'AWS Platforms Ratios'!$A$2:$B$25,2,FALSE)</f>
        <v>48</v>
      </c>
      <c r="E417" s="57" t="s">
        <v>225</v>
      </c>
      <c r="F417" s="56">
        <v>1.55</v>
      </c>
      <c r="G417" s="56">
        <v>288.0</v>
      </c>
      <c r="H417" s="57" t="s">
        <v>71</v>
      </c>
      <c r="I417" s="56" t="s">
        <v>72</v>
      </c>
      <c r="J417" s="56">
        <v>0.0</v>
      </c>
      <c r="K417" s="58" t="s">
        <v>73</v>
      </c>
      <c r="L417" s="58" t="s">
        <v>73</v>
      </c>
      <c r="M417" s="58" t="s">
        <v>73</v>
      </c>
      <c r="N417" s="58" t="s">
        <v>73</v>
      </c>
      <c r="O417" s="59">
        <f>($C417/$D417)*VLOOKUP($E417,'AWS Platforms Ratios'!$A$2:$O$25,7,FALSE)</f>
        <v>0.6031034483</v>
      </c>
      <c r="P417" s="59">
        <f>($C417/$D417)*VLOOKUP($E417,'AWS Platforms Ratios'!$A$2:$O$25,8,FALSE)</f>
        <v>1.721724138</v>
      </c>
      <c r="Q417" s="59">
        <f>($C417/$D417)*VLOOKUP($E417,'AWS Platforms Ratios'!$A$2:$O$25,9,FALSE)</f>
        <v>3.541206897</v>
      </c>
      <c r="R417" s="59">
        <f>($C417/$D417)*VLOOKUP($E417,'AWS Platforms Ratios'!$A$2:$O$25,10,FALSE)</f>
        <v>4.847112069</v>
      </c>
      <c r="S417" s="59">
        <f>$F417*VLOOKUP($E417,'AWS Platforms Ratios'!$A$2:$O$25,11,FALSE)</f>
        <v>0.31</v>
      </c>
      <c r="T417" s="59">
        <f>$F417*VLOOKUP($E417,'AWS Platforms Ratios'!$A$2:$O$25,12,FALSE)</f>
        <v>0.465</v>
      </c>
      <c r="U417" s="59">
        <f>$F417*VLOOKUP($E417,'AWS Platforms Ratios'!$A$2:$O$25,13,FALSE)</f>
        <v>0.62</v>
      </c>
      <c r="V417" s="59">
        <f>$F417*VLOOKUP($E417,'AWS Platforms Ratios'!$A$2:$O$25,14,FALSE)</f>
        <v>0.93</v>
      </c>
      <c r="W417" s="60">
        <f>IF($K417&lt;&gt;"N/A",$M417*(VLOOKUP($L417,'GPU Specs &amp; Ratios'!$B$2:$I$8,5,FALSE)),0)</f>
        <v>0</v>
      </c>
      <c r="X417" s="60">
        <f>IF($K417&lt;&gt;"N/A",$M417*(VLOOKUP($L417,'GPU Specs &amp; Ratios'!$B$2:$I$8,6,FALSE)),0)</f>
        <v>0</v>
      </c>
      <c r="Y417" s="60">
        <f>IF($K417&lt;&gt;"N/A",$M417*(VLOOKUP($L417,'GPU Specs &amp; Ratios'!$B$2:$I$8,7,FALSE)),0)</f>
        <v>0</v>
      </c>
      <c r="Z417" s="60">
        <f>IF($K417&lt;&gt;"N/A",$M417*(VLOOKUP($L417,'GPU Specs &amp; Ratios'!$B$2:$I$8,8,FALSE)),0)</f>
        <v>0</v>
      </c>
      <c r="AA417" s="60">
        <f>(C417/D417)*VLOOKUP($E417,'AWS Platforms Ratios'!$A$2:$O$25,15,FALSE)</f>
        <v>1</v>
      </c>
      <c r="AB417" s="60">
        <f t="shared" ref="AB417:AE417" si="417">O417+S417+W417+$AA417</f>
        <v>1.913103448</v>
      </c>
      <c r="AC417" s="60">
        <f t="shared" si="417"/>
        <v>3.186724138</v>
      </c>
      <c r="AD417" s="60">
        <f t="shared" si="417"/>
        <v>5.161206897</v>
      </c>
      <c r="AE417" s="60">
        <f t="shared" si="417"/>
        <v>6.777112069</v>
      </c>
      <c r="AF417" s="60">
        <f>IF(G417&gt;'Scope 3 Ratios'!$B$5,(G417-'Scope 3 Ratios'!$B$5)*('Scope 3 Ratios'!$B$6/'Scope 3 Ratios'!$B$5),0)</f>
        <v>377.2368</v>
      </c>
      <c r="AG417" s="60">
        <f>J417*IF(I417="SSD",'Scope 3 Ratios'!$B$9,'Scope 3 Ratios'!$B$8)</f>
        <v>0</v>
      </c>
      <c r="AH417" s="60">
        <f>IF(K417&lt;&gt;"N/A",K417*'Scope 3 Ratios'!$B$10,0)</f>
        <v>0</v>
      </c>
      <c r="AI417" s="60">
        <f>(VLOOKUP($E417,'AWS Platforms Ratios'!$A$2:$O$25,3,FALSE)-1)*'Scope 3 Ratios'!$B$7</f>
        <v>100</v>
      </c>
      <c r="AJ417" s="60">
        <f>'Scope 3 Ratios'!$B$2+AF417+AG417+AH417+AI417</f>
        <v>1477.2368</v>
      </c>
      <c r="AK417" s="60">
        <f>AJ417*'Scope 3 Ratios'!$B$4*(C417/D417)</f>
        <v>0.8905025077</v>
      </c>
      <c r="AL417" s="61" t="s">
        <v>641</v>
      </c>
    </row>
    <row r="418" ht="15.0" customHeight="1">
      <c r="A418" s="56" t="s">
        <v>737</v>
      </c>
      <c r="B418" s="56" t="s">
        <v>643</v>
      </c>
      <c r="C418" s="56">
        <v>2.0</v>
      </c>
      <c r="D418" s="56">
        <f>VLOOKUP(E418,'AWS Platforms Ratios'!$A$2:$B$25,2,FALSE)</f>
        <v>48</v>
      </c>
      <c r="E418" s="57" t="s">
        <v>225</v>
      </c>
      <c r="F418" s="56">
        <v>3.22</v>
      </c>
      <c r="G418" s="56">
        <v>288.0</v>
      </c>
      <c r="H418" s="57" t="s">
        <v>71</v>
      </c>
      <c r="I418" s="56" t="s">
        <v>72</v>
      </c>
      <c r="J418" s="56">
        <v>0.0</v>
      </c>
      <c r="K418" s="58" t="s">
        <v>73</v>
      </c>
      <c r="L418" s="58" t="s">
        <v>73</v>
      </c>
      <c r="M418" s="58" t="s">
        <v>73</v>
      </c>
      <c r="N418" s="58" t="s">
        <v>73</v>
      </c>
      <c r="O418" s="59">
        <f>($C418/$D418)*VLOOKUP($E418,'AWS Platforms Ratios'!$A$2:$O$25,7,FALSE)</f>
        <v>1.206206897</v>
      </c>
      <c r="P418" s="59">
        <f>($C418/$D418)*VLOOKUP($E418,'AWS Platforms Ratios'!$A$2:$O$25,8,FALSE)</f>
        <v>3.443448276</v>
      </c>
      <c r="Q418" s="59">
        <f>($C418/$D418)*VLOOKUP($E418,'AWS Platforms Ratios'!$A$2:$O$25,9,FALSE)</f>
        <v>7.082413793</v>
      </c>
      <c r="R418" s="59">
        <f>($C418/$D418)*VLOOKUP($E418,'AWS Platforms Ratios'!$A$2:$O$25,10,FALSE)</f>
        <v>9.694224138</v>
      </c>
      <c r="S418" s="59">
        <f>$F418*VLOOKUP($E418,'AWS Platforms Ratios'!$A$2:$O$25,11,FALSE)</f>
        <v>0.644</v>
      </c>
      <c r="T418" s="59">
        <f>$F418*VLOOKUP($E418,'AWS Platforms Ratios'!$A$2:$O$25,12,FALSE)</f>
        <v>0.966</v>
      </c>
      <c r="U418" s="59">
        <f>$F418*VLOOKUP($E418,'AWS Platforms Ratios'!$A$2:$O$25,13,FALSE)</f>
        <v>1.288</v>
      </c>
      <c r="V418" s="59">
        <f>$F418*VLOOKUP($E418,'AWS Platforms Ratios'!$A$2:$O$25,14,FALSE)</f>
        <v>1.932</v>
      </c>
      <c r="W418" s="60">
        <f>IF($K418&lt;&gt;"N/A",$M418*(VLOOKUP($L418,'GPU Specs &amp; Ratios'!$B$2:$I$8,5,FALSE)),0)</f>
        <v>0</v>
      </c>
      <c r="X418" s="60">
        <f>IF($K418&lt;&gt;"N/A",$M418*(VLOOKUP($L418,'GPU Specs &amp; Ratios'!$B$2:$I$8,6,FALSE)),0)</f>
        <v>0</v>
      </c>
      <c r="Y418" s="60">
        <f>IF($K418&lt;&gt;"N/A",$M418*(VLOOKUP($L418,'GPU Specs &amp; Ratios'!$B$2:$I$8,7,FALSE)),0)</f>
        <v>0</v>
      </c>
      <c r="Z418" s="60">
        <f>IF($K418&lt;&gt;"N/A",$M418*(VLOOKUP($L418,'GPU Specs &amp; Ratios'!$B$2:$I$8,8,FALSE)),0)</f>
        <v>0</v>
      </c>
      <c r="AA418" s="60">
        <f>(C418/D418)*VLOOKUP($E418,'AWS Platforms Ratios'!$A$2:$O$25,15,FALSE)</f>
        <v>2</v>
      </c>
      <c r="AB418" s="60">
        <f t="shared" ref="AB418:AE418" si="418">O418+S418+W418+$AA418</f>
        <v>3.850206897</v>
      </c>
      <c r="AC418" s="60">
        <f t="shared" si="418"/>
        <v>6.409448276</v>
      </c>
      <c r="AD418" s="60">
        <f t="shared" si="418"/>
        <v>10.37041379</v>
      </c>
      <c r="AE418" s="60">
        <f t="shared" si="418"/>
        <v>13.62622414</v>
      </c>
      <c r="AF418" s="60">
        <f>IF(G418&gt;'Scope 3 Ratios'!$B$5,(G418-'Scope 3 Ratios'!$B$5)*('Scope 3 Ratios'!$B$6/'Scope 3 Ratios'!$B$5),0)</f>
        <v>377.2368</v>
      </c>
      <c r="AG418" s="60">
        <f>J418*IF(I418="SSD",'Scope 3 Ratios'!$B$9,'Scope 3 Ratios'!$B$8)</f>
        <v>0</v>
      </c>
      <c r="AH418" s="60">
        <f>IF(K418&lt;&gt;"N/A",K418*'Scope 3 Ratios'!$B$10,0)</f>
        <v>0</v>
      </c>
      <c r="AI418" s="60">
        <f>(VLOOKUP($E418,'AWS Platforms Ratios'!$A$2:$O$25,3,FALSE)-1)*'Scope 3 Ratios'!$B$7</f>
        <v>100</v>
      </c>
      <c r="AJ418" s="60">
        <f>'Scope 3 Ratios'!$B$2+AF418+AG418+AH418+AI418</f>
        <v>1477.2368</v>
      </c>
      <c r="AK418" s="60">
        <f>AJ418*'Scope 3 Ratios'!$B$4*(C418/D418)</f>
        <v>1.781005015</v>
      </c>
      <c r="AL418" s="61" t="s">
        <v>641</v>
      </c>
    </row>
    <row r="419" ht="15.0" customHeight="1">
      <c r="A419" s="56" t="s">
        <v>738</v>
      </c>
      <c r="B419" s="56" t="s">
        <v>651</v>
      </c>
      <c r="C419" s="56">
        <v>2.0</v>
      </c>
      <c r="D419" s="56">
        <f>VLOOKUP(E419,'AWS Platforms Ratios'!$A$2:$B$25,2,FALSE)</f>
        <v>96</v>
      </c>
      <c r="E419" s="57" t="s">
        <v>350</v>
      </c>
      <c r="F419" s="56">
        <v>0.5</v>
      </c>
      <c r="G419" s="56">
        <v>384.0</v>
      </c>
      <c r="H419" s="57" t="s">
        <v>71</v>
      </c>
      <c r="I419" s="56" t="s">
        <v>72</v>
      </c>
      <c r="J419" s="56">
        <v>0.0</v>
      </c>
      <c r="K419" s="58" t="s">
        <v>73</v>
      </c>
      <c r="L419" s="58" t="s">
        <v>73</v>
      </c>
      <c r="M419" s="58" t="s">
        <v>73</v>
      </c>
      <c r="N419" s="58" t="s">
        <v>73</v>
      </c>
      <c r="O419" s="59">
        <f>($C419/$D419)*VLOOKUP($E419,'AWS Platforms Ratios'!$A$2:$O$25,7,FALSE)</f>
        <v>1.205833333</v>
      </c>
      <c r="P419" s="59">
        <f>($C419/$D419)*VLOOKUP($E419,'AWS Platforms Ratios'!$A$2:$O$25,8,FALSE)</f>
        <v>3.054791667</v>
      </c>
      <c r="Q419" s="59">
        <f>($C419/$D419)*VLOOKUP($E419,'AWS Platforms Ratios'!$A$2:$O$25,9,FALSE)</f>
        <v>7.160416667</v>
      </c>
      <c r="R419" s="59">
        <f>($C419/$D419)*VLOOKUP($E419,'AWS Platforms Ratios'!$A$2:$O$25,10,FALSE)</f>
        <v>9.9578125</v>
      </c>
      <c r="S419" s="59">
        <f>$F419*VLOOKUP($E419,'AWS Platforms Ratios'!$A$2:$O$25,11,FALSE)</f>
        <v>0.0752734375</v>
      </c>
      <c r="T419" s="59">
        <f>$F419*VLOOKUP($E419,'AWS Platforms Ratios'!$A$2:$O$25,12,FALSE)</f>
        <v>0.1202994792</v>
      </c>
      <c r="U419" s="59">
        <f>$F419*VLOOKUP($E419,'AWS Platforms Ratios'!$A$2:$O$25,13,FALSE)</f>
        <v>0.3100260417</v>
      </c>
      <c r="V419" s="59">
        <f>$F419*VLOOKUP($E419,'AWS Platforms Ratios'!$A$2:$O$25,14,FALSE)</f>
        <v>0.4997526042</v>
      </c>
      <c r="W419" s="60">
        <f>IF($K419&lt;&gt;"N/A",$M419*(VLOOKUP($L419,'GPU Specs &amp; Ratios'!$B$2:$I$8,5,FALSE)),0)</f>
        <v>0</v>
      </c>
      <c r="X419" s="60">
        <f>IF($K419&lt;&gt;"N/A",$M419*(VLOOKUP($L419,'GPU Specs &amp; Ratios'!$B$2:$I$8,6,FALSE)),0)</f>
        <v>0</v>
      </c>
      <c r="Y419" s="60">
        <f>IF($K419&lt;&gt;"N/A",$M419*(VLOOKUP($L419,'GPU Specs &amp; Ratios'!$B$2:$I$8,7,FALSE)),0)</f>
        <v>0</v>
      </c>
      <c r="Z419" s="60">
        <f>IF($K419&lt;&gt;"N/A",$M419*(VLOOKUP($L419,'GPU Specs &amp; Ratios'!$B$2:$I$8,8,FALSE)),0)</f>
        <v>0</v>
      </c>
      <c r="AA419" s="60">
        <f>(C419/D419)*VLOOKUP($E419,'AWS Platforms Ratios'!$A$2:$O$25,15,FALSE)</f>
        <v>2</v>
      </c>
      <c r="AB419" s="60">
        <f t="shared" ref="AB419:AE419" si="419">O419+S419+W419+$AA419</f>
        <v>3.281106771</v>
      </c>
      <c r="AC419" s="60">
        <f t="shared" si="419"/>
        <v>5.175091146</v>
      </c>
      <c r="AD419" s="60">
        <f t="shared" si="419"/>
        <v>9.470442708</v>
      </c>
      <c r="AE419" s="60">
        <f t="shared" si="419"/>
        <v>12.4575651</v>
      </c>
      <c r="AF419" s="60">
        <f>IF(G419&gt;'Scope 3 Ratios'!$B$5,(G419-'Scope 3 Ratios'!$B$5)*('Scope 3 Ratios'!$B$6/'Scope 3 Ratios'!$B$5),0)</f>
        <v>510.3792</v>
      </c>
      <c r="AG419" s="60">
        <f>J419*IF(I419="SSD",'Scope 3 Ratios'!$B$9,'Scope 3 Ratios'!$B$8)</f>
        <v>0</v>
      </c>
      <c r="AH419" s="60">
        <f>IF(K419&lt;&gt;"N/A",K419*'Scope 3 Ratios'!$B$10,0)</f>
        <v>0</v>
      </c>
      <c r="AI419" s="60">
        <f>(VLOOKUP($E419,'AWS Platforms Ratios'!$A$2:$O$25,3,FALSE)-1)*'Scope 3 Ratios'!$B$7</f>
        <v>100</v>
      </c>
      <c r="AJ419" s="60">
        <f>'Scope 3 Ratios'!$B$2+AF419+AG419+AH419+AI419</f>
        <v>1610.3792</v>
      </c>
      <c r="AK419" s="60">
        <f>AJ419*'Scope 3 Ratios'!$B$4*(C419/D419)</f>
        <v>0.9707629244</v>
      </c>
      <c r="AL419" s="61" t="s">
        <v>652</v>
      </c>
    </row>
    <row r="420" ht="15.0" customHeight="1">
      <c r="A420" s="56" t="s">
        <v>739</v>
      </c>
      <c r="B420" s="56" t="s">
        <v>651</v>
      </c>
      <c r="C420" s="56">
        <v>2.0</v>
      </c>
      <c r="D420" s="56">
        <f>VLOOKUP(E420,'AWS Platforms Ratios'!$A$2:$B$25,2,FALSE)</f>
        <v>96</v>
      </c>
      <c r="E420" s="57" t="s">
        <v>350</v>
      </c>
      <c r="F420" s="56">
        <v>1.37</v>
      </c>
      <c r="G420" s="56">
        <v>384.0</v>
      </c>
      <c r="H420" s="57" t="s">
        <v>71</v>
      </c>
      <c r="I420" s="56" t="s">
        <v>72</v>
      </c>
      <c r="J420" s="56">
        <v>0.0</v>
      </c>
      <c r="K420" s="58" t="s">
        <v>73</v>
      </c>
      <c r="L420" s="58" t="s">
        <v>73</v>
      </c>
      <c r="M420" s="58" t="s">
        <v>73</v>
      </c>
      <c r="N420" s="58" t="s">
        <v>73</v>
      </c>
      <c r="O420" s="59">
        <f>($C420/$D420)*VLOOKUP($E420,'AWS Platforms Ratios'!$A$2:$O$25,7,FALSE)</f>
        <v>1.205833333</v>
      </c>
      <c r="P420" s="59">
        <f>($C420/$D420)*VLOOKUP($E420,'AWS Platforms Ratios'!$A$2:$O$25,8,FALSE)</f>
        <v>3.054791667</v>
      </c>
      <c r="Q420" s="59">
        <f>($C420/$D420)*VLOOKUP($E420,'AWS Platforms Ratios'!$A$2:$O$25,9,FALSE)</f>
        <v>7.160416667</v>
      </c>
      <c r="R420" s="59">
        <f>($C420/$D420)*VLOOKUP($E420,'AWS Platforms Ratios'!$A$2:$O$25,10,FALSE)</f>
        <v>9.9578125</v>
      </c>
      <c r="S420" s="59">
        <f>$F420*VLOOKUP($E420,'AWS Platforms Ratios'!$A$2:$O$25,11,FALSE)</f>
        <v>0.2062492188</v>
      </c>
      <c r="T420" s="59">
        <f>$F420*VLOOKUP($E420,'AWS Platforms Ratios'!$A$2:$O$25,12,FALSE)</f>
        <v>0.3296205729</v>
      </c>
      <c r="U420" s="59">
        <f>$F420*VLOOKUP($E420,'AWS Platforms Ratios'!$A$2:$O$25,13,FALSE)</f>
        <v>0.8494713542</v>
      </c>
      <c r="V420" s="59">
        <f>$F420*VLOOKUP($E420,'AWS Platforms Ratios'!$A$2:$O$25,14,FALSE)</f>
        <v>1.369322135</v>
      </c>
      <c r="W420" s="60">
        <f>IF($K420&lt;&gt;"N/A",$M420*(VLOOKUP($L420,'GPU Specs &amp; Ratios'!$B$2:$I$8,5,FALSE)),0)</f>
        <v>0</v>
      </c>
      <c r="X420" s="60">
        <f>IF($K420&lt;&gt;"N/A",$M420*(VLOOKUP($L420,'GPU Specs &amp; Ratios'!$B$2:$I$8,6,FALSE)),0)</f>
        <v>0</v>
      </c>
      <c r="Y420" s="60">
        <f>IF($K420&lt;&gt;"N/A",$M420*(VLOOKUP($L420,'GPU Specs &amp; Ratios'!$B$2:$I$8,7,FALSE)),0)</f>
        <v>0</v>
      </c>
      <c r="Z420" s="60">
        <f>IF($K420&lt;&gt;"N/A",$M420*(VLOOKUP($L420,'GPU Specs &amp; Ratios'!$B$2:$I$8,8,FALSE)),0)</f>
        <v>0</v>
      </c>
      <c r="AA420" s="60">
        <f>(C420/D420)*VLOOKUP($E420,'AWS Platforms Ratios'!$A$2:$O$25,15,FALSE)</f>
        <v>2</v>
      </c>
      <c r="AB420" s="60">
        <f t="shared" ref="AB420:AE420" si="420">O420+S420+W420+$AA420</f>
        <v>3.412082552</v>
      </c>
      <c r="AC420" s="60">
        <f t="shared" si="420"/>
        <v>5.38441224</v>
      </c>
      <c r="AD420" s="60">
        <f t="shared" si="420"/>
        <v>10.00988802</v>
      </c>
      <c r="AE420" s="60">
        <f t="shared" si="420"/>
        <v>13.32713464</v>
      </c>
      <c r="AF420" s="60">
        <f>IF(G420&gt;'Scope 3 Ratios'!$B$5,(G420-'Scope 3 Ratios'!$B$5)*('Scope 3 Ratios'!$B$6/'Scope 3 Ratios'!$B$5),0)</f>
        <v>510.3792</v>
      </c>
      <c r="AG420" s="60">
        <f>J420*IF(I420="SSD",'Scope 3 Ratios'!$B$9,'Scope 3 Ratios'!$B$8)</f>
        <v>0</v>
      </c>
      <c r="AH420" s="60">
        <f>IF(K420&lt;&gt;"N/A",K420*'Scope 3 Ratios'!$B$10,0)</f>
        <v>0</v>
      </c>
      <c r="AI420" s="60">
        <f>(VLOOKUP($E420,'AWS Platforms Ratios'!$A$2:$O$25,3,FALSE)-1)*'Scope 3 Ratios'!$B$7</f>
        <v>100</v>
      </c>
      <c r="AJ420" s="60">
        <f>'Scope 3 Ratios'!$B$2+AF420+AG420+AH420+AI420</f>
        <v>1610.3792</v>
      </c>
      <c r="AK420" s="60">
        <f>AJ420*'Scope 3 Ratios'!$B$4*(C420/D420)</f>
        <v>0.9707629244</v>
      </c>
      <c r="AL420" s="61" t="s">
        <v>652</v>
      </c>
    </row>
    <row r="421" ht="15.0" customHeight="1">
      <c r="A421" s="56" t="s">
        <v>740</v>
      </c>
      <c r="B421" s="56" t="s">
        <v>651</v>
      </c>
      <c r="C421" s="56">
        <v>2.0</v>
      </c>
      <c r="D421" s="56">
        <f>VLOOKUP(E421,'AWS Platforms Ratios'!$A$2:$B$25,2,FALSE)</f>
        <v>96</v>
      </c>
      <c r="E421" s="57" t="s">
        <v>350</v>
      </c>
      <c r="F421" s="56">
        <v>3.09</v>
      </c>
      <c r="G421" s="56">
        <v>384.0</v>
      </c>
      <c r="H421" s="57" t="s">
        <v>71</v>
      </c>
      <c r="I421" s="56" t="s">
        <v>72</v>
      </c>
      <c r="J421" s="56">
        <v>0.0</v>
      </c>
      <c r="K421" s="58" t="s">
        <v>73</v>
      </c>
      <c r="L421" s="58" t="s">
        <v>73</v>
      </c>
      <c r="M421" s="58" t="s">
        <v>73</v>
      </c>
      <c r="N421" s="58" t="s">
        <v>73</v>
      </c>
      <c r="O421" s="59">
        <f>($C421/$D421)*VLOOKUP($E421,'AWS Platforms Ratios'!$A$2:$O$25,7,FALSE)</f>
        <v>1.205833333</v>
      </c>
      <c r="P421" s="59">
        <f>($C421/$D421)*VLOOKUP($E421,'AWS Platforms Ratios'!$A$2:$O$25,8,FALSE)</f>
        <v>3.054791667</v>
      </c>
      <c r="Q421" s="59">
        <f>($C421/$D421)*VLOOKUP($E421,'AWS Platforms Ratios'!$A$2:$O$25,9,FALSE)</f>
        <v>7.160416667</v>
      </c>
      <c r="R421" s="59">
        <f>($C421/$D421)*VLOOKUP($E421,'AWS Platforms Ratios'!$A$2:$O$25,10,FALSE)</f>
        <v>9.9578125</v>
      </c>
      <c r="S421" s="59">
        <f>$F421*VLOOKUP($E421,'AWS Platforms Ratios'!$A$2:$O$25,11,FALSE)</f>
        <v>0.4651898438</v>
      </c>
      <c r="T421" s="59">
        <f>$F421*VLOOKUP($E421,'AWS Platforms Ratios'!$A$2:$O$25,12,FALSE)</f>
        <v>0.7434507813</v>
      </c>
      <c r="U421" s="59">
        <f>$F421*VLOOKUP($E421,'AWS Platforms Ratios'!$A$2:$O$25,13,FALSE)</f>
        <v>1.915960938</v>
      </c>
      <c r="V421" s="59">
        <f>$F421*VLOOKUP($E421,'AWS Platforms Ratios'!$A$2:$O$25,14,FALSE)</f>
        <v>3.088471094</v>
      </c>
      <c r="W421" s="60">
        <f>IF($K421&lt;&gt;"N/A",$M421*(VLOOKUP($L421,'GPU Specs &amp; Ratios'!$B$2:$I$8,5,FALSE)),0)</f>
        <v>0</v>
      </c>
      <c r="X421" s="60">
        <f>IF($K421&lt;&gt;"N/A",$M421*(VLOOKUP($L421,'GPU Specs &amp; Ratios'!$B$2:$I$8,6,FALSE)),0)</f>
        <v>0</v>
      </c>
      <c r="Y421" s="60">
        <f>IF($K421&lt;&gt;"N/A",$M421*(VLOOKUP($L421,'GPU Specs &amp; Ratios'!$B$2:$I$8,7,FALSE)),0)</f>
        <v>0</v>
      </c>
      <c r="Z421" s="60">
        <f>IF($K421&lt;&gt;"N/A",$M421*(VLOOKUP($L421,'GPU Specs &amp; Ratios'!$B$2:$I$8,8,FALSE)),0)</f>
        <v>0</v>
      </c>
      <c r="AA421" s="60">
        <f>(C421/D421)*VLOOKUP($E421,'AWS Platforms Ratios'!$A$2:$O$25,15,FALSE)</f>
        <v>2</v>
      </c>
      <c r="AB421" s="60">
        <f t="shared" ref="AB421:AE421" si="421">O421+S421+W421+$AA421</f>
        <v>3.671023177</v>
      </c>
      <c r="AC421" s="60">
        <f t="shared" si="421"/>
        <v>5.798242448</v>
      </c>
      <c r="AD421" s="60">
        <f t="shared" si="421"/>
        <v>11.0763776</v>
      </c>
      <c r="AE421" s="60">
        <f t="shared" si="421"/>
        <v>15.04628359</v>
      </c>
      <c r="AF421" s="60">
        <f>IF(G421&gt;'Scope 3 Ratios'!$B$5,(G421-'Scope 3 Ratios'!$B$5)*('Scope 3 Ratios'!$B$6/'Scope 3 Ratios'!$B$5),0)</f>
        <v>510.3792</v>
      </c>
      <c r="AG421" s="60">
        <f>J421*IF(I421="SSD",'Scope 3 Ratios'!$B$9,'Scope 3 Ratios'!$B$8)</f>
        <v>0</v>
      </c>
      <c r="AH421" s="60">
        <f>IF(K421&lt;&gt;"N/A",K421*'Scope 3 Ratios'!$B$10,0)</f>
        <v>0</v>
      </c>
      <c r="AI421" s="60">
        <f>(VLOOKUP($E421,'AWS Platforms Ratios'!$A$2:$O$25,3,FALSE)-1)*'Scope 3 Ratios'!$B$7</f>
        <v>100</v>
      </c>
      <c r="AJ421" s="60">
        <f>'Scope 3 Ratios'!$B$2+AF421+AG421+AH421+AI421</f>
        <v>1610.3792</v>
      </c>
      <c r="AK421" s="60">
        <f>AJ421*'Scope 3 Ratios'!$B$4*(C421/D421)</f>
        <v>0.9707629244</v>
      </c>
      <c r="AL421" s="61" t="s">
        <v>652</v>
      </c>
    </row>
    <row r="422" ht="15.0" customHeight="1">
      <c r="A422" s="56" t="s">
        <v>741</v>
      </c>
      <c r="B422" s="56" t="s">
        <v>395</v>
      </c>
      <c r="C422" s="56">
        <v>1.0</v>
      </c>
      <c r="D422" s="56">
        <f>VLOOKUP(E422,'AWS Platforms Ratios'!$A$2:$B$25,2,FALSE)</f>
        <v>32</v>
      </c>
      <c r="E422" s="57" t="s">
        <v>90</v>
      </c>
      <c r="F422" s="56">
        <v>3.75</v>
      </c>
      <c r="G422" s="56">
        <v>384.0</v>
      </c>
      <c r="H422" s="57" t="s">
        <v>396</v>
      </c>
      <c r="I422" s="56" t="s">
        <v>85</v>
      </c>
      <c r="J422" s="56">
        <v>1.0</v>
      </c>
      <c r="K422" s="58" t="s">
        <v>73</v>
      </c>
      <c r="L422" s="58" t="s">
        <v>73</v>
      </c>
      <c r="M422" s="58" t="s">
        <v>73</v>
      </c>
      <c r="N422" s="58" t="s">
        <v>73</v>
      </c>
      <c r="O422" s="59">
        <f>($C422/$D422)*VLOOKUP($E422,'AWS Platforms Ratios'!$A$2:$O$25,7,FALSE)</f>
        <v>0.8669612069</v>
      </c>
      <c r="P422" s="59">
        <f>($C422/$D422)*VLOOKUP($E422,'AWS Platforms Ratios'!$A$2:$O$25,8,FALSE)</f>
        <v>2.474978448</v>
      </c>
      <c r="Q422" s="59">
        <f>($C422/$D422)*VLOOKUP($E422,'AWS Platforms Ratios'!$A$2:$O$25,9,FALSE)</f>
        <v>5.090484914</v>
      </c>
      <c r="R422" s="59">
        <f>($C422/$D422)*VLOOKUP($E422,'AWS Platforms Ratios'!$A$2:$O$25,10,FALSE)</f>
        <v>6.967723599</v>
      </c>
      <c r="S422" s="59">
        <f>$F422*VLOOKUP($E422,'AWS Platforms Ratios'!$A$2:$O$25,11,FALSE)</f>
        <v>0.75</v>
      </c>
      <c r="T422" s="59">
        <f>$F422*VLOOKUP($E422,'AWS Platforms Ratios'!$A$2:$O$25,12,FALSE)</f>
        <v>1.125</v>
      </c>
      <c r="U422" s="59">
        <f>$F422*VLOOKUP($E422,'AWS Platforms Ratios'!$A$2:$O$25,13,FALSE)</f>
        <v>1.5</v>
      </c>
      <c r="V422" s="59">
        <f>$F422*VLOOKUP($E422,'AWS Platforms Ratios'!$A$2:$O$25,14,FALSE)</f>
        <v>2.25</v>
      </c>
      <c r="W422" s="60">
        <f>IF($K422&lt;&gt;"N/A",$M422*(VLOOKUP($L422,'GPU Specs &amp; Ratios'!$B$2:$I$8,5,FALSE)),0)</f>
        <v>0</v>
      </c>
      <c r="X422" s="60">
        <f>IF($K422&lt;&gt;"N/A",$M422*(VLOOKUP($L422,'GPU Specs &amp; Ratios'!$B$2:$I$8,6,FALSE)),0)</f>
        <v>0</v>
      </c>
      <c r="Y422" s="60">
        <f>IF($K422&lt;&gt;"N/A",$M422*(VLOOKUP($L422,'GPU Specs &amp; Ratios'!$B$2:$I$8,7,FALSE)),0)</f>
        <v>0</v>
      </c>
      <c r="Z422" s="60">
        <f>IF($K422&lt;&gt;"N/A",$M422*(VLOOKUP($L422,'GPU Specs &amp; Ratios'!$B$2:$I$8,8,FALSE)),0)</f>
        <v>0</v>
      </c>
      <c r="AA422" s="60">
        <f>(C422/D422)*VLOOKUP($E422,'AWS Platforms Ratios'!$A$2:$O$25,15,FALSE)</f>
        <v>1.4375</v>
      </c>
      <c r="AB422" s="60">
        <f t="shared" ref="AB422:AE422" si="422">O422+S422+W422+$AA422</f>
        <v>3.054461207</v>
      </c>
      <c r="AC422" s="60">
        <f t="shared" si="422"/>
        <v>5.037478448</v>
      </c>
      <c r="AD422" s="60">
        <f t="shared" si="422"/>
        <v>8.027984914</v>
      </c>
      <c r="AE422" s="60">
        <f t="shared" si="422"/>
        <v>10.6552236</v>
      </c>
      <c r="AF422" s="60">
        <f>IF(G422&gt;'Scope 3 Ratios'!$B$5,(G422-'Scope 3 Ratios'!$B$5)*('Scope 3 Ratios'!$B$6/'Scope 3 Ratios'!$B$5),0)</f>
        <v>510.3792</v>
      </c>
      <c r="AG422" s="60">
        <f>J422*IF(I422="SSD",'Scope 3 Ratios'!$B$9,'Scope 3 Ratios'!$B$8)</f>
        <v>100</v>
      </c>
      <c r="AH422" s="60">
        <f>IF(K422&lt;&gt;"N/A",K422*'Scope 3 Ratios'!$B$10,0)</f>
        <v>0</v>
      </c>
      <c r="AI422" s="60">
        <f>(VLOOKUP($E422,'AWS Platforms Ratios'!$A$2:$O$25,3,FALSE)-1)*'Scope 3 Ratios'!$B$7</f>
        <v>100</v>
      </c>
      <c r="AJ422" s="60">
        <f>'Scope 3 Ratios'!$B$2+AF422+AG422+AH422+AI422</f>
        <v>1710.3792</v>
      </c>
      <c r="AK422" s="60">
        <f>AJ422*'Scope 3 Ratios'!$B$4*(C422/D422)</f>
        <v>1.54656684</v>
      </c>
      <c r="AL422" s="61" t="s">
        <v>397</v>
      </c>
    </row>
    <row r="423" ht="15.0" customHeight="1">
      <c r="A423" s="56" t="s">
        <v>742</v>
      </c>
      <c r="B423" s="56" t="s">
        <v>264</v>
      </c>
      <c r="C423" s="56">
        <v>2.0</v>
      </c>
      <c r="D423" s="56">
        <f>VLOOKUP(E423,'AWS Platforms Ratios'!$A$2:$B$25,2,FALSE)</f>
        <v>72</v>
      </c>
      <c r="E423" s="57" t="s">
        <v>269</v>
      </c>
      <c r="F423" s="56">
        <v>6.42</v>
      </c>
      <c r="G423" s="56">
        <v>256.0</v>
      </c>
      <c r="H423" s="57" t="s">
        <v>71</v>
      </c>
      <c r="I423" s="56" t="s">
        <v>72</v>
      </c>
      <c r="J423" s="56">
        <v>0.0</v>
      </c>
      <c r="K423" s="58" t="s">
        <v>73</v>
      </c>
      <c r="L423" s="58" t="s">
        <v>73</v>
      </c>
      <c r="M423" s="58" t="s">
        <v>73</v>
      </c>
      <c r="N423" s="58" t="s">
        <v>73</v>
      </c>
      <c r="O423" s="59">
        <f>($C423/$D423)*VLOOKUP($E423,'AWS Platforms Ratios'!$A$2:$O$25,7,FALSE)</f>
        <v>0.9716666667</v>
      </c>
      <c r="P423" s="59">
        <f>($C423/$D423)*VLOOKUP($E423,'AWS Platforms Ratios'!$A$2:$O$25,8,FALSE)</f>
        <v>2.773888889</v>
      </c>
      <c r="Q423" s="59">
        <f>($C423/$D423)*VLOOKUP($E423,'AWS Platforms Ratios'!$A$2:$O$25,9,FALSE)</f>
        <v>5.705277778</v>
      </c>
      <c r="R423" s="59">
        <f>($C423/$D423)*VLOOKUP($E423,'AWS Platforms Ratios'!$A$2:$O$25,10,FALSE)</f>
        <v>7.809236111</v>
      </c>
      <c r="S423" s="59">
        <f>$F423*VLOOKUP($E423,'AWS Platforms Ratios'!$A$2:$O$25,11,FALSE)</f>
        <v>1.284</v>
      </c>
      <c r="T423" s="59">
        <f>$F423*VLOOKUP($E423,'AWS Platforms Ratios'!$A$2:$O$25,12,FALSE)</f>
        <v>1.926</v>
      </c>
      <c r="U423" s="59">
        <f>$F423*VLOOKUP($E423,'AWS Platforms Ratios'!$A$2:$O$25,13,FALSE)</f>
        <v>2.568</v>
      </c>
      <c r="V423" s="59">
        <f>$F423*VLOOKUP($E423,'AWS Platforms Ratios'!$A$2:$O$25,14,FALSE)</f>
        <v>3.852</v>
      </c>
      <c r="W423" s="60">
        <f>IF($K423&lt;&gt;"N/A",$M423*(VLOOKUP($L423,'GPU Specs &amp; Ratios'!$B$2:$I$8,5,FALSE)),0)</f>
        <v>0</v>
      </c>
      <c r="X423" s="60">
        <f>IF($K423&lt;&gt;"N/A",$M423*(VLOOKUP($L423,'GPU Specs &amp; Ratios'!$B$2:$I$8,6,FALSE)),0)</f>
        <v>0</v>
      </c>
      <c r="Y423" s="60">
        <f>IF($K423&lt;&gt;"N/A",$M423*(VLOOKUP($L423,'GPU Specs &amp; Ratios'!$B$2:$I$8,7,FALSE)),0)</f>
        <v>0</v>
      </c>
      <c r="Z423" s="60">
        <f>IF($K423&lt;&gt;"N/A",$M423*(VLOOKUP($L423,'GPU Specs &amp; Ratios'!$B$2:$I$8,8,FALSE)),0)</f>
        <v>0</v>
      </c>
      <c r="AA423" s="60">
        <f>(C423/D423)*VLOOKUP($E423,'AWS Platforms Ratios'!$A$2:$O$25,15,FALSE)</f>
        <v>1.611111111</v>
      </c>
      <c r="AB423" s="60">
        <f t="shared" ref="AB423:AE423" si="423">O423+S423+W423+$AA423</f>
        <v>3.866777778</v>
      </c>
      <c r="AC423" s="60">
        <f t="shared" si="423"/>
        <v>6.311</v>
      </c>
      <c r="AD423" s="60">
        <f t="shared" si="423"/>
        <v>9.884388889</v>
      </c>
      <c r="AE423" s="60">
        <f t="shared" si="423"/>
        <v>13.27234722</v>
      </c>
      <c r="AF423" s="60">
        <f>IF(G423&gt;'Scope 3 Ratios'!$B$5,(G423-'Scope 3 Ratios'!$B$5)*('Scope 3 Ratios'!$B$6/'Scope 3 Ratios'!$B$5),0)</f>
        <v>332.856</v>
      </c>
      <c r="AG423" s="60">
        <f>J423*IF(I423="SSD",'Scope 3 Ratios'!$B$9,'Scope 3 Ratios'!$B$8)</f>
        <v>0</v>
      </c>
      <c r="AH423" s="60">
        <f>IF(K423&lt;&gt;"N/A",K423*'Scope 3 Ratios'!$B$10,0)</f>
        <v>0</v>
      </c>
      <c r="AI423" s="60">
        <f>(VLOOKUP($E423,'AWS Platforms Ratios'!$A$2:$O$25,3,FALSE)-1)*'Scope 3 Ratios'!$B$7</f>
        <v>100</v>
      </c>
      <c r="AJ423" s="60">
        <f>'Scope 3 Ratios'!$B$2+AF423+AG423+AH423+AI423</f>
        <v>1432.856</v>
      </c>
      <c r="AK423" s="60">
        <f>AJ423*'Scope 3 Ratios'!$B$4*(C423/D423)</f>
        <v>1.151665381</v>
      </c>
      <c r="AL423" s="61" t="s">
        <v>404</v>
      </c>
    </row>
    <row r="424" ht="15.0" customHeight="1">
      <c r="A424" s="56" t="s">
        <v>743</v>
      </c>
      <c r="B424" s="56" t="s">
        <v>264</v>
      </c>
      <c r="C424" s="56">
        <v>4.0</v>
      </c>
      <c r="D424" s="56">
        <f>VLOOKUP(E424,'AWS Platforms Ratios'!$A$2:$B$25,2,FALSE)</f>
        <v>72</v>
      </c>
      <c r="E424" s="57" t="s">
        <v>269</v>
      </c>
      <c r="F424" s="56">
        <v>14.28</v>
      </c>
      <c r="G424" s="56">
        <v>256.0</v>
      </c>
      <c r="H424" s="57" t="s">
        <v>71</v>
      </c>
      <c r="I424" s="56" t="s">
        <v>72</v>
      </c>
      <c r="J424" s="56">
        <v>0.0</v>
      </c>
      <c r="K424" s="58" t="s">
        <v>73</v>
      </c>
      <c r="L424" s="58" t="s">
        <v>73</v>
      </c>
      <c r="M424" s="58" t="s">
        <v>73</v>
      </c>
      <c r="N424" s="58" t="s">
        <v>73</v>
      </c>
      <c r="O424" s="59">
        <f>($C424/$D424)*VLOOKUP($E424,'AWS Platforms Ratios'!$A$2:$O$25,7,FALSE)</f>
        <v>1.943333333</v>
      </c>
      <c r="P424" s="59">
        <f>($C424/$D424)*VLOOKUP($E424,'AWS Platforms Ratios'!$A$2:$O$25,8,FALSE)</f>
        <v>5.547777778</v>
      </c>
      <c r="Q424" s="59">
        <f>($C424/$D424)*VLOOKUP($E424,'AWS Platforms Ratios'!$A$2:$O$25,9,FALSE)</f>
        <v>11.41055556</v>
      </c>
      <c r="R424" s="59">
        <f>($C424/$D424)*VLOOKUP($E424,'AWS Platforms Ratios'!$A$2:$O$25,10,FALSE)</f>
        <v>15.61847222</v>
      </c>
      <c r="S424" s="59">
        <f>$F424*VLOOKUP($E424,'AWS Platforms Ratios'!$A$2:$O$25,11,FALSE)</f>
        <v>2.856</v>
      </c>
      <c r="T424" s="59">
        <f>$F424*VLOOKUP($E424,'AWS Platforms Ratios'!$A$2:$O$25,12,FALSE)</f>
        <v>4.284</v>
      </c>
      <c r="U424" s="59">
        <f>$F424*VLOOKUP($E424,'AWS Platforms Ratios'!$A$2:$O$25,13,FALSE)</f>
        <v>5.712</v>
      </c>
      <c r="V424" s="59">
        <f>$F424*VLOOKUP($E424,'AWS Platforms Ratios'!$A$2:$O$25,14,FALSE)</f>
        <v>8.568</v>
      </c>
      <c r="W424" s="60">
        <f>IF($K424&lt;&gt;"N/A",$M424*(VLOOKUP($L424,'GPU Specs &amp; Ratios'!$B$2:$I$8,5,FALSE)),0)</f>
        <v>0</v>
      </c>
      <c r="X424" s="60">
        <f>IF($K424&lt;&gt;"N/A",$M424*(VLOOKUP($L424,'GPU Specs &amp; Ratios'!$B$2:$I$8,6,FALSE)),0)</f>
        <v>0</v>
      </c>
      <c r="Y424" s="60">
        <f>IF($K424&lt;&gt;"N/A",$M424*(VLOOKUP($L424,'GPU Specs &amp; Ratios'!$B$2:$I$8,7,FALSE)),0)</f>
        <v>0</v>
      </c>
      <c r="Z424" s="60">
        <f>IF($K424&lt;&gt;"N/A",$M424*(VLOOKUP($L424,'GPU Specs &amp; Ratios'!$B$2:$I$8,8,FALSE)),0)</f>
        <v>0</v>
      </c>
      <c r="AA424" s="60">
        <f>(C424/D424)*VLOOKUP($E424,'AWS Platforms Ratios'!$A$2:$O$25,15,FALSE)</f>
        <v>3.222222222</v>
      </c>
      <c r="AB424" s="60">
        <f t="shared" ref="AB424:AE424" si="424">O424+S424+W424+$AA424</f>
        <v>8.021555556</v>
      </c>
      <c r="AC424" s="60">
        <f t="shared" si="424"/>
        <v>13.054</v>
      </c>
      <c r="AD424" s="60">
        <f t="shared" si="424"/>
        <v>20.34477778</v>
      </c>
      <c r="AE424" s="60">
        <f t="shared" si="424"/>
        <v>27.40869444</v>
      </c>
      <c r="AF424" s="60">
        <f>IF(G424&gt;'Scope 3 Ratios'!$B$5,(G424-'Scope 3 Ratios'!$B$5)*('Scope 3 Ratios'!$B$6/'Scope 3 Ratios'!$B$5),0)</f>
        <v>332.856</v>
      </c>
      <c r="AG424" s="60">
        <f>J424*IF(I424="SSD",'Scope 3 Ratios'!$B$9,'Scope 3 Ratios'!$B$8)</f>
        <v>0</v>
      </c>
      <c r="AH424" s="60">
        <f>IF(K424&lt;&gt;"N/A",K424*'Scope 3 Ratios'!$B$10,0)</f>
        <v>0</v>
      </c>
      <c r="AI424" s="60">
        <f>(VLOOKUP($E424,'AWS Platforms Ratios'!$A$2:$O$25,3,FALSE)-1)*'Scope 3 Ratios'!$B$7</f>
        <v>100</v>
      </c>
      <c r="AJ424" s="60">
        <f>'Scope 3 Ratios'!$B$2+AF424+AG424+AH424+AI424</f>
        <v>1432.856</v>
      </c>
      <c r="AK424" s="60">
        <f>AJ424*'Scope 3 Ratios'!$B$4*(C424/D424)</f>
        <v>2.303330761</v>
      </c>
      <c r="AL424" s="61" t="s">
        <v>404</v>
      </c>
    </row>
    <row r="425" ht="15.0" customHeight="1">
      <c r="A425" s="56" t="s">
        <v>744</v>
      </c>
      <c r="B425" s="56" t="s">
        <v>264</v>
      </c>
      <c r="C425" s="56">
        <v>8.0</v>
      </c>
      <c r="D425" s="56">
        <f>VLOOKUP(E425,'AWS Platforms Ratios'!$A$2:$B$25,2,FALSE)</f>
        <v>72</v>
      </c>
      <c r="E425" s="57" t="s">
        <v>269</v>
      </c>
      <c r="F425" s="56">
        <v>29.7</v>
      </c>
      <c r="G425" s="56">
        <v>256.0</v>
      </c>
      <c r="H425" s="57" t="s">
        <v>71</v>
      </c>
      <c r="I425" s="56" t="s">
        <v>72</v>
      </c>
      <c r="J425" s="56">
        <v>0.0</v>
      </c>
      <c r="K425" s="58" t="s">
        <v>73</v>
      </c>
      <c r="L425" s="58" t="s">
        <v>73</v>
      </c>
      <c r="M425" s="58" t="s">
        <v>73</v>
      </c>
      <c r="N425" s="58" t="s">
        <v>73</v>
      </c>
      <c r="O425" s="59">
        <f>($C425/$D425)*VLOOKUP($E425,'AWS Platforms Ratios'!$A$2:$O$25,7,FALSE)</f>
        <v>3.886666667</v>
      </c>
      <c r="P425" s="59">
        <f>($C425/$D425)*VLOOKUP($E425,'AWS Platforms Ratios'!$A$2:$O$25,8,FALSE)</f>
        <v>11.09555556</v>
      </c>
      <c r="Q425" s="59">
        <f>($C425/$D425)*VLOOKUP($E425,'AWS Platforms Ratios'!$A$2:$O$25,9,FALSE)</f>
        <v>22.82111111</v>
      </c>
      <c r="R425" s="59">
        <f>($C425/$D425)*VLOOKUP($E425,'AWS Platforms Ratios'!$A$2:$O$25,10,FALSE)</f>
        <v>31.23694444</v>
      </c>
      <c r="S425" s="59">
        <f>$F425*VLOOKUP($E425,'AWS Platforms Ratios'!$A$2:$O$25,11,FALSE)</f>
        <v>5.94</v>
      </c>
      <c r="T425" s="59">
        <f>$F425*VLOOKUP($E425,'AWS Platforms Ratios'!$A$2:$O$25,12,FALSE)</f>
        <v>8.91</v>
      </c>
      <c r="U425" s="59">
        <f>$F425*VLOOKUP($E425,'AWS Platforms Ratios'!$A$2:$O$25,13,FALSE)</f>
        <v>11.88</v>
      </c>
      <c r="V425" s="59">
        <f>$F425*VLOOKUP($E425,'AWS Platforms Ratios'!$A$2:$O$25,14,FALSE)</f>
        <v>17.82</v>
      </c>
      <c r="W425" s="60">
        <f>IF($K425&lt;&gt;"N/A",$M425*(VLOOKUP($L425,'GPU Specs &amp; Ratios'!$B$2:$I$8,5,FALSE)),0)</f>
        <v>0</v>
      </c>
      <c r="X425" s="60">
        <f>IF($K425&lt;&gt;"N/A",$M425*(VLOOKUP($L425,'GPU Specs &amp; Ratios'!$B$2:$I$8,6,FALSE)),0)</f>
        <v>0</v>
      </c>
      <c r="Y425" s="60">
        <f>IF($K425&lt;&gt;"N/A",$M425*(VLOOKUP($L425,'GPU Specs &amp; Ratios'!$B$2:$I$8,7,FALSE)),0)</f>
        <v>0</v>
      </c>
      <c r="Z425" s="60">
        <f>IF($K425&lt;&gt;"N/A",$M425*(VLOOKUP($L425,'GPU Specs &amp; Ratios'!$B$2:$I$8,8,FALSE)),0)</f>
        <v>0</v>
      </c>
      <c r="AA425" s="60">
        <f>(C425/D425)*VLOOKUP($E425,'AWS Platforms Ratios'!$A$2:$O$25,15,FALSE)</f>
        <v>6.444444444</v>
      </c>
      <c r="AB425" s="60">
        <f t="shared" ref="AB425:AE425" si="425">O425+S425+W425+$AA425</f>
        <v>16.27111111</v>
      </c>
      <c r="AC425" s="60">
        <f t="shared" si="425"/>
        <v>26.45</v>
      </c>
      <c r="AD425" s="60">
        <f t="shared" si="425"/>
        <v>41.14555556</v>
      </c>
      <c r="AE425" s="60">
        <f t="shared" si="425"/>
        <v>55.50138889</v>
      </c>
      <c r="AF425" s="60">
        <f>IF(G425&gt;'Scope 3 Ratios'!$B$5,(G425-'Scope 3 Ratios'!$B$5)*('Scope 3 Ratios'!$B$6/'Scope 3 Ratios'!$B$5),0)</f>
        <v>332.856</v>
      </c>
      <c r="AG425" s="60">
        <f>J425*IF(I425="SSD",'Scope 3 Ratios'!$B$9,'Scope 3 Ratios'!$B$8)</f>
        <v>0</v>
      </c>
      <c r="AH425" s="60">
        <f>IF(K425&lt;&gt;"N/A",K425*'Scope 3 Ratios'!$B$10,0)</f>
        <v>0</v>
      </c>
      <c r="AI425" s="60">
        <f>(VLOOKUP($E425,'AWS Platforms Ratios'!$A$2:$O$25,3,FALSE)-1)*'Scope 3 Ratios'!$B$7</f>
        <v>100</v>
      </c>
      <c r="AJ425" s="60">
        <f>'Scope 3 Ratios'!$B$2+AF425+AG425+AH425+AI425</f>
        <v>1432.856</v>
      </c>
      <c r="AK425" s="60">
        <f>AJ425*'Scope 3 Ratios'!$B$4*(C425/D425)</f>
        <v>4.606661523</v>
      </c>
      <c r="AL425" s="61" t="s">
        <v>404</v>
      </c>
    </row>
    <row r="426" ht="15.0" customHeight="1">
      <c r="A426" s="56" t="s">
        <v>745</v>
      </c>
      <c r="B426" s="56" t="s">
        <v>264</v>
      </c>
      <c r="C426" s="56">
        <v>16.0</v>
      </c>
      <c r="D426" s="56">
        <f>VLOOKUP(E426,'AWS Platforms Ratios'!$A$2:$B$25,2,FALSE)</f>
        <v>72</v>
      </c>
      <c r="E426" s="57" t="s">
        <v>269</v>
      </c>
      <c r="F426" s="56">
        <v>60.78</v>
      </c>
      <c r="G426" s="56">
        <v>256.0</v>
      </c>
      <c r="H426" s="57" t="s">
        <v>71</v>
      </c>
      <c r="I426" s="56" t="s">
        <v>72</v>
      </c>
      <c r="J426" s="56">
        <v>0.0</v>
      </c>
      <c r="K426" s="58" t="s">
        <v>73</v>
      </c>
      <c r="L426" s="58" t="s">
        <v>73</v>
      </c>
      <c r="M426" s="58" t="s">
        <v>73</v>
      </c>
      <c r="N426" s="58" t="s">
        <v>73</v>
      </c>
      <c r="O426" s="59">
        <f>($C426/$D426)*VLOOKUP($E426,'AWS Platforms Ratios'!$A$2:$O$25,7,FALSE)</f>
        <v>7.773333333</v>
      </c>
      <c r="P426" s="59">
        <f>($C426/$D426)*VLOOKUP($E426,'AWS Platforms Ratios'!$A$2:$O$25,8,FALSE)</f>
        <v>22.19111111</v>
      </c>
      <c r="Q426" s="59">
        <f>($C426/$D426)*VLOOKUP($E426,'AWS Platforms Ratios'!$A$2:$O$25,9,FALSE)</f>
        <v>45.64222222</v>
      </c>
      <c r="R426" s="59">
        <f>($C426/$D426)*VLOOKUP($E426,'AWS Platforms Ratios'!$A$2:$O$25,10,FALSE)</f>
        <v>62.47388889</v>
      </c>
      <c r="S426" s="59">
        <f>$F426*VLOOKUP($E426,'AWS Platforms Ratios'!$A$2:$O$25,11,FALSE)</f>
        <v>12.156</v>
      </c>
      <c r="T426" s="59">
        <f>$F426*VLOOKUP($E426,'AWS Platforms Ratios'!$A$2:$O$25,12,FALSE)</f>
        <v>18.234</v>
      </c>
      <c r="U426" s="59">
        <f>$F426*VLOOKUP($E426,'AWS Platforms Ratios'!$A$2:$O$25,13,FALSE)</f>
        <v>24.312</v>
      </c>
      <c r="V426" s="59">
        <f>$F426*VLOOKUP($E426,'AWS Platforms Ratios'!$A$2:$O$25,14,FALSE)</f>
        <v>36.468</v>
      </c>
      <c r="W426" s="60">
        <f>IF($K426&lt;&gt;"N/A",$M426*(VLOOKUP($L426,'GPU Specs &amp; Ratios'!$B$2:$I$8,5,FALSE)),0)</f>
        <v>0</v>
      </c>
      <c r="X426" s="60">
        <f>IF($K426&lt;&gt;"N/A",$M426*(VLOOKUP($L426,'GPU Specs &amp; Ratios'!$B$2:$I$8,6,FALSE)),0)</f>
        <v>0</v>
      </c>
      <c r="Y426" s="60">
        <f>IF($K426&lt;&gt;"N/A",$M426*(VLOOKUP($L426,'GPU Specs &amp; Ratios'!$B$2:$I$8,7,FALSE)),0)</f>
        <v>0</v>
      </c>
      <c r="Z426" s="60">
        <f>IF($K426&lt;&gt;"N/A",$M426*(VLOOKUP($L426,'GPU Specs &amp; Ratios'!$B$2:$I$8,8,FALSE)),0)</f>
        <v>0</v>
      </c>
      <c r="AA426" s="60">
        <f>(C426/D426)*VLOOKUP($E426,'AWS Platforms Ratios'!$A$2:$O$25,15,FALSE)</f>
        <v>12.88888889</v>
      </c>
      <c r="AB426" s="60">
        <f t="shared" ref="AB426:AE426" si="426">O426+S426+W426+$AA426</f>
        <v>32.81822222</v>
      </c>
      <c r="AC426" s="60">
        <f t="shared" si="426"/>
        <v>53.314</v>
      </c>
      <c r="AD426" s="60">
        <f t="shared" si="426"/>
        <v>82.84311111</v>
      </c>
      <c r="AE426" s="60">
        <f t="shared" si="426"/>
        <v>111.8307778</v>
      </c>
      <c r="AF426" s="60">
        <f>IF(G426&gt;'Scope 3 Ratios'!$B$5,(G426-'Scope 3 Ratios'!$B$5)*('Scope 3 Ratios'!$B$6/'Scope 3 Ratios'!$B$5),0)</f>
        <v>332.856</v>
      </c>
      <c r="AG426" s="60">
        <f>J426*IF(I426="SSD",'Scope 3 Ratios'!$B$9,'Scope 3 Ratios'!$B$8)</f>
        <v>0</v>
      </c>
      <c r="AH426" s="60">
        <f>IF(K426&lt;&gt;"N/A",K426*'Scope 3 Ratios'!$B$10,0)</f>
        <v>0</v>
      </c>
      <c r="AI426" s="60">
        <f>(VLOOKUP($E426,'AWS Platforms Ratios'!$A$2:$O$25,3,FALSE)-1)*'Scope 3 Ratios'!$B$7</f>
        <v>100</v>
      </c>
      <c r="AJ426" s="60">
        <f>'Scope 3 Ratios'!$B$2+AF426+AG426+AH426+AI426</f>
        <v>1432.856</v>
      </c>
      <c r="AK426" s="60">
        <f>AJ426*'Scope 3 Ratios'!$B$4*(C426/D426)</f>
        <v>9.213323045</v>
      </c>
      <c r="AL426" s="61" t="s">
        <v>404</v>
      </c>
    </row>
    <row r="427" ht="15.0" customHeight="1">
      <c r="A427" s="56" t="s">
        <v>746</v>
      </c>
      <c r="B427" s="56" t="s">
        <v>264</v>
      </c>
      <c r="C427" s="56">
        <v>40.0</v>
      </c>
      <c r="D427" s="56">
        <f>VLOOKUP(E427,'AWS Platforms Ratios'!$A$2:$B$25,2,FALSE)</f>
        <v>48</v>
      </c>
      <c r="E427" s="57" t="s">
        <v>225</v>
      </c>
      <c r="F427" s="56">
        <v>154.64</v>
      </c>
      <c r="G427" s="56">
        <v>256.0</v>
      </c>
      <c r="H427" s="57" t="s">
        <v>71</v>
      </c>
      <c r="I427" s="56" t="s">
        <v>72</v>
      </c>
      <c r="J427" s="56">
        <v>0.0</v>
      </c>
      <c r="K427" s="58" t="s">
        <v>73</v>
      </c>
      <c r="L427" s="58" t="s">
        <v>73</v>
      </c>
      <c r="M427" s="58" t="s">
        <v>73</v>
      </c>
      <c r="N427" s="58" t="s">
        <v>73</v>
      </c>
      <c r="O427" s="59">
        <f>($C427/$D427)*VLOOKUP($E427,'AWS Platforms Ratios'!$A$2:$O$25,7,FALSE)</f>
        <v>24.12413793</v>
      </c>
      <c r="P427" s="59">
        <f>($C427/$D427)*VLOOKUP($E427,'AWS Platforms Ratios'!$A$2:$O$25,8,FALSE)</f>
        <v>68.86896552</v>
      </c>
      <c r="Q427" s="59">
        <f>($C427/$D427)*VLOOKUP($E427,'AWS Platforms Ratios'!$A$2:$O$25,9,FALSE)</f>
        <v>141.6482759</v>
      </c>
      <c r="R427" s="59">
        <f>($C427/$D427)*VLOOKUP($E427,'AWS Platforms Ratios'!$A$2:$O$25,10,FALSE)</f>
        <v>193.8844828</v>
      </c>
      <c r="S427" s="59">
        <f>$F427*VLOOKUP($E427,'AWS Platforms Ratios'!$A$2:$O$25,11,FALSE)</f>
        <v>30.928</v>
      </c>
      <c r="T427" s="59">
        <f>$F427*VLOOKUP($E427,'AWS Platforms Ratios'!$A$2:$O$25,12,FALSE)</f>
        <v>46.392</v>
      </c>
      <c r="U427" s="59">
        <f>$F427*VLOOKUP($E427,'AWS Platforms Ratios'!$A$2:$O$25,13,FALSE)</f>
        <v>61.856</v>
      </c>
      <c r="V427" s="59">
        <f>$F427*VLOOKUP($E427,'AWS Platforms Ratios'!$A$2:$O$25,14,FALSE)</f>
        <v>92.784</v>
      </c>
      <c r="W427" s="60">
        <f>IF($K427&lt;&gt;"N/A",$M427*(VLOOKUP($L427,'GPU Specs &amp; Ratios'!$B$2:$I$8,5,FALSE)),0)</f>
        <v>0</v>
      </c>
      <c r="X427" s="60">
        <f>IF($K427&lt;&gt;"N/A",$M427*(VLOOKUP($L427,'GPU Specs &amp; Ratios'!$B$2:$I$8,6,FALSE)),0)</f>
        <v>0</v>
      </c>
      <c r="Y427" s="60">
        <f>IF($K427&lt;&gt;"N/A",$M427*(VLOOKUP($L427,'GPU Specs &amp; Ratios'!$B$2:$I$8,7,FALSE)),0)</f>
        <v>0</v>
      </c>
      <c r="Z427" s="60">
        <f>IF($K427&lt;&gt;"N/A",$M427*(VLOOKUP($L427,'GPU Specs &amp; Ratios'!$B$2:$I$8,8,FALSE)),0)</f>
        <v>0</v>
      </c>
      <c r="AA427" s="60">
        <f>(C427/D427)*VLOOKUP($E427,'AWS Platforms Ratios'!$A$2:$O$25,15,FALSE)</f>
        <v>40</v>
      </c>
      <c r="AB427" s="60">
        <f t="shared" ref="AB427:AE427" si="427">O427+S427+W427+$AA427</f>
        <v>95.05213793</v>
      </c>
      <c r="AC427" s="60">
        <f t="shared" si="427"/>
        <v>155.2609655</v>
      </c>
      <c r="AD427" s="60">
        <f t="shared" si="427"/>
        <v>243.5042759</v>
      </c>
      <c r="AE427" s="60">
        <f t="shared" si="427"/>
        <v>326.6684828</v>
      </c>
      <c r="AF427" s="60">
        <f>IF(G427&gt;'Scope 3 Ratios'!$B$5,(G427-'Scope 3 Ratios'!$B$5)*('Scope 3 Ratios'!$B$6/'Scope 3 Ratios'!$B$5),0)</f>
        <v>332.856</v>
      </c>
      <c r="AG427" s="60">
        <f>J427*IF(I427="SSD",'Scope 3 Ratios'!$B$9,'Scope 3 Ratios'!$B$8)</f>
        <v>0</v>
      </c>
      <c r="AH427" s="60">
        <f>IF(K427&lt;&gt;"N/A",K427*'Scope 3 Ratios'!$B$10,0)</f>
        <v>0</v>
      </c>
      <c r="AI427" s="60">
        <f>(VLOOKUP($E427,'AWS Platforms Ratios'!$A$2:$O$25,3,FALSE)-1)*'Scope 3 Ratios'!$B$7</f>
        <v>100</v>
      </c>
      <c r="AJ427" s="60">
        <f>'Scope 3 Ratios'!$B$2+AF427+AG427+AH427+AI427</f>
        <v>1432.856</v>
      </c>
      <c r="AK427" s="60">
        <f>AJ427*'Scope 3 Ratios'!$B$4*(C427/D427)</f>
        <v>34.54996142</v>
      </c>
      <c r="AL427" s="61" t="s">
        <v>404</v>
      </c>
    </row>
    <row r="428" ht="15.0" customHeight="1">
      <c r="A428" s="56" t="s">
        <v>747</v>
      </c>
      <c r="B428" s="56" t="s">
        <v>313</v>
      </c>
      <c r="C428" s="56">
        <v>2.0</v>
      </c>
      <c r="D428" s="56">
        <f>VLOOKUP(E428,'AWS Platforms Ratios'!$A$2:$B$25,2,FALSE)</f>
        <v>96</v>
      </c>
      <c r="E428" s="57" t="s">
        <v>237</v>
      </c>
      <c r="F428" s="56">
        <v>6.38</v>
      </c>
      <c r="G428" s="56">
        <v>384.0</v>
      </c>
      <c r="H428" s="57" t="s">
        <v>71</v>
      </c>
      <c r="I428" s="56" t="s">
        <v>72</v>
      </c>
      <c r="J428" s="56">
        <v>0.0</v>
      </c>
      <c r="K428" s="58" t="s">
        <v>73</v>
      </c>
      <c r="L428" s="58" t="s">
        <v>73</v>
      </c>
      <c r="M428" s="58" t="s">
        <v>73</v>
      </c>
      <c r="N428" s="58" t="s">
        <v>73</v>
      </c>
      <c r="O428" s="59">
        <f>($C428/$D428)*VLOOKUP($E428,'AWS Platforms Ratios'!$A$2:$O$25,7,FALSE)</f>
        <v>1.139791667</v>
      </c>
      <c r="P428" s="59">
        <f>($C428/$D428)*VLOOKUP($E428,'AWS Platforms Ratios'!$A$2:$O$25,8,FALSE)</f>
        <v>2.873333333</v>
      </c>
      <c r="Q428" s="59">
        <f>($C428/$D428)*VLOOKUP($E428,'AWS Platforms Ratios'!$A$2:$O$25,9,FALSE)</f>
        <v>6.394375</v>
      </c>
      <c r="R428" s="59">
        <f>($C428/$D428)*VLOOKUP($E428,'AWS Platforms Ratios'!$A$2:$O$25,10,FALSE)</f>
        <v>9.278802083</v>
      </c>
      <c r="S428" s="59">
        <f>$F428*VLOOKUP($E428,'AWS Platforms Ratios'!$A$2:$O$25,11,FALSE)</f>
        <v>0.9921398438</v>
      </c>
      <c r="T428" s="59">
        <f>$F428*VLOOKUP($E428,'AWS Platforms Ratios'!$A$2:$O$25,12,FALSE)</f>
        <v>1.642019271</v>
      </c>
      <c r="U428" s="59">
        <f>$F428*VLOOKUP($E428,'AWS Platforms Ratios'!$A$2:$O$25,13,FALSE)</f>
        <v>2.938953646</v>
      </c>
      <c r="V428" s="59">
        <f>$F428*VLOOKUP($E428,'AWS Platforms Ratios'!$A$2:$O$25,14,FALSE)</f>
        <v>4.235888021</v>
      </c>
      <c r="W428" s="60">
        <f>IF($K428&lt;&gt;"N/A",$M428*(VLOOKUP($L428,'GPU Specs &amp; Ratios'!$B$2:$I$8,5,FALSE)),0)</f>
        <v>0</v>
      </c>
      <c r="X428" s="60">
        <f>IF($K428&lt;&gt;"N/A",$M428*(VLOOKUP($L428,'GPU Specs &amp; Ratios'!$B$2:$I$8,6,FALSE)),0)</f>
        <v>0</v>
      </c>
      <c r="Y428" s="60">
        <f>IF($K428&lt;&gt;"N/A",$M428*(VLOOKUP($L428,'GPU Specs &amp; Ratios'!$B$2:$I$8,7,FALSE)),0)</f>
        <v>0</v>
      </c>
      <c r="Z428" s="60">
        <f>IF($K428&lt;&gt;"N/A",$M428*(VLOOKUP($L428,'GPU Specs &amp; Ratios'!$B$2:$I$8,8,FALSE)),0)</f>
        <v>0</v>
      </c>
      <c r="AA428" s="60">
        <f>(C428/D428)*VLOOKUP($E428,'AWS Platforms Ratios'!$A$2:$O$25,15,FALSE)</f>
        <v>1.75</v>
      </c>
      <c r="AB428" s="60">
        <f t="shared" ref="AB428:AE428" si="428">O428+S428+W428+$AA428</f>
        <v>3.88193151</v>
      </c>
      <c r="AC428" s="60">
        <f t="shared" si="428"/>
        <v>6.265352604</v>
      </c>
      <c r="AD428" s="60">
        <f t="shared" si="428"/>
        <v>11.08332865</v>
      </c>
      <c r="AE428" s="60">
        <f t="shared" si="428"/>
        <v>15.2646901</v>
      </c>
      <c r="AF428" s="60">
        <f>IF(G428&gt;'Scope 3 Ratios'!$B$5,(G428-'Scope 3 Ratios'!$B$5)*('Scope 3 Ratios'!$B$6/'Scope 3 Ratios'!$B$5),0)</f>
        <v>510.3792</v>
      </c>
      <c r="AG428" s="60">
        <f>J428*IF(I428="SSD",'Scope 3 Ratios'!$B$9,'Scope 3 Ratios'!$B$8)</f>
        <v>0</v>
      </c>
      <c r="AH428" s="60">
        <f>IF(K428&lt;&gt;"N/A",K428*'Scope 3 Ratios'!$B$10,0)</f>
        <v>0</v>
      </c>
      <c r="AI428" s="60">
        <f>(VLOOKUP($E428,'AWS Platforms Ratios'!$A$2:$O$25,3,FALSE)-1)*'Scope 3 Ratios'!$B$7</f>
        <v>100</v>
      </c>
      <c r="AJ428" s="60">
        <f>'Scope 3 Ratios'!$B$2+AF428+AG428+AH428+AI428</f>
        <v>1610.3792</v>
      </c>
      <c r="AK428" s="60">
        <f>AJ428*'Scope 3 Ratios'!$B$4*(C428/D428)</f>
        <v>0.9707629244</v>
      </c>
      <c r="AL428" s="61" t="s">
        <v>412</v>
      </c>
    </row>
    <row r="429" ht="15.0" customHeight="1">
      <c r="A429" s="56" t="s">
        <v>748</v>
      </c>
      <c r="B429" s="56" t="s">
        <v>313</v>
      </c>
      <c r="C429" s="56">
        <v>4.0</v>
      </c>
      <c r="D429" s="56">
        <f>VLOOKUP(E429,'AWS Platforms Ratios'!$A$2:$B$25,2,FALSE)</f>
        <v>96</v>
      </c>
      <c r="E429" s="57" t="s">
        <v>237</v>
      </c>
      <c r="F429" s="56">
        <v>12.93</v>
      </c>
      <c r="G429" s="56">
        <v>384.0</v>
      </c>
      <c r="H429" s="57" t="s">
        <v>71</v>
      </c>
      <c r="I429" s="56" t="s">
        <v>72</v>
      </c>
      <c r="J429" s="56">
        <v>0.0</v>
      </c>
      <c r="K429" s="58" t="s">
        <v>73</v>
      </c>
      <c r="L429" s="58" t="s">
        <v>73</v>
      </c>
      <c r="M429" s="58" t="s">
        <v>73</v>
      </c>
      <c r="N429" s="58" t="s">
        <v>73</v>
      </c>
      <c r="O429" s="59">
        <f>($C429/$D429)*VLOOKUP($E429,'AWS Platforms Ratios'!$A$2:$O$25,7,FALSE)</f>
        <v>2.279583333</v>
      </c>
      <c r="P429" s="59">
        <f>($C429/$D429)*VLOOKUP($E429,'AWS Platforms Ratios'!$A$2:$O$25,8,FALSE)</f>
        <v>5.746666667</v>
      </c>
      <c r="Q429" s="59">
        <f>($C429/$D429)*VLOOKUP($E429,'AWS Platforms Ratios'!$A$2:$O$25,9,FALSE)</f>
        <v>12.78875</v>
      </c>
      <c r="R429" s="59">
        <f>($C429/$D429)*VLOOKUP($E429,'AWS Platforms Ratios'!$A$2:$O$25,10,FALSE)</f>
        <v>18.55760417</v>
      </c>
      <c r="S429" s="59">
        <f>$F429*VLOOKUP($E429,'AWS Platforms Ratios'!$A$2:$O$25,11,FALSE)</f>
        <v>2.010716016</v>
      </c>
      <c r="T429" s="59">
        <f>$F429*VLOOKUP($E429,'AWS Platforms Ratios'!$A$2:$O$25,12,FALSE)</f>
        <v>3.327791406</v>
      </c>
      <c r="U429" s="59">
        <f>$F429*VLOOKUP($E429,'AWS Platforms Ratios'!$A$2:$O$25,13,FALSE)</f>
        <v>5.956217969</v>
      </c>
      <c r="V429" s="59">
        <f>$F429*VLOOKUP($E429,'AWS Platforms Ratios'!$A$2:$O$25,14,FALSE)</f>
        <v>8.584644531</v>
      </c>
      <c r="W429" s="60">
        <f>IF($K429&lt;&gt;"N/A",$M429*(VLOOKUP($L429,'GPU Specs &amp; Ratios'!$B$2:$I$8,5,FALSE)),0)</f>
        <v>0</v>
      </c>
      <c r="X429" s="60">
        <f>IF($K429&lt;&gt;"N/A",$M429*(VLOOKUP($L429,'GPU Specs &amp; Ratios'!$B$2:$I$8,6,FALSE)),0)</f>
        <v>0</v>
      </c>
      <c r="Y429" s="60">
        <f>IF($K429&lt;&gt;"N/A",$M429*(VLOOKUP($L429,'GPU Specs &amp; Ratios'!$B$2:$I$8,7,FALSE)),0)</f>
        <v>0</v>
      </c>
      <c r="Z429" s="60">
        <f>IF($K429&lt;&gt;"N/A",$M429*(VLOOKUP($L429,'GPU Specs &amp; Ratios'!$B$2:$I$8,8,FALSE)),0)</f>
        <v>0</v>
      </c>
      <c r="AA429" s="60">
        <f>(C429/D429)*VLOOKUP($E429,'AWS Platforms Ratios'!$A$2:$O$25,15,FALSE)</f>
        <v>3.5</v>
      </c>
      <c r="AB429" s="60">
        <f t="shared" ref="AB429:AE429" si="429">O429+S429+W429+$AA429</f>
        <v>7.790299349</v>
      </c>
      <c r="AC429" s="60">
        <f t="shared" si="429"/>
        <v>12.57445807</v>
      </c>
      <c r="AD429" s="60">
        <f t="shared" si="429"/>
        <v>22.24496797</v>
      </c>
      <c r="AE429" s="60">
        <f t="shared" si="429"/>
        <v>30.6422487</v>
      </c>
      <c r="AF429" s="60">
        <f>IF(G429&gt;'Scope 3 Ratios'!$B$5,(G429-'Scope 3 Ratios'!$B$5)*('Scope 3 Ratios'!$B$6/'Scope 3 Ratios'!$B$5),0)</f>
        <v>510.3792</v>
      </c>
      <c r="AG429" s="60">
        <f>J429*IF(I429="SSD",'Scope 3 Ratios'!$B$9,'Scope 3 Ratios'!$B$8)</f>
        <v>0</v>
      </c>
      <c r="AH429" s="60">
        <f>IF(K429&lt;&gt;"N/A",K429*'Scope 3 Ratios'!$B$10,0)</f>
        <v>0</v>
      </c>
      <c r="AI429" s="60">
        <f>(VLOOKUP($E429,'AWS Platforms Ratios'!$A$2:$O$25,3,FALSE)-1)*'Scope 3 Ratios'!$B$7</f>
        <v>100</v>
      </c>
      <c r="AJ429" s="60">
        <f>'Scope 3 Ratios'!$B$2+AF429+AG429+AH429+AI429</f>
        <v>1610.3792</v>
      </c>
      <c r="AK429" s="60">
        <f>AJ429*'Scope 3 Ratios'!$B$4*(C429/D429)</f>
        <v>1.941525849</v>
      </c>
      <c r="AL429" s="61" t="s">
        <v>412</v>
      </c>
    </row>
    <row r="430" ht="15.0" customHeight="1">
      <c r="A430" s="56" t="s">
        <v>749</v>
      </c>
      <c r="B430" s="56" t="s">
        <v>313</v>
      </c>
      <c r="C430" s="56">
        <v>8.0</v>
      </c>
      <c r="D430" s="56">
        <f>VLOOKUP(E430,'AWS Platforms Ratios'!$A$2:$B$25,2,FALSE)</f>
        <v>96</v>
      </c>
      <c r="E430" s="57" t="s">
        <v>237</v>
      </c>
      <c r="F430" s="56">
        <v>26.04</v>
      </c>
      <c r="G430" s="56">
        <v>384.0</v>
      </c>
      <c r="H430" s="57" t="s">
        <v>71</v>
      </c>
      <c r="I430" s="56" t="s">
        <v>72</v>
      </c>
      <c r="J430" s="56">
        <v>0.0</v>
      </c>
      <c r="K430" s="58" t="s">
        <v>73</v>
      </c>
      <c r="L430" s="58" t="s">
        <v>73</v>
      </c>
      <c r="M430" s="58" t="s">
        <v>73</v>
      </c>
      <c r="N430" s="58" t="s">
        <v>73</v>
      </c>
      <c r="O430" s="59">
        <f>($C430/$D430)*VLOOKUP($E430,'AWS Platforms Ratios'!$A$2:$O$25,7,FALSE)</f>
        <v>4.559166667</v>
      </c>
      <c r="P430" s="59">
        <f>($C430/$D430)*VLOOKUP($E430,'AWS Platforms Ratios'!$A$2:$O$25,8,FALSE)</f>
        <v>11.49333333</v>
      </c>
      <c r="Q430" s="59">
        <f>($C430/$D430)*VLOOKUP($E430,'AWS Platforms Ratios'!$A$2:$O$25,9,FALSE)</f>
        <v>25.5775</v>
      </c>
      <c r="R430" s="59">
        <f>($C430/$D430)*VLOOKUP($E430,'AWS Platforms Ratios'!$A$2:$O$25,10,FALSE)</f>
        <v>37.11520833</v>
      </c>
      <c r="S430" s="59">
        <f>$F430*VLOOKUP($E430,'AWS Platforms Ratios'!$A$2:$O$25,11,FALSE)</f>
        <v>4.049423438</v>
      </c>
      <c r="T430" s="59">
        <f>$F430*VLOOKUP($E430,'AWS Platforms Ratios'!$A$2:$O$25,12,FALSE)</f>
        <v>6.701909375</v>
      </c>
      <c r="U430" s="59">
        <f>$F430*VLOOKUP($E430,'AWS Platforms Ratios'!$A$2:$O$25,13,FALSE)</f>
        <v>11.99535313</v>
      </c>
      <c r="V430" s="59">
        <f>$F430*VLOOKUP($E430,'AWS Platforms Ratios'!$A$2:$O$25,14,FALSE)</f>
        <v>17.28879688</v>
      </c>
      <c r="W430" s="60">
        <f>IF($K430&lt;&gt;"N/A",$M430*(VLOOKUP($L430,'GPU Specs &amp; Ratios'!$B$2:$I$8,5,FALSE)),0)</f>
        <v>0</v>
      </c>
      <c r="X430" s="60">
        <f>IF($K430&lt;&gt;"N/A",$M430*(VLOOKUP($L430,'GPU Specs &amp; Ratios'!$B$2:$I$8,6,FALSE)),0)</f>
        <v>0</v>
      </c>
      <c r="Y430" s="60">
        <f>IF($K430&lt;&gt;"N/A",$M430*(VLOOKUP($L430,'GPU Specs &amp; Ratios'!$B$2:$I$8,7,FALSE)),0)</f>
        <v>0</v>
      </c>
      <c r="Z430" s="60">
        <f>IF($K430&lt;&gt;"N/A",$M430*(VLOOKUP($L430,'GPU Specs &amp; Ratios'!$B$2:$I$8,8,FALSE)),0)</f>
        <v>0</v>
      </c>
      <c r="AA430" s="60">
        <f>(C430/D430)*VLOOKUP($E430,'AWS Platforms Ratios'!$A$2:$O$25,15,FALSE)</f>
        <v>7</v>
      </c>
      <c r="AB430" s="60">
        <f t="shared" ref="AB430:AE430" si="430">O430+S430+W430+$AA430</f>
        <v>15.6085901</v>
      </c>
      <c r="AC430" s="60">
        <f t="shared" si="430"/>
        <v>25.19524271</v>
      </c>
      <c r="AD430" s="60">
        <f t="shared" si="430"/>
        <v>44.57285313</v>
      </c>
      <c r="AE430" s="60">
        <f t="shared" si="430"/>
        <v>61.40400521</v>
      </c>
      <c r="AF430" s="60">
        <f>IF(G430&gt;'Scope 3 Ratios'!$B$5,(G430-'Scope 3 Ratios'!$B$5)*('Scope 3 Ratios'!$B$6/'Scope 3 Ratios'!$B$5),0)</f>
        <v>510.3792</v>
      </c>
      <c r="AG430" s="60">
        <f>J430*IF(I430="SSD",'Scope 3 Ratios'!$B$9,'Scope 3 Ratios'!$B$8)</f>
        <v>0</v>
      </c>
      <c r="AH430" s="60">
        <f>IF(K430&lt;&gt;"N/A",K430*'Scope 3 Ratios'!$B$10,0)</f>
        <v>0</v>
      </c>
      <c r="AI430" s="60">
        <f>(VLOOKUP($E430,'AWS Platforms Ratios'!$A$2:$O$25,3,FALSE)-1)*'Scope 3 Ratios'!$B$7</f>
        <v>100</v>
      </c>
      <c r="AJ430" s="60">
        <f>'Scope 3 Ratios'!$B$2+AF430+AG430+AH430+AI430</f>
        <v>1610.3792</v>
      </c>
      <c r="AK430" s="60">
        <f>AJ430*'Scope 3 Ratios'!$B$4*(C430/D430)</f>
        <v>3.883051698</v>
      </c>
      <c r="AL430" s="61" t="s">
        <v>412</v>
      </c>
    </row>
    <row r="431" ht="15.0" customHeight="1">
      <c r="A431" s="56" t="s">
        <v>750</v>
      </c>
      <c r="B431" s="56" t="s">
        <v>313</v>
      </c>
      <c r="C431" s="56">
        <v>16.0</v>
      </c>
      <c r="D431" s="56">
        <f>VLOOKUP(E431,'AWS Platforms Ratios'!$A$2:$B$25,2,FALSE)</f>
        <v>96</v>
      </c>
      <c r="E431" s="57" t="s">
        <v>237</v>
      </c>
      <c r="F431" s="56">
        <v>52.26</v>
      </c>
      <c r="G431" s="56">
        <v>384.0</v>
      </c>
      <c r="H431" s="57" t="s">
        <v>71</v>
      </c>
      <c r="I431" s="56" t="s">
        <v>72</v>
      </c>
      <c r="J431" s="56">
        <v>0.0</v>
      </c>
      <c r="K431" s="58" t="s">
        <v>73</v>
      </c>
      <c r="L431" s="58" t="s">
        <v>73</v>
      </c>
      <c r="M431" s="58" t="s">
        <v>73</v>
      </c>
      <c r="N431" s="58" t="s">
        <v>73</v>
      </c>
      <c r="O431" s="59">
        <f>($C431/$D431)*VLOOKUP($E431,'AWS Platforms Ratios'!$A$2:$O$25,7,FALSE)</f>
        <v>9.118333333</v>
      </c>
      <c r="P431" s="59">
        <f>($C431/$D431)*VLOOKUP($E431,'AWS Platforms Ratios'!$A$2:$O$25,8,FALSE)</f>
        <v>22.98666667</v>
      </c>
      <c r="Q431" s="59">
        <f>($C431/$D431)*VLOOKUP($E431,'AWS Platforms Ratios'!$A$2:$O$25,9,FALSE)</f>
        <v>51.155</v>
      </c>
      <c r="R431" s="59">
        <f>($C431/$D431)*VLOOKUP($E431,'AWS Platforms Ratios'!$A$2:$O$25,10,FALSE)</f>
        <v>74.23041667</v>
      </c>
      <c r="S431" s="59">
        <f>$F431*VLOOKUP($E431,'AWS Platforms Ratios'!$A$2:$O$25,11,FALSE)</f>
        <v>8.126838281</v>
      </c>
      <c r="T431" s="59">
        <f>$F431*VLOOKUP($E431,'AWS Platforms Ratios'!$A$2:$O$25,12,FALSE)</f>
        <v>13.45014531</v>
      </c>
      <c r="U431" s="59">
        <f>$F431*VLOOKUP($E431,'AWS Platforms Ratios'!$A$2:$O$25,13,FALSE)</f>
        <v>24.07362344</v>
      </c>
      <c r="V431" s="59">
        <f>$F431*VLOOKUP($E431,'AWS Platforms Ratios'!$A$2:$O$25,14,FALSE)</f>
        <v>34.69710156</v>
      </c>
      <c r="W431" s="60">
        <f>IF($K431&lt;&gt;"N/A",$M431*(VLOOKUP($L431,'GPU Specs &amp; Ratios'!$B$2:$I$8,5,FALSE)),0)</f>
        <v>0</v>
      </c>
      <c r="X431" s="60">
        <f>IF($K431&lt;&gt;"N/A",$M431*(VLOOKUP($L431,'GPU Specs &amp; Ratios'!$B$2:$I$8,6,FALSE)),0)</f>
        <v>0</v>
      </c>
      <c r="Y431" s="60">
        <f>IF($K431&lt;&gt;"N/A",$M431*(VLOOKUP($L431,'GPU Specs &amp; Ratios'!$B$2:$I$8,7,FALSE)),0)</f>
        <v>0</v>
      </c>
      <c r="Z431" s="60">
        <f>IF($K431&lt;&gt;"N/A",$M431*(VLOOKUP($L431,'GPU Specs &amp; Ratios'!$B$2:$I$8,8,FALSE)),0)</f>
        <v>0</v>
      </c>
      <c r="AA431" s="60">
        <f>(C431/D431)*VLOOKUP($E431,'AWS Platforms Ratios'!$A$2:$O$25,15,FALSE)</f>
        <v>14</v>
      </c>
      <c r="AB431" s="60">
        <f t="shared" ref="AB431:AE431" si="431">O431+S431+W431+$AA431</f>
        <v>31.24517161</v>
      </c>
      <c r="AC431" s="60">
        <f t="shared" si="431"/>
        <v>50.43681198</v>
      </c>
      <c r="AD431" s="60">
        <f t="shared" si="431"/>
        <v>89.22862344</v>
      </c>
      <c r="AE431" s="60">
        <f t="shared" si="431"/>
        <v>122.9275182</v>
      </c>
      <c r="AF431" s="60">
        <f>IF(G431&gt;'Scope 3 Ratios'!$B$5,(G431-'Scope 3 Ratios'!$B$5)*('Scope 3 Ratios'!$B$6/'Scope 3 Ratios'!$B$5),0)</f>
        <v>510.3792</v>
      </c>
      <c r="AG431" s="60">
        <f>J431*IF(I431="SSD",'Scope 3 Ratios'!$B$9,'Scope 3 Ratios'!$B$8)</f>
        <v>0</v>
      </c>
      <c r="AH431" s="60">
        <f>IF(K431&lt;&gt;"N/A",K431*'Scope 3 Ratios'!$B$10,0)</f>
        <v>0</v>
      </c>
      <c r="AI431" s="60">
        <f>(VLOOKUP($E431,'AWS Platforms Ratios'!$A$2:$O$25,3,FALSE)-1)*'Scope 3 Ratios'!$B$7</f>
        <v>100</v>
      </c>
      <c r="AJ431" s="60">
        <f>'Scope 3 Ratios'!$B$2+AF431+AG431+AH431+AI431</f>
        <v>1610.3792</v>
      </c>
      <c r="AK431" s="60">
        <f>AJ431*'Scope 3 Ratios'!$B$4*(C431/D431)</f>
        <v>7.766103395</v>
      </c>
      <c r="AL431" s="61" t="s">
        <v>412</v>
      </c>
    </row>
    <row r="432" ht="15.0" customHeight="1">
      <c r="A432" s="56" t="s">
        <v>751</v>
      </c>
      <c r="B432" s="56" t="s">
        <v>313</v>
      </c>
      <c r="C432" s="56">
        <v>48.0</v>
      </c>
      <c r="D432" s="56">
        <f>VLOOKUP(E432,'AWS Platforms Ratios'!$A$2:$B$25,2,FALSE)</f>
        <v>96</v>
      </c>
      <c r="E432" s="57" t="s">
        <v>237</v>
      </c>
      <c r="F432" s="56">
        <v>157.12</v>
      </c>
      <c r="G432" s="56">
        <v>384.0</v>
      </c>
      <c r="H432" s="57" t="s">
        <v>71</v>
      </c>
      <c r="I432" s="56" t="s">
        <v>72</v>
      </c>
      <c r="J432" s="56">
        <v>0.0</v>
      </c>
      <c r="K432" s="58" t="s">
        <v>73</v>
      </c>
      <c r="L432" s="58" t="s">
        <v>73</v>
      </c>
      <c r="M432" s="58" t="s">
        <v>73</v>
      </c>
      <c r="N432" s="58" t="s">
        <v>73</v>
      </c>
      <c r="O432" s="59">
        <f>($C432/$D432)*VLOOKUP($E432,'AWS Platforms Ratios'!$A$2:$O$25,7,FALSE)</f>
        <v>27.355</v>
      </c>
      <c r="P432" s="59">
        <f>($C432/$D432)*VLOOKUP($E432,'AWS Platforms Ratios'!$A$2:$O$25,8,FALSE)</f>
        <v>68.96</v>
      </c>
      <c r="Q432" s="59">
        <f>($C432/$D432)*VLOOKUP($E432,'AWS Platforms Ratios'!$A$2:$O$25,9,FALSE)</f>
        <v>153.465</v>
      </c>
      <c r="R432" s="59">
        <f>($C432/$D432)*VLOOKUP($E432,'AWS Platforms Ratios'!$A$2:$O$25,10,FALSE)</f>
        <v>222.69125</v>
      </c>
      <c r="S432" s="59">
        <f>$F432*VLOOKUP($E432,'AWS Platforms Ratios'!$A$2:$O$25,11,FALSE)</f>
        <v>24.4333875</v>
      </c>
      <c r="T432" s="59">
        <f>$F432*VLOOKUP($E432,'AWS Platforms Ratios'!$A$2:$O$25,12,FALSE)</f>
        <v>40.43794167</v>
      </c>
      <c r="U432" s="59">
        <f>$F432*VLOOKUP($E432,'AWS Platforms Ratios'!$A$2:$O$25,13,FALSE)</f>
        <v>72.37749167</v>
      </c>
      <c r="V432" s="59">
        <f>$F432*VLOOKUP($E432,'AWS Platforms Ratios'!$A$2:$O$25,14,FALSE)</f>
        <v>104.3170417</v>
      </c>
      <c r="W432" s="60">
        <f>IF($K432&lt;&gt;"N/A",$M432*(VLOOKUP($L432,'GPU Specs &amp; Ratios'!$B$2:$I$8,5,FALSE)),0)</f>
        <v>0</v>
      </c>
      <c r="X432" s="60">
        <f>IF($K432&lt;&gt;"N/A",$M432*(VLOOKUP($L432,'GPU Specs &amp; Ratios'!$B$2:$I$8,6,FALSE)),0)</f>
        <v>0</v>
      </c>
      <c r="Y432" s="60">
        <f>IF($K432&lt;&gt;"N/A",$M432*(VLOOKUP($L432,'GPU Specs &amp; Ratios'!$B$2:$I$8,7,FALSE)),0)</f>
        <v>0</v>
      </c>
      <c r="Z432" s="60">
        <f>IF($K432&lt;&gt;"N/A",$M432*(VLOOKUP($L432,'GPU Specs &amp; Ratios'!$B$2:$I$8,8,FALSE)),0)</f>
        <v>0</v>
      </c>
      <c r="AA432" s="60">
        <f>(C432/D432)*VLOOKUP($E432,'AWS Platforms Ratios'!$A$2:$O$25,15,FALSE)</f>
        <v>42</v>
      </c>
      <c r="AB432" s="60">
        <f t="shared" ref="AB432:AE432" si="432">O432+S432+W432+$AA432</f>
        <v>93.7883875</v>
      </c>
      <c r="AC432" s="60">
        <f t="shared" si="432"/>
        <v>151.3979417</v>
      </c>
      <c r="AD432" s="60">
        <f t="shared" si="432"/>
        <v>267.8424917</v>
      </c>
      <c r="AE432" s="60">
        <f t="shared" si="432"/>
        <v>369.0082917</v>
      </c>
      <c r="AF432" s="60">
        <f>IF(G432&gt;'Scope 3 Ratios'!$B$5,(G432-'Scope 3 Ratios'!$B$5)*('Scope 3 Ratios'!$B$6/'Scope 3 Ratios'!$B$5),0)</f>
        <v>510.3792</v>
      </c>
      <c r="AG432" s="60">
        <f>J432*IF(I432="SSD",'Scope 3 Ratios'!$B$9,'Scope 3 Ratios'!$B$8)</f>
        <v>0</v>
      </c>
      <c r="AH432" s="60">
        <f>IF(K432&lt;&gt;"N/A",K432*'Scope 3 Ratios'!$B$10,0)</f>
        <v>0</v>
      </c>
      <c r="AI432" s="60">
        <f>(VLOOKUP($E432,'AWS Platforms Ratios'!$A$2:$O$25,3,FALSE)-1)*'Scope 3 Ratios'!$B$7</f>
        <v>100</v>
      </c>
      <c r="AJ432" s="60">
        <f>'Scope 3 Ratios'!$B$2+AF432+AG432+AH432+AI432</f>
        <v>1610.3792</v>
      </c>
      <c r="AK432" s="60">
        <f>AJ432*'Scope 3 Ratios'!$B$4*(C432/D432)</f>
        <v>23.29831019</v>
      </c>
      <c r="AL432" s="61" t="s">
        <v>412</v>
      </c>
    </row>
    <row r="433" ht="15.0" customHeight="1">
      <c r="A433" s="56" t="s">
        <v>752</v>
      </c>
      <c r="B433" s="56" t="s">
        <v>313</v>
      </c>
      <c r="C433" s="56">
        <v>96.0</v>
      </c>
      <c r="D433" s="56">
        <f>VLOOKUP(E433,'AWS Platforms Ratios'!$A$2:$B$25,2,FALSE)</f>
        <v>96</v>
      </c>
      <c r="E433" s="57" t="s">
        <v>237</v>
      </c>
      <c r="F433" s="56">
        <v>314.32</v>
      </c>
      <c r="G433" s="56">
        <v>384.0</v>
      </c>
      <c r="H433" s="57" t="s">
        <v>71</v>
      </c>
      <c r="I433" s="56" t="s">
        <v>72</v>
      </c>
      <c r="J433" s="56">
        <v>0.0</v>
      </c>
      <c r="K433" s="58" t="s">
        <v>73</v>
      </c>
      <c r="L433" s="58" t="s">
        <v>73</v>
      </c>
      <c r="M433" s="58" t="s">
        <v>73</v>
      </c>
      <c r="N433" s="58" t="s">
        <v>73</v>
      </c>
      <c r="O433" s="59">
        <f>($C433/$D433)*VLOOKUP($E433,'AWS Platforms Ratios'!$A$2:$O$25,7,FALSE)</f>
        <v>54.71</v>
      </c>
      <c r="P433" s="59">
        <f>($C433/$D433)*VLOOKUP($E433,'AWS Platforms Ratios'!$A$2:$O$25,8,FALSE)</f>
        <v>137.92</v>
      </c>
      <c r="Q433" s="59">
        <f>($C433/$D433)*VLOOKUP($E433,'AWS Platforms Ratios'!$A$2:$O$25,9,FALSE)</f>
        <v>306.93</v>
      </c>
      <c r="R433" s="59">
        <f>($C433/$D433)*VLOOKUP($E433,'AWS Platforms Ratios'!$A$2:$O$25,10,FALSE)</f>
        <v>445.3825</v>
      </c>
      <c r="S433" s="59">
        <f>$F433*VLOOKUP($E433,'AWS Platforms Ratios'!$A$2:$O$25,11,FALSE)</f>
        <v>48.87921563</v>
      </c>
      <c r="T433" s="59">
        <f>$F433*VLOOKUP($E433,'AWS Platforms Ratios'!$A$2:$O$25,12,FALSE)</f>
        <v>80.89647292</v>
      </c>
      <c r="U433" s="59">
        <f>$F433*VLOOKUP($E433,'AWS Platforms Ratios'!$A$2:$O$25,13,FALSE)</f>
        <v>144.7918354</v>
      </c>
      <c r="V433" s="59">
        <f>$F433*VLOOKUP($E433,'AWS Platforms Ratios'!$A$2:$O$25,14,FALSE)</f>
        <v>208.6871979</v>
      </c>
      <c r="W433" s="60">
        <f>IF($K433&lt;&gt;"N/A",$M433*(VLOOKUP($L433,'GPU Specs &amp; Ratios'!$B$2:$I$8,5,FALSE)),0)</f>
        <v>0</v>
      </c>
      <c r="X433" s="60">
        <f>IF($K433&lt;&gt;"N/A",$M433*(VLOOKUP($L433,'GPU Specs &amp; Ratios'!$B$2:$I$8,6,FALSE)),0)</f>
        <v>0</v>
      </c>
      <c r="Y433" s="60">
        <f>IF($K433&lt;&gt;"N/A",$M433*(VLOOKUP($L433,'GPU Specs &amp; Ratios'!$B$2:$I$8,7,FALSE)),0)</f>
        <v>0</v>
      </c>
      <c r="Z433" s="60">
        <f>IF($K433&lt;&gt;"N/A",$M433*(VLOOKUP($L433,'GPU Specs &amp; Ratios'!$B$2:$I$8,8,FALSE)),0)</f>
        <v>0</v>
      </c>
      <c r="AA433" s="60">
        <f>(C433/D433)*VLOOKUP($E433,'AWS Platforms Ratios'!$A$2:$O$25,15,FALSE)</f>
        <v>84</v>
      </c>
      <c r="AB433" s="60">
        <f t="shared" ref="AB433:AE433" si="433">O433+S433+W433+$AA433</f>
        <v>187.5892156</v>
      </c>
      <c r="AC433" s="60">
        <f t="shared" si="433"/>
        <v>302.8164729</v>
      </c>
      <c r="AD433" s="60">
        <f t="shared" si="433"/>
        <v>535.7218354</v>
      </c>
      <c r="AE433" s="60">
        <f t="shared" si="433"/>
        <v>738.0696979</v>
      </c>
      <c r="AF433" s="60">
        <f>IF(G433&gt;'Scope 3 Ratios'!$B$5,(G433-'Scope 3 Ratios'!$B$5)*('Scope 3 Ratios'!$B$6/'Scope 3 Ratios'!$B$5),0)</f>
        <v>510.3792</v>
      </c>
      <c r="AG433" s="60">
        <f>J433*IF(I433="SSD",'Scope 3 Ratios'!$B$9,'Scope 3 Ratios'!$B$8)</f>
        <v>0</v>
      </c>
      <c r="AH433" s="60">
        <f>IF(K433&lt;&gt;"N/A",K433*'Scope 3 Ratios'!$B$10,0)</f>
        <v>0</v>
      </c>
      <c r="AI433" s="60">
        <f>(VLOOKUP($E433,'AWS Platforms Ratios'!$A$2:$O$25,3,FALSE)-1)*'Scope 3 Ratios'!$B$7</f>
        <v>100</v>
      </c>
      <c r="AJ433" s="60">
        <f>'Scope 3 Ratios'!$B$2+AF433+AG433+AH433+AI433</f>
        <v>1610.3792</v>
      </c>
      <c r="AK433" s="60">
        <f>AJ433*'Scope 3 Ratios'!$B$4*(C433/D433)</f>
        <v>46.59662037</v>
      </c>
      <c r="AL433" s="61" t="s">
        <v>412</v>
      </c>
    </row>
    <row r="434" ht="15.0" customHeight="1">
      <c r="A434" s="73" t="s">
        <v>753</v>
      </c>
      <c r="B434" s="56" t="s">
        <v>188</v>
      </c>
      <c r="C434" s="56">
        <v>2.0</v>
      </c>
      <c r="D434" s="56">
        <f>VLOOKUP(E434,'AWS Platforms Ratios'!$A$2:$B$25,2,FALSE)</f>
        <v>64</v>
      </c>
      <c r="E434" s="57" t="s">
        <v>189</v>
      </c>
      <c r="F434" s="56">
        <v>8.0</v>
      </c>
      <c r="G434" s="56">
        <v>256.0</v>
      </c>
      <c r="H434" s="57" t="s">
        <v>71</v>
      </c>
      <c r="I434" s="56" t="s">
        <v>72</v>
      </c>
      <c r="J434" s="56">
        <v>0.0</v>
      </c>
      <c r="K434" s="58" t="s">
        <v>73</v>
      </c>
      <c r="L434" s="58" t="s">
        <v>73</v>
      </c>
      <c r="M434" s="58" t="s">
        <v>73</v>
      </c>
      <c r="N434" s="58" t="s">
        <v>73</v>
      </c>
      <c r="O434" s="59">
        <f>($C434/$D434)*VLOOKUP($E434,'AWS Platforms Ratios'!$A$2:$O$25,7,FALSE)</f>
        <v>0.5443528939</v>
      </c>
      <c r="P434" s="59">
        <f>($C434/$D434)*VLOOKUP($E434,'AWS Platforms Ratios'!$A$2:$O$25,8,FALSE)</f>
        <v>1.49184586</v>
      </c>
      <c r="Q434" s="59">
        <f>($C434/$D434)*VLOOKUP($E434,'AWS Platforms Ratios'!$A$2:$O$25,9,FALSE)</f>
        <v>3.526235932</v>
      </c>
      <c r="R434" s="59">
        <f>($C434/$D434)*VLOOKUP($E434,'AWS Platforms Ratios'!$A$2:$O$25,10,FALSE)</f>
        <v>4.774429763</v>
      </c>
      <c r="S434" s="59">
        <f>$F434*VLOOKUP($E434,'AWS Platforms Ratios'!$A$2:$O$25,11,FALSE)</f>
        <v>1.6</v>
      </c>
      <c r="T434" s="59">
        <f>$F434*VLOOKUP($E434,'AWS Platforms Ratios'!$A$2:$O$25,12,FALSE)</f>
        <v>2.4</v>
      </c>
      <c r="U434" s="59">
        <f>$F434*VLOOKUP($E434,'AWS Platforms Ratios'!$A$2:$O$25,13,FALSE)</f>
        <v>3.2</v>
      </c>
      <c r="V434" s="59">
        <f>$F434*VLOOKUP($E434,'AWS Platforms Ratios'!$A$2:$O$25,14,FALSE)</f>
        <v>4.8</v>
      </c>
      <c r="W434" s="60">
        <f>IF($K434&lt;&gt;"N/A",$M434*(VLOOKUP($L434,'GPU Specs &amp; Ratios'!$B$2:$I$8,5,FALSE)),0)</f>
        <v>0</v>
      </c>
      <c r="X434" s="60">
        <f>IF($K434&lt;&gt;"N/A",$M434*(VLOOKUP($L434,'GPU Specs &amp; Ratios'!$B$2:$I$8,6,FALSE)),0)</f>
        <v>0</v>
      </c>
      <c r="Y434" s="60">
        <f>IF($K434&lt;&gt;"N/A",$M434*(VLOOKUP($L434,'GPU Specs &amp; Ratios'!$B$2:$I$8,7,FALSE)),0)</f>
        <v>0</v>
      </c>
      <c r="Z434" s="60">
        <f>IF($K434&lt;&gt;"N/A",$M434*(VLOOKUP($L434,'GPU Specs &amp; Ratios'!$B$2:$I$8,8,FALSE)),0)</f>
        <v>0</v>
      </c>
      <c r="AA434" s="60">
        <f>(C434/D434)*VLOOKUP($E434,'AWS Platforms Ratios'!$A$2:$O$25,15,FALSE)</f>
        <v>0.9375</v>
      </c>
      <c r="AB434" s="60">
        <f t="shared" ref="AB434:AE434" si="434">O434+S434+W434+$AA434</f>
        <v>3.081852894</v>
      </c>
      <c r="AC434" s="60">
        <f t="shared" si="434"/>
        <v>4.82934586</v>
      </c>
      <c r="AD434" s="60">
        <f t="shared" si="434"/>
        <v>7.663735932</v>
      </c>
      <c r="AE434" s="60">
        <f t="shared" si="434"/>
        <v>10.51192976</v>
      </c>
      <c r="AF434" s="60">
        <f>IF(G434&gt;'Scope 3 Ratios'!$B$5,(G434-'Scope 3 Ratios'!$B$5)*('Scope 3 Ratios'!$B$6/'Scope 3 Ratios'!$B$5),0)</f>
        <v>332.856</v>
      </c>
      <c r="AG434" s="60">
        <f>J434*IF(I434="SSD",'Scope 3 Ratios'!$B$9,'Scope 3 Ratios'!$B$8)</f>
        <v>0</v>
      </c>
      <c r="AH434" s="60">
        <f>IF(K434&lt;&gt;"N/A",K434*'Scope 3 Ratios'!$B$10,0)</f>
        <v>0</v>
      </c>
      <c r="AI434" s="60">
        <f>(VLOOKUP($E434,'AWS Platforms Ratios'!$A$2:$O$25,3,FALSE)-1)*'Scope 3 Ratios'!$B$7</f>
        <v>0</v>
      </c>
      <c r="AJ434" s="60">
        <f>'Scope 3 Ratios'!$B$2+AF434+AG434+AH434+AI434</f>
        <v>1332.856</v>
      </c>
      <c r="AK434" s="60">
        <f>AJ434*'Scope 3 Ratios'!$B$4*(C434/D434)</f>
        <v>1.2052011</v>
      </c>
      <c r="AL434" s="61" t="s">
        <v>190</v>
      </c>
    </row>
    <row r="435" ht="15.0" customHeight="1">
      <c r="A435" s="73" t="s">
        <v>754</v>
      </c>
      <c r="B435" s="56" t="s">
        <v>188</v>
      </c>
      <c r="C435" s="56">
        <v>4.0</v>
      </c>
      <c r="D435" s="56">
        <f>VLOOKUP(E435,'AWS Platforms Ratios'!$A$2:$B$25,2,FALSE)</f>
        <v>64</v>
      </c>
      <c r="E435" s="57" t="s">
        <v>189</v>
      </c>
      <c r="F435" s="56">
        <v>16.0</v>
      </c>
      <c r="G435" s="56">
        <v>256.0</v>
      </c>
      <c r="H435" s="57" t="s">
        <v>71</v>
      </c>
      <c r="I435" s="56" t="s">
        <v>72</v>
      </c>
      <c r="J435" s="56">
        <v>0.0</v>
      </c>
      <c r="K435" s="58" t="s">
        <v>73</v>
      </c>
      <c r="L435" s="58" t="s">
        <v>73</v>
      </c>
      <c r="M435" s="58" t="s">
        <v>73</v>
      </c>
      <c r="N435" s="58" t="s">
        <v>73</v>
      </c>
      <c r="O435" s="59">
        <f>($C435/$D435)*VLOOKUP($E435,'AWS Platforms Ratios'!$A$2:$O$25,7,FALSE)</f>
        <v>1.088705788</v>
      </c>
      <c r="P435" s="59">
        <f>($C435/$D435)*VLOOKUP($E435,'AWS Platforms Ratios'!$A$2:$O$25,8,FALSE)</f>
        <v>2.98369172</v>
      </c>
      <c r="Q435" s="59">
        <f>($C435/$D435)*VLOOKUP($E435,'AWS Platforms Ratios'!$A$2:$O$25,9,FALSE)</f>
        <v>7.052471865</v>
      </c>
      <c r="R435" s="59">
        <f>($C435/$D435)*VLOOKUP($E435,'AWS Platforms Ratios'!$A$2:$O$25,10,FALSE)</f>
        <v>9.548859526</v>
      </c>
      <c r="S435" s="59">
        <f>$F435*VLOOKUP($E435,'AWS Platforms Ratios'!$A$2:$O$25,11,FALSE)</f>
        <v>3.2</v>
      </c>
      <c r="T435" s="59">
        <f>$F435*VLOOKUP($E435,'AWS Platforms Ratios'!$A$2:$O$25,12,FALSE)</f>
        <v>4.8</v>
      </c>
      <c r="U435" s="59">
        <f>$F435*VLOOKUP($E435,'AWS Platforms Ratios'!$A$2:$O$25,13,FALSE)</f>
        <v>6.4</v>
      </c>
      <c r="V435" s="59">
        <f>$F435*VLOOKUP($E435,'AWS Platforms Ratios'!$A$2:$O$25,14,FALSE)</f>
        <v>9.6</v>
      </c>
      <c r="W435" s="60">
        <f>IF($K435&lt;&gt;"N/A",$M435*(VLOOKUP($L435,'GPU Specs &amp; Ratios'!$B$2:$I$8,5,FALSE)),0)</f>
        <v>0</v>
      </c>
      <c r="X435" s="60">
        <f>IF($K435&lt;&gt;"N/A",$M435*(VLOOKUP($L435,'GPU Specs &amp; Ratios'!$B$2:$I$8,6,FALSE)),0)</f>
        <v>0</v>
      </c>
      <c r="Y435" s="60">
        <f>IF($K435&lt;&gt;"N/A",$M435*(VLOOKUP($L435,'GPU Specs &amp; Ratios'!$B$2:$I$8,7,FALSE)),0)</f>
        <v>0</v>
      </c>
      <c r="Z435" s="60">
        <f>IF($K435&lt;&gt;"N/A",$M435*(VLOOKUP($L435,'GPU Specs &amp; Ratios'!$B$2:$I$8,8,FALSE)),0)</f>
        <v>0</v>
      </c>
      <c r="AA435" s="60">
        <f>(C435/D435)*VLOOKUP($E435,'AWS Platforms Ratios'!$A$2:$O$25,15,FALSE)</f>
        <v>1.875</v>
      </c>
      <c r="AB435" s="60">
        <f t="shared" ref="AB435:AE435" si="435">O435+S435+W435+$AA435</f>
        <v>6.163705788</v>
      </c>
      <c r="AC435" s="60">
        <f t="shared" si="435"/>
        <v>9.65869172</v>
      </c>
      <c r="AD435" s="60">
        <f t="shared" si="435"/>
        <v>15.32747186</v>
      </c>
      <c r="AE435" s="60">
        <f t="shared" si="435"/>
        <v>21.02385953</v>
      </c>
      <c r="AF435" s="60">
        <f>IF(G435&gt;'Scope 3 Ratios'!$B$5,(G435-'Scope 3 Ratios'!$B$5)*('Scope 3 Ratios'!$B$6/'Scope 3 Ratios'!$B$5),0)</f>
        <v>332.856</v>
      </c>
      <c r="AG435" s="60">
        <f>J435*IF(I435="SSD",'Scope 3 Ratios'!$B$9,'Scope 3 Ratios'!$B$8)</f>
        <v>0</v>
      </c>
      <c r="AH435" s="60">
        <f>IF(K435&lt;&gt;"N/A",K435*'Scope 3 Ratios'!$B$10,0)</f>
        <v>0</v>
      </c>
      <c r="AI435" s="60">
        <f>(VLOOKUP($E435,'AWS Platforms Ratios'!$A$2:$O$25,3,FALSE)-1)*'Scope 3 Ratios'!$B$7</f>
        <v>0</v>
      </c>
      <c r="AJ435" s="60">
        <f>'Scope 3 Ratios'!$B$2+AF435+AG435+AH435+AI435</f>
        <v>1332.856</v>
      </c>
      <c r="AK435" s="60">
        <f>AJ435*'Scope 3 Ratios'!$B$4*(C435/D435)</f>
        <v>2.410402199</v>
      </c>
      <c r="AL435" s="61" t="s">
        <v>190</v>
      </c>
    </row>
    <row r="436" ht="15.0" customHeight="1">
      <c r="A436" s="73" t="s">
        <v>755</v>
      </c>
      <c r="B436" s="56" t="s">
        <v>188</v>
      </c>
      <c r="C436" s="56">
        <v>8.0</v>
      </c>
      <c r="D436" s="56">
        <f>VLOOKUP(E436,'AWS Platforms Ratios'!$A$2:$B$25,2,FALSE)</f>
        <v>64</v>
      </c>
      <c r="E436" s="57" t="s">
        <v>189</v>
      </c>
      <c r="F436" s="56">
        <v>32.0</v>
      </c>
      <c r="G436" s="56">
        <v>256.0</v>
      </c>
      <c r="H436" s="57" t="s">
        <v>71</v>
      </c>
      <c r="I436" s="56" t="s">
        <v>72</v>
      </c>
      <c r="J436" s="56">
        <v>0.0</v>
      </c>
      <c r="K436" s="58" t="s">
        <v>73</v>
      </c>
      <c r="L436" s="58" t="s">
        <v>73</v>
      </c>
      <c r="M436" s="58" t="s">
        <v>73</v>
      </c>
      <c r="N436" s="58" t="s">
        <v>73</v>
      </c>
      <c r="O436" s="59">
        <f>($C436/$D436)*VLOOKUP($E436,'AWS Platforms Ratios'!$A$2:$O$25,7,FALSE)</f>
        <v>2.177411576</v>
      </c>
      <c r="P436" s="59">
        <f>($C436/$D436)*VLOOKUP($E436,'AWS Platforms Ratios'!$A$2:$O$25,8,FALSE)</f>
        <v>5.967383441</v>
      </c>
      <c r="Q436" s="59">
        <f>($C436/$D436)*VLOOKUP($E436,'AWS Platforms Ratios'!$A$2:$O$25,9,FALSE)</f>
        <v>14.10494373</v>
      </c>
      <c r="R436" s="59">
        <f>($C436/$D436)*VLOOKUP($E436,'AWS Platforms Ratios'!$A$2:$O$25,10,FALSE)</f>
        <v>19.09771905</v>
      </c>
      <c r="S436" s="59">
        <f>$F436*VLOOKUP($E436,'AWS Platforms Ratios'!$A$2:$O$25,11,FALSE)</f>
        <v>6.4</v>
      </c>
      <c r="T436" s="59">
        <f>$F436*VLOOKUP($E436,'AWS Platforms Ratios'!$A$2:$O$25,12,FALSE)</f>
        <v>9.6</v>
      </c>
      <c r="U436" s="59">
        <f>$F436*VLOOKUP($E436,'AWS Platforms Ratios'!$A$2:$O$25,13,FALSE)</f>
        <v>12.8</v>
      </c>
      <c r="V436" s="59">
        <f>$F436*VLOOKUP($E436,'AWS Platforms Ratios'!$A$2:$O$25,14,FALSE)</f>
        <v>19.2</v>
      </c>
      <c r="W436" s="60">
        <f>IF($K436&lt;&gt;"N/A",$M436*(VLOOKUP($L436,'GPU Specs &amp; Ratios'!$B$2:$I$8,5,FALSE)),0)</f>
        <v>0</v>
      </c>
      <c r="X436" s="60">
        <f>IF($K436&lt;&gt;"N/A",$M436*(VLOOKUP($L436,'GPU Specs &amp; Ratios'!$B$2:$I$8,6,FALSE)),0)</f>
        <v>0</v>
      </c>
      <c r="Y436" s="60">
        <f>IF($K436&lt;&gt;"N/A",$M436*(VLOOKUP($L436,'GPU Specs &amp; Ratios'!$B$2:$I$8,7,FALSE)),0)</f>
        <v>0</v>
      </c>
      <c r="Z436" s="60">
        <f>IF($K436&lt;&gt;"N/A",$M436*(VLOOKUP($L436,'GPU Specs &amp; Ratios'!$B$2:$I$8,8,FALSE)),0)</f>
        <v>0</v>
      </c>
      <c r="AA436" s="60">
        <f>(C436/D436)*VLOOKUP($E436,'AWS Platforms Ratios'!$A$2:$O$25,15,FALSE)</f>
        <v>3.75</v>
      </c>
      <c r="AB436" s="60">
        <f t="shared" ref="AB436:AE436" si="436">O436+S436+W436+$AA436</f>
        <v>12.32741158</v>
      </c>
      <c r="AC436" s="60">
        <f t="shared" si="436"/>
        <v>19.31738344</v>
      </c>
      <c r="AD436" s="60">
        <f t="shared" si="436"/>
        <v>30.65494373</v>
      </c>
      <c r="AE436" s="60">
        <f t="shared" si="436"/>
        <v>42.04771905</v>
      </c>
      <c r="AF436" s="60">
        <f>IF(G436&gt;'Scope 3 Ratios'!$B$5,(G436-'Scope 3 Ratios'!$B$5)*('Scope 3 Ratios'!$B$6/'Scope 3 Ratios'!$B$5),0)</f>
        <v>332.856</v>
      </c>
      <c r="AG436" s="60">
        <f>J436*IF(I436="SSD",'Scope 3 Ratios'!$B$9,'Scope 3 Ratios'!$B$8)</f>
        <v>0</v>
      </c>
      <c r="AH436" s="60">
        <f>IF(K436&lt;&gt;"N/A",K436*'Scope 3 Ratios'!$B$10,0)</f>
        <v>0</v>
      </c>
      <c r="AI436" s="60">
        <f>(VLOOKUP($E436,'AWS Platforms Ratios'!$A$2:$O$25,3,FALSE)-1)*'Scope 3 Ratios'!$B$7</f>
        <v>0</v>
      </c>
      <c r="AJ436" s="60">
        <f>'Scope 3 Ratios'!$B$2+AF436+AG436+AH436+AI436</f>
        <v>1332.856</v>
      </c>
      <c r="AK436" s="60">
        <f>AJ436*'Scope 3 Ratios'!$B$4*(C436/D436)</f>
        <v>4.820804398</v>
      </c>
      <c r="AL436" s="61" t="s">
        <v>190</v>
      </c>
    </row>
    <row r="437" ht="15.0" customHeight="1">
      <c r="A437" s="73" t="s">
        <v>756</v>
      </c>
      <c r="B437" s="56" t="s">
        <v>188</v>
      </c>
      <c r="C437" s="56">
        <v>16.0</v>
      </c>
      <c r="D437" s="56">
        <f>VLOOKUP(E437,'AWS Platforms Ratios'!$A$2:$B$25,2,FALSE)</f>
        <v>64</v>
      </c>
      <c r="E437" s="57" t="s">
        <v>189</v>
      </c>
      <c r="F437" s="56">
        <v>64.0</v>
      </c>
      <c r="G437" s="56">
        <v>256.0</v>
      </c>
      <c r="H437" s="57" t="s">
        <v>71</v>
      </c>
      <c r="I437" s="56" t="s">
        <v>72</v>
      </c>
      <c r="J437" s="56">
        <v>0.0</v>
      </c>
      <c r="K437" s="58" t="s">
        <v>73</v>
      </c>
      <c r="L437" s="58" t="s">
        <v>73</v>
      </c>
      <c r="M437" s="58" t="s">
        <v>73</v>
      </c>
      <c r="N437" s="58" t="s">
        <v>73</v>
      </c>
      <c r="O437" s="59">
        <f>($C437/$D437)*VLOOKUP($E437,'AWS Platforms Ratios'!$A$2:$O$25,7,FALSE)</f>
        <v>4.354823151</v>
      </c>
      <c r="P437" s="59">
        <f>($C437/$D437)*VLOOKUP($E437,'AWS Platforms Ratios'!$A$2:$O$25,8,FALSE)</f>
        <v>11.93476688</v>
      </c>
      <c r="Q437" s="59">
        <f>($C437/$D437)*VLOOKUP($E437,'AWS Platforms Ratios'!$A$2:$O$25,9,FALSE)</f>
        <v>28.20988746</v>
      </c>
      <c r="R437" s="59">
        <f>($C437/$D437)*VLOOKUP($E437,'AWS Platforms Ratios'!$A$2:$O$25,10,FALSE)</f>
        <v>38.1954381</v>
      </c>
      <c r="S437" s="59">
        <f>$F437*VLOOKUP($E437,'AWS Platforms Ratios'!$A$2:$O$25,11,FALSE)</f>
        <v>12.8</v>
      </c>
      <c r="T437" s="59">
        <f>$F437*VLOOKUP($E437,'AWS Platforms Ratios'!$A$2:$O$25,12,FALSE)</f>
        <v>19.2</v>
      </c>
      <c r="U437" s="59">
        <f>$F437*VLOOKUP($E437,'AWS Platforms Ratios'!$A$2:$O$25,13,FALSE)</f>
        <v>25.6</v>
      </c>
      <c r="V437" s="59">
        <f>$F437*VLOOKUP($E437,'AWS Platforms Ratios'!$A$2:$O$25,14,FALSE)</f>
        <v>38.4</v>
      </c>
      <c r="W437" s="60">
        <f>IF($K437&lt;&gt;"N/A",$M437*(VLOOKUP($L437,'GPU Specs &amp; Ratios'!$B$2:$I$8,5,FALSE)),0)</f>
        <v>0</v>
      </c>
      <c r="X437" s="60">
        <f>IF($K437&lt;&gt;"N/A",$M437*(VLOOKUP($L437,'GPU Specs &amp; Ratios'!$B$2:$I$8,6,FALSE)),0)</f>
        <v>0</v>
      </c>
      <c r="Y437" s="60">
        <f>IF($K437&lt;&gt;"N/A",$M437*(VLOOKUP($L437,'GPU Specs &amp; Ratios'!$B$2:$I$8,7,FALSE)),0)</f>
        <v>0</v>
      </c>
      <c r="Z437" s="60">
        <f>IF($K437&lt;&gt;"N/A",$M437*(VLOOKUP($L437,'GPU Specs &amp; Ratios'!$B$2:$I$8,8,FALSE)),0)</f>
        <v>0</v>
      </c>
      <c r="AA437" s="60">
        <f>(C437/D437)*VLOOKUP($E437,'AWS Platforms Ratios'!$A$2:$O$25,15,FALSE)</f>
        <v>7.5</v>
      </c>
      <c r="AB437" s="60">
        <f t="shared" ref="AB437:AE437" si="437">O437+S437+W437+$AA437</f>
        <v>24.65482315</v>
      </c>
      <c r="AC437" s="60">
        <f t="shared" si="437"/>
        <v>38.63476688</v>
      </c>
      <c r="AD437" s="60">
        <f t="shared" si="437"/>
        <v>61.30988746</v>
      </c>
      <c r="AE437" s="60">
        <f t="shared" si="437"/>
        <v>84.0954381</v>
      </c>
      <c r="AF437" s="60">
        <f>IF(G437&gt;'Scope 3 Ratios'!$B$5,(G437-'Scope 3 Ratios'!$B$5)*('Scope 3 Ratios'!$B$6/'Scope 3 Ratios'!$B$5),0)</f>
        <v>332.856</v>
      </c>
      <c r="AG437" s="60">
        <f>J437*IF(I437="SSD",'Scope 3 Ratios'!$B$9,'Scope 3 Ratios'!$B$8)</f>
        <v>0</v>
      </c>
      <c r="AH437" s="60">
        <f>IF(K437&lt;&gt;"N/A",K437*'Scope 3 Ratios'!$B$10,0)</f>
        <v>0</v>
      </c>
      <c r="AI437" s="60">
        <f>(VLOOKUP($E437,'AWS Platforms Ratios'!$A$2:$O$25,3,FALSE)-1)*'Scope 3 Ratios'!$B$7</f>
        <v>0</v>
      </c>
      <c r="AJ437" s="60">
        <f>'Scope 3 Ratios'!$B$2+AF437+AG437+AH437+AI437</f>
        <v>1332.856</v>
      </c>
      <c r="AK437" s="60">
        <f>AJ437*'Scope 3 Ratios'!$B$4*(C437/D437)</f>
        <v>9.641608796</v>
      </c>
      <c r="AL437" s="61" t="s">
        <v>190</v>
      </c>
    </row>
    <row r="438" ht="15.0" customHeight="1">
      <c r="A438" s="73" t="s">
        <v>757</v>
      </c>
      <c r="B438" s="56" t="s">
        <v>188</v>
      </c>
      <c r="C438" s="56">
        <v>32.0</v>
      </c>
      <c r="D438" s="56">
        <f>VLOOKUP(E438,'AWS Platforms Ratios'!$A$2:$B$25,2,FALSE)</f>
        <v>64</v>
      </c>
      <c r="E438" s="57" t="s">
        <v>189</v>
      </c>
      <c r="F438" s="56">
        <v>128.0</v>
      </c>
      <c r="G438" s="56">
        <v>256.0</v>
      </c>
      <c r="H438" s="57" t="s">
        <v>71</v>
      </c>
      <c r="I438" s="56" t="s">
        <v>72</v>
      </c>
      <c r="J438" s="56">
        <v>0.0</v>
      </c>
      <c r="K438" s="58" t="s">
        <v>73</v>
      </c>
      <c r="L438" s="58" t="s">
        <v>73</v>
      </c>
      <c r="M438" s="58" t="s">
        <v>73</v>
      </c>
      <c r="N438" s="58" t="s">
        <v>73</v>
      </c>
      <c r="O438" s="59">
        <f>($C438/$D438)*VLOOKUP($E438,'AWS Platforms Ratios'!$A$2:$O$25,7,FALSE)</f>
        <v>8.709646302</v>
      </c>
      <c r="P438" s="59">
        <f>($C438/$D438)*VLOOKUP($E438,'AWS Platforms Ratios'!$A$2:$O$25,8,FALSE)</f>
        <v>23.86953376</v>
      </c>
      <c r="Q438" s="59">
        <f>($C438/$D438)*VLOOKUP($E438,'AWS Platforms Ratios'!$A$2:$O$25,9,FALSE)</f>
        <v>56.41977492</v>
      </c>
      <c r="R438" s="59">
        <f>($C438/$D438)*VLOOKUP($E438,'AWS Platforms Ratios'!$A$2:$O$25,10,FALSE)</f>
        <v>76.39087621</v>
      </c>
      <c r="S438" s="59">
        <f>$F438*VLOOKUP($E438,'AWS Platforms Ratios'!$A$2:$O$25,11,FALSE)</f>
        <v>25.6</v>
      </c>
      <c r="T438" s="59">
        <f>$F438*VLOOKUP($E438,'AWS Platforms Ratios'!$A$2:$O$25,12,FALSE)</f>
        <v>38.4</v>
      </c>
      <c r="U438" s="59">
        <f>$F438*VLOOKUP($E438,'AWS Platforms Ratios'!$A$2:$O$25,13,FALSE)</f>
        <v>51.2</v>
      </c>
      <c r="V438" s="59">
        <f>$F438*VLOOKUP($E438,'AWS Platforms Ratios'!$A$2:$O$25,14,FALSE)</f>
        <v>76.8</v>
      </c>
      <c r="W438" s="60">
        <f>IF($K438&lt;&gt;"N/A",$M438*(VLOOKUP($L438,'GPU Specs &amp; Ratios'!$B$2:$I$8,5,FALSE)),0)</f>
        <v>0</v>
      </c>
      <c r="X438" s="60">
        <f>IF($K438&lt;&gt;"N/A",$M438*(VLOOKUP($L438,'GPU Specs &amp; Ratios'!$B$2:$I$8,6,FALSE)),0)</f>
        <v>0</v>
      </c>
      <c r="Y438" s="60">
        <f>IF($K438&lt;&gt;"N/A",$M438*(VLOOKUP($L438,'GPU Specs &amp; Ratios'!$B$2:$I$8,7,FALSE)),0)</f>
        <v>0</v>
      </c>
      <c r="Z438" s="60">
        <f>IF($K438&lt;&gt;"N/A",$M438*(VLOOKUP($L438,'GPU Specs &amp; Ratios'!$B$2:$I$8,8,FALSE)),0)</f>
        <v>0</v>
      </c>
      <c r="AA438" s="60">
        <f>(C438/D438)*VLOOKUP($E438,'AWS Platforms Ratios'!$A$2:$O$25,15,FALSE)</f>
        <v>15</v>
      </c>
      <c r="AB438" s="60">
        <f t="shared" ref="AB438:AE438" si="438">O438+S438+W438+$AA438</f>
        <v>49.3096463</v>
      </c>
      <c r="AC438" s="60">
        <f t="shared" si="438"/>
        <v>77.26953376</v>
      </c>
      <c r="AD438" s="60">
        <f t="shared" si="438"/>
        <v>122.6197749</v>
      </c>
      <c r="AE438" s="60">
        <f t="shared" si="438"/>
        <v>168.1908762</v>
      </c>
      <c r="AF438" s="60">
        <f>IF(G438&gt;'Scope 3 Ratios'!$B$5,(G438-'Scope 3 Ratios'!$B$5)*('Scope 3 Ratios'!$B$6/'Scope 3 Ratios'!$B$5),0)</f>
        <v>332.856</v>
      </c>
      <c r="AG438" s="60">
        <f>J438*IF(I438="SSD",'Scope 3 Ratios'!$B$9,'Scope 3 Ratios'!$B$8)</f>
        <v>0</v>
      </c>
      <c r="AH438" s="60">
        <f>IF(K438&lt;&gt;"N/A",K438*'Scope 3 Ratios'!$B$10,0)</f>
        <v>0</v>
      </c>
      <c r="AI438" s="60">
        <f>(VLOOKUP($E438,'AWS Platforms Ratios'!$A$2:$O$25,3,FALSE)-1)*'Scope 3 Ratios'!$B$7</f>
        <v>0</v>
      </c>
      <c r="AJ438" s="60">
        <f>'Scope 3 Ratios'!$B$2+AF438+AG438+AH438+AI438</f>
        <v>1332.856</v>
      </c>
      <c r="AK438" s="60">
        <f>AJ438*'Scope 3 Ratios'!$B$4*(C438/D438)</f>
        <v>19.28321759</v>
      </c>
      <c r="AL438" s="61" t="s">
        <v>190</v>
      </c>
    </row>
    <row r="439" ht="15.0" customHeight="1">
      <c r="A439" s="73" t="s">
        <v>758</v>
      </c>
      <c r="B439" s="56" t="s">
        <v>188</v>
      </c>
      <c r="C439" s="56">
        <v>48.0</v>
      </c>
      <c r="D439" s="56">
        <f>VLOOKUP(E439,'AWS Platforms Ratios'!$A$2:$B$25,2,FALSE)</f>
        <v>64</v>
      </c>
      <c r="E439" s="57" t="s">
        <v>189</v>
      </c>
      <c r="F439" s="56">
        <v>192.0</v>
      </c>
      <c r="G439" s="56">
        <v>256.0</v>
      </c>
      <c r="H439" s="57" t="s">
        <v>71</v>
      </c>
      <c r="I439" s="56" t="s">
        <v>72</v>
      </c>
      <c r="J439" s="56">
        <v>0.0</v>
      </c>
      <c r="K439" s="58" t="s">
        <v>73</v>
      </c>
      <c r="L439" s="58" t="s">
        <v>73</v>
      </c>
      <c r="M439" s="58" t="s">
        <v>73</v>
      </c>
      <c r="N439" s="58" t="s">
        <v>73</v>
      </c>
      <c r="O439" s="59">
        <f>($C439/$D439)*VLOOKUP($E439,'AWS Platforms Ratios'!$A$2:$O$25,7,FALSE)</f>
        <v>13.06446945</v>
      </c>
      <c r="P439" s="59">
        <f>($C439/$D439)*VLOOKUP($E439,'AWS Platforms Ratios'!$A$2:$O$25,8,FALSE)</f>
        <v>35.80430064</v>
      </c>
      <c r="Q439" s="59">
        <f>($C439/$D439)*VLOOKUP($E439,'AWS Platforms Ratios'!$A$2:$O$25,9,FALSE)</f>
        <v>84.62966238</v>
      </c>
      <c r="R439" s="59">
        <f>($C439/$D439)*VLOOKUP($E439,'AWS Platforms Ratios'!$A$2:$O$25,10,FALSE)</f>
        <v>114.5863143</v>
      </c>
      <c r="S439" s="59">
        <f>$F439*VLOOKUP($E439,'AWS Platforms Ratios'!$A$2:$O$25,11,FALSE)</f>
        <v>38.4</v>
      </c>
      <c r="T439" s="59">
        <f>$F439*VLOOKUP($E439,'AWS Platforms Ratios'!$A$2:$O$25,12,FALSE)</f>
        <v>57.6</v>
      </c>
      <c r="U439" s="59">
        <f>$F439*VLOOKUP($E439,'AWS Platforms Ratios'!$A$2:$O$25,13,FALSE)</f>
        <v>76.8</v>
      </c>
      <c r="V439" s="59">
        <f>$F439*VLOOKUP($E439,'AWS Platforms Ratios'!$A$2:$O$25,14,FALSE)</f>
        <v>115.2</v>
      </c>
      <c r="W439" s="60">
        <f>IF($K439&lt;&gt;"N/A",$M439*(VLOOKUP($L439,'GPU Specs &amp; Ratios'!$B$2:$I$8,5,FALSE)),0)</f>
        <v>0</v>
      </c>
      <c r="X439" s="60">
        <f>IF($K439&lt;&gt;"N/A",$M439*(VLOOKUP($L439,'GPU Specs &amp; Ratios'!$B$2:$I$8,6,FALSE)),0)</f>
        <v>0</v>
      </c>
      <c r="Y439" s="60">
        <f>IF($K439&lt;&gt;"N/A",$M439*(VLOOKUP($L439,'GPU Specs &amp; Ratios'!$B$2:$I$8,7,FALSE)),0)</f>
        <v>0</v>
      </c>
      <c r="Z439" s="60">
        <f>IF($K439&lt;&gt;"N/A",$M439*(VLOOKUP($L439,'GPU Specs &amp; Ratios'!$B$2:$I$8,8,FALSE)),0)</f>
        <v>0</v>
      </c>
      <c r="AA439" s="60">
        <f>(C439/D439)*VLOOKUP($E439,'AWS Platforms Ratios'!$A$2:$O$25,15,FALSE)</f>
        <v>22.5</v>
      </c>
      <c r="AB439" s="60">
        <f t="shared" ref="AB439:AE439" si="439">O439+S439+W439+$AA439</f>
        <v>73.96446945</v>
      </c>
      <c r="AC439" s="60">
        <f t="shared" si="439"/>
        <v>115.9043006</v>
      </c>
      <c r="AD439" s="60">
        <f t="shared" si="439"/>
        <v>183.9296624</v>
      </c>
      <c r="AE439" s="60">
        <f t="shared" si="439"/>
        <v>252.2863143</v>
      </c>
      <c r="AF439" s="60">
        <f>IF(G439&gt;'Scope 3 Ratios'!$B$5,(G439-'Scope 3 Ratios'!$B$5)*('Scope 3 Ratios'!$B$6/'Scope 3 Ratios'!$B$5),0)</f>
        <v>332.856</v>
      </c>
      <c r="AG439" s="60">
        <f>J439*IF(I439="SSD",'Scope 3 Ratios'!$B$9,'Scope 3 Ratios'!$B$8)</f>
        <v>0</v>
      </c>
      <c r="AH439" s="60">
        <f>IF(K439&lt;&gt;"N/A",K439*'Scope 3 Ratios'!$B$10,0)</f>
        <v>0</v>
      </c>
      <c r="AI439" s="60">
        <f>(VLOOKUP($E439,'AWS Platforms Ratios'!$A$2:$O$25,3,FALSE)-1)*'Scope 3 Ratios'!$B$7</f>
        <v>0</v>
      </c>
      <c r="AJ439" s="60">
        <f>'Scope 3 Ratios'!$B$2+AF439+AG439+AH439+AI439</f>
        <v>1332.856</v>
      </c>
      <c r="AK439" s="60">
        <f>AJ439*'Scope 3 Ratios'!$B$4*(C439/D439)</f>
        <v>28.92482639</v>
      </c>
      <c r="AL439" s="61" t="s">
        <v>190</v>
      </c>
    </row>
    <row r="440" ht="15.0" customHeight="1">
      <c r="A440" s="73" t="s">
        <v>759</v>
      </c>
      <c r="B440" s="56" t="s">
        <v>188</v>
      </c>
      <c r="C440" s="56">
        <v>64.0</v>
      </c>
      <c r="D440" s="56">
        <f>VLOOKUP(E440,'AWS Platforms Ratios'!$A$2:$B$25,2,FALSE)</f>
        <v>64</v>
      </c>
      <c r="E440" s="57" t="s">
        <v>189</v>
      </c>
      <c r="F440" s="56">
        <v>256.0</v>
      </c>
      <c r="G440" s="56">
        <v>256.0</v>
      </c>
      <c r="H440" s="57" t="s">
        <v>71</v>
      </c>
      <c r="I440" s="56" t="s">
        <v>72</v>
      </c>
      <c r="J440" s="56">
        <v>0.0</v>
      </c>
      <c r="K440" s="58" t="s">
        <v>73</v>
      </c>
      <c r="L440" s="58" t="s">
        <v>73</v>
      </c>
      <c r="M440" s="58" t="s">
        <v>73</v>
      </c>
      <c r="N440" s="58" t="s">
        <v>73</v>
      </c>
      <c r="O440" s="59">
        <f>($C440/$D440)*VLOOKUP($E440,'AWS Platforms Ratios'!$A$2:$O$25,7,FALSE)</f>
        <v>17.4192926</v>
      </c>
      <c r="P440" s="59">
        <f>($C440/$D440)*VLOOKUP($E440,'AWS Platforms Ratios'!$A$2:$O$25,8,FALSE)</f>
        <v>47.73906752</v>
      </c>
      <c r="Q440" s="59">
        <f>($C440/$D440)*VLOOKUP($E440,'AWS Platforms Ratios'!$A$2:$O$25,9,FALSE)</f>
        <v>112.8395498</v>
      </c>
      <c r="R440" s="59">
        <f>($C440/$D440)*VLOOKUP($E440,'AWS Platforms Ratios'!$A$2:$O$25,10,FALSE)</f>
        <v>152.7817524</v>
      </c>
      <c r="S440" s="59">
        <f>$F440*VLOOKUP($E440,'AWS Platforms Ratios'!$A$2:$O$25,11,FALSE)</f>
        <v>51.2</v>
      </c>
      <c r="T440" s="59">
        <f>$F440*VLOOKUP($E440,'AWS Platforms Ratios'!$A$2:$O$25,12,FALSE)</f>
        <v>76.8</v>
      </c>
      <c r="U440" s="59">
        <f>$F440*VLOOKUP($E440,'AWS Platforms Ratios'!$A$2:$O$25,13,FALSE)</f>
        <v>102.4</v>
      </c>
      <c r="V440" s="59">
        <f>$F440*VLOOKUP($E440,'AWS Platforms Ratios'!$A$2:$O$25,14,FALSE)</f>
        <v>153.6</v>
      </c>
      <c r="W440" s="60">
        <f>IF($K440&lt;&gt;"N/A",$M440*(VLOOKUP($L440,'GPU Specs &amp; Ratios'!$B$2:$I$8,5,FALSE)),0)</f>
        <v>0</v>
      </c>
      <c r="X440" s="60">
        <f>IF($K440&lt;&gt;"N/A",$M440*(VLOOKUP($L440,'GPU Specs &amp; Ratios'!$B$2:$I$8,6,FALSE)),0)</f>
        <v>0</v>
      </c>
      <c r="Y440" s="60">
        <f>IF($K440&lt;&gt;"N/A",$M440*(VLOOKUP($L440,'GPU Specs &amp; Ratios'!$B$2:$I$8,7,FALSE)),0)</f>
        <v>0</v>
      </c>
      <c r="Z440" s="60">
        <f>IF($K440&lt;&gt;"N/A",$M440*(VLOOKUP($L440,'GPU Specs &amp; Ratios'!$B$2:$I$8,8,FALSE)),0)</f>
        <v>0</v>
      </c>
      <c r="AA440" s="60">
        <f>(C440/D440)*VLOOKUP($E440,'AWS Platforms Ratios'!$A$2:$O$25,15,FALSE)</f>
        <v>30</v>
      </c>
      <c r="AB440" s="60">
        <f t="shared" ref="AB440:AE440" si="440">O440+S440+W440+$AA440</f>
        <v>98.6192926</v>
      </c>
      <c r="AC440" s="60">
        <f t="shared" si="440"/>
        <v>154.5390675</v>
      </c>
      <c r="AD440" s="60">
        <f t="shared" si="440"/>
        <v>245.2395498</v>
      </c>
      <c r="AE440" s="60">
        <f t="shared" si="440"/>
        <v>336.3817524</v>
      </c>
      <c r="AF440" s="60">
        <f>IF(G440&gt;'Scope 3 Ratios'!$B$5,(G440-'Scope 3 Ratios'!$B$5)*('Scope 3 Ratios'!$B$6/'Scope 3 Ratios'!$B$5),0)</f>
        <v>332.856</v>
      </c>
      <c r="AG440" s="60">
        <f>J440*IF(I440="SSD",'Scope 3 Ratios'!$B$9,'Scope 3 Ratios'!$B$8)</f>
        <v>0</v>
      </c>
      <c r="AH440" s="60">
        <f>IF(K440&lt;&gt;"N/A",K440*'Scope 3 Ratios'!$B$10,0)</f>
        <v>0</v>
      </c>
      <c r="AI440" s="60">
        <f>(VLOOKUP($E440,'AWS Platforms Ratios'!$A$2:$O$25,3,FALSE)-1)*'Scope 3 Ratios'!$B$7</f>
        <v>0</v>
      </c>
      <c r="AJ440" s="60">
        <f>'Scope 3 Ratios'!$B$2+AF440+AG440+AH440+AI440</f>
        <v>1332.856</v>
      </c>
      <c r="AK440" s="60">
        <f>AJ440*'Scope 3 Ratios'!$B$4*(C440/D440)</f>
        <v>38.56643519</v>
      </c>
      <c r="AL440" s="61" t="s">
        <v>190</v>
      </c>
    </row>
    <row r="441" ht="15.0" customHeight="1">
      <c r="A441" s="56" t="s">
        <v>760</v>
      </c>
      <c r="B441" s="56" t="s">
        <v>540</v>
      </c>
      <c r="C441" s="56">
        <v>8.0</v>
      </c>
      <c r="D441" s="56">
        <f>VLOOKUP(E441,'AWS Platforms Ratios'!$A$2:$B$25,2,FALSE)</f>
        <v>40</v>
      </c>
      <c r="E441" s="57" t="s">
        <v>259</v>
      </c>
      <c r="F441" s="56">
        <v>61.0</v>
      </c>
      <c r="G441" s="56">
        <v>244.0</v>
      </c>
      <c r="H441" s="57" t="s">
        <v>377</v>
      </c>
      <c r="I441" s="56" t="s">
        <v>85</v>
      </c>
      <c r="J441" s="56">
        <v>1.0</v>
      </c>
      <c r="K441" s="58" t="s">
        <v>73</v>
      </c>
      <c r="L441" s="58" t="s">
        <v>73</v>
      </c>
      <c r="M441" s="58" t="s">
        <v>73</v>
      </c>
      <c r="N441" s="58" t="s">
        <v>73</v>
      </c>
      <c r="O441" s="59">
        <f>($C441/$D441)*VLOOKUP($E441,'AWS Platforms Ratios'!$A$2:$O$25,7,FALSE)</f>
        <v>5.548551724</v>
      </c>
      <c r="P441" s="59">
        <f>($C441/$D441)*VLOOKUP($E441,'AWS Platforms Ratios'!$A$2:$O$25,8,FALSE)</f>
        <v>15.83986207</v>
      </c>
      <c r="Q441" s="59">
        <f>($C441/$D441)*VLOOKUP($E441,'AWS Platforms Ratios'!$A$2:$O$25,9,FALSE)</f>
        <v>32.57910345</v>
      </c>
      <c r="R441" s="59">
        <f>($C441/$D441)*VLOOKUP($E441,'AWS Platforms Ratios'!$A$2:$O$25,10,FALSE)</f>
        <v>44.59343103</v>
      </c>
      <c r="S441" s="59">
        <f>$F441*VLOOKUP($E441,'AWS Platforms Ratios'!$A$2:$O$25,11,FALSE)</f>
        <v>12.2</v>
      </c>
      <c r="T441" s="59">
        <f>$F441*VLOOKUP($E441,'AWS Platforms Ratios'!$A$2:$O$25,12,FALSE)</f>
        <v>18.3</v>
      </c>
      <c r="U441" s="59">
        <f>$F441*VLOOKUP($E441,'AWS Platforms Ratios'!$A$2:$O$25,13,FALSE)</f>
        <v>24.4</v>
      </c>
      <c r="V441" s="59">
        <f>$F441*VLOOKUP($E441,'AWS Platforms Ratios'!$A$2:$O$25,14,FALSE)</f>
        <v>36.6</v>
      </c>
      <c r="W441" s="60">
        <f>IF($K441&lt;&gt;"N/A",$M441*(VLOOKUP($L441,'GPU Specs &amp; Ratios'!$B$2:$I$8,5,FALSE)),0)</f>
        <v>0</v>
      </c>
      <c r="X441" s="60">
        <f>IF($K441&lt;&gt;"N/A",$M441*(VLOOKUP($L441,'GPU Specs &amp; Ratios'!$B$2:$I$8,6,FALSE)),0)</f>
        <v>0</v>
      </c>
      <c r="Y441" s="60">
        <f>IF($K441&lt;&gt;"N/A",$M441*(VLOOKUP($L441,'GPU Specs &amp; Ratios'!$B$2:$I$8,7,FALSE)),0)</f>
        <v>0</v>
      </c>
      <c r="Z441" s="60">
        <f>IF($K441&lt;&gt;"N/A",$M441*(VLOOKUP($L441,'GPU Specs &amp; Ratios'!$B$2:$I$8,8,FALSE)),0)</f>
        <v>0</v>
      </c>
      <c r="AA441" s="60">
        <f>(C441/D441)*VLOOKUP($E441,'AWS Platforms Ratios'!$A$2:$O$25,15,FALSE)</f>
        <v>9.2</v>
      </c>
      <c r="AB441" s="60">
        <f t="shared" ref="AB441:AE441" si="441">O441+S441+W441+$AA441</f>
        <v>26.94855172</v>
      </c>
      <c r="AC441" s="60">
        <f t="shared" si="441"/>
        <v>43.33986207</v>
      </c>
      <c r="AD441" s="60">
        <f t="shared" si="441"/>
        <v>66.17910345</v>
      </c>
      <c r="AE441" s="60">
        <f t="shared" si="441"/>
        <v>90.39343103</v>
      </c>
      <c r="AF441" s="60">
        <f>IF(G441&gt;'Scope 3 Ratios'!$B$5,(G441-'Scope 3 Ratios'!$B$5)*('Scope 3 Ratios'!$B$6/'Scope 3 Ratios'!$B$5),0)</f>
        <v>316.2132</v>
      </c>
      <c r="AG441" s="60">
        <f>J441*IF(I441="SSD",'Scope 3 Ratios'!$B$9,'Scope 3 Ratios'!$B$8)</f>
        <v>100</v>
      </c>
      <c r="AH441" s="60">
        <f>IF(K441&lt;&gt;"N/A",K441*'Scope 3 Ratios'!$B$10,0)</f>
        <v>0</v>
      </c>
      <c r="AI441" s="60">
        <f>(VLOOKUP($E441,'AWS Platforms Ratios'!$A$2:$O$25,3,FALSE)-1)*'Scope 3 Ratios'!$B$7</f>
        <v>100</v>
      </c>
      <c r="AJ441" s="60">
        <f>'Scope 3 Ratios'!$B$2+AF441+AG441+AH441+AI441</f>
        <v>1516.2132</v>
      </c>
      <c r="AK441" s="60">
        <f>AJ441*'Scope 3 Ratios'!$B$4*(C441/D441)</f>
        <v>8.774381944</v>
      </c>
      <c r="AL441" s="61" t="s">
        <v>541</v>
      </c>
    </row>
    <row r="442" ht="15.0" customHeight="1">
      <c r="A442" s="56" t="s">
        <v>761</v>
      </c>
      <c r="B442" s="56" t="s">
        <v>119</v>
      </c>
      <c r="C442" s="56">
        <v>2.0</v>
      </c>
      <c r="D442" s="56">
        <f>VLOOKUP(E442,'AWS Platforms Ratios'!$A$2:$B$25,2,FALSE)</f>
        <v>72</v>
      </c>
      <c r="E442" s="57" t="s">
        <v>269</v>
      </c>
      <c r="F442" s="56">
        <v>12.3</v>
      </c>
      <c r="G442" s="56">
        <v>488.0</v>
      </c>
      <c r="H442" s="57" t="s">
        <v>71</v>
      </c>
      <c r="I442" s="56" t="s">
        <v>72</v>
      </c>
      <c r="J442" s="56">
        <v>0.0</v>
      </c>
      <c r="K442" s="58" t="s">
        <v>73</v>
      </c>
      <c r="L442" s="58" t="s">
        <v>73</v>
      </c>
      <c r="M442" s="58" t="s">
        <v>73</v>
      </c>
      <c r="N442" s="58" t="s">
        <v>73</v>
      </c>
      <c r="O442" s="59">
        <f>($C442/$D442)*VLOOKUP($E442,'AWS Platforms Ratios'!$A$2:$O$25,7,FALSE)</f>
        <v>0.9716666667</v>
      </c>
      <c r="P442" s="59">
        <f>($C442/$D442)*VLOOKUP($E442,'AWS Platforms Ratios'!$A$2:$O$25,8,FALSE)</f>
        <v>2.773888889</v>
      </c>
      <c r="Q442" s="59">
        <f>($C442/$D442)*VLOOKUP($E442,'AWS Platforms Ratios'!$A$2:$O$25,9,FALSE)</f>
        <v>5.705277778</v>
      </c>
      <c r="R442" s="59">
        <f>($C442/$D442)*VLOOKUP($E442,'AWS Platforms Ratios'!$A$2:$O$25,10,FALSE)</f>
        <v>7.809236111</v>
      </c>
      <c r="S442" s="59">
        <f>$F442*VLOOKUP($E442,'AWS Platforms Ratios'!$A$2:$O$25,11,FALSE)</f>
        <v>2.46</v>
      </c>
      <c r="T442" s="59">
        <f>$F442*VLOOKUP($E442,'AWS Platforms Ratios'!$A$2:$O$25,12,FALSE)</f>
        <v>3.69</v>
      </c>
      <c r="U442" s="59">
        <f>$F442*VLOOKUP($E442,'AWS Platforms Ratios'!$A$2:$O$25,13,FALSE)</f>
        <v>4.92</v>
      </c>
      <c r="V442" s="59">
        <f>$F442*VLOOKUP($E442,'AWS Platforms Ratios'!$A$2:$O$25,14,FALSE)</f>
        <v>7.38</v>
      </c>
      <c r="W442" s="60">
        <f>IF($K442&lt;&gt;"N/A",$M442*(VLOOKUP($L442,'GPU Specs &amp; Ratios'!$B$2:$I$8,5,FALSE)),0)</f>
        <v>0</v>
      </c>
      <c r="X442" s="60">
        <f>IF($K442&lt;&gt;"N/A",$M442*(VLOOKUP($L442,'GPU Specs &amp; Ratios'!$B$2:$I$8,6,FALSE)),0)</f>
        <v>0</v>
      </c>
      <c r="Y442" s="60">
        <f>IF($K442&lt;&gt;"N/A",$M442*(VLOOKUP($L442,'GPU Specs &amp; Ratios'!$B$2:$I$8,7,FALSE)),0)</f>
        <v>0</v>
      </c>
      <c r="Z442" s="60">
        <f>IF($K442&lt;&gt;"N/A",$M442*(VLOOKUP($L442,'GPU Specs &amp; Ratios'!$B$2:$I$8,8,FALSE)),0)</f>
        <v>0</v>
      </c>
      <c r="AA442" s="60">
        <f>(C442/D442)*VLOOKUP($E442,'AWS Platforms Ratios'!$A$2:$O$25,15,FALSE)</f>
        <v>1.611111111</v>
      </c>
      <c r="AB442" s="60">
        <f t="shared" ref="AB442:AE442" si="442">O442+S442+W442+$AA442</f>
        <v>5.042777778</v>
      </c>
      <c r="AC442" s="60">
        <f t="shared" si="442"/>
        <v>8.075</v>
      </c>
      <c r="AD442" s="60">
        <f t="shared" si="442"/>
        <v>12.23638889</v>
      </c>
      <c r="AE442" s="60">
        <f t="shared" si="442"/>
        <v>16.80034722</v>
      </c>
      <c r="AF442" s="60">
        <f>IF(G442&gt;'Scope 3 Ratios'!$B$5,(G442-'Scope 3 Ratios'!$B$5)*('Scope 3 Ratios'!$B$6/'Scope 3 Ratios'!$B$5),0)</f>
        <v>654.6168</v>
      </c>
      <c r="AG442" s="60">
        <f>J442*IF(I442="SSD",'Scope 3 Ratios'!$B$9,'Scope 3 Ratios'!$B$8)</f>
        <v>0</v>
      </c>
      <c r="AH442" s="60">
        <f>IF(K442&lt;&gt;"N/A",K442*'Scope 3 Ratios'!$B$10,0)</f>
        <v>0</v>
      </c>
      <c r="AI442" s="60">
        <f>(VLOOKUP($E442,'AWS Platforms Ratios'!$A$2:$O$25,3,FALSE)-1)*'Scope 3 Ratios'!$B$7</f>
        <v>100</v>
      </c>
      <c r="AJ442" s="60">
        <f>'Scope 3 Ratios'!$B$2+AF442+AG442+AH442+AI442</f>
        <v>1754.6168</v>
      </c>
      <c r="AK442" s="60">
        <f>AJ442*'Scope 3 Ratios'!$B$4*(C442/D442)</f>
        <v>1.410282279</v>
      </c>
      <c r="AL442" s="61" t="s">
        <v>549</v>
      </c>
    </row>
    <row r="443" ht="15.0" customHeight="1">
      <c r="A443" s="56" t="s">
        <v>762</v>
      </c>
      <c r="B443" s="56" t="s">
        <v>119</v>
      </c>
      <c r="C443" s="56">
        <v>4.0</v>
      </c>
      <c r="D443" s="56">
        <f>VLOOKUP(E443,'AWS Platforms Ratios'!$A$2:$B$25,2,FALSE)</f>
        <v>72</v>
      </c>
      <c r="E443" s="57" t="s">
        <v>269</v>
      </c>
      <c r="F443" s="56">
        <v>25.05</v>
      </c>
      <c r="G443" s="56">
        <v>488.0</v>
      </c>
      <c r="H443" s="57" t="s">
        <v>71</v>
      </c>
      <c r="I443" s="56" t="s">
        <v>72</v>
      </c>
      <c r="J443" s="56">
        <v>0.0</v>
      </c>
      <c r="K443" s="58" t="s">
        <v>73</v>
      </c>
      <c r="L443" s="58" t="s">
        <v>73</v>
      </c>
      <c r="M443" s="58" t="s">
        <v>73</v>
      </c>
      <c r="N443" s="58" t="s">
        <v>73</v>
      </c>
      <c r="O443" s="59">
        <f>($C443/$D443)*VLOOKUP($E443,'AWS Platforms Ratios'!$A$2:$O$25,7,FALSE)</f>
        <v>1.943333333</v>
      </c>
      <c r="P443" s="59">
        <f>($C443/$D443)*VLOOKUP($E443,'AWS Platforms Ratios'!$A$2:$O$25,8,FALSE)</f>
        <v>5.547777778</v>
      </c>
      <c r="Q443" s="59">
        <f>($C443/$D443)*VLOOKUP($E443,'AWS Platforms Ratios'!$A$2:$O$25,9,FALSE)</f>
        <v>11.41055556</v>
      </c>
      <c r="R443" s="59">
        <f>($C443/$D443)*VLOOKUP($E443,'AWS Platforms Ratios'!$A$2:$O$25,10,FALSE)</f>
        <v>15.61847222</v>
      </c>
      <c r="S443" s="59">
        <f>$F443*VLOOKUP($E443,'AWS Platforms Ratios'!$A$2:$O$25,11,FALSE)</f>
        <v>5.01</v>
      </c>
      <c r="T443" s="59">
        <f>$F443*VLOOKUP($E443,'AWS Platforms Ratios'!$A$2:$O$25,12,FALSE)</f>
        <v>7.515</v>
      </c>
      <c r="U443" s="59">
        <f>$F443*VLOOKUP($E443,'AWS Platforms Ratios'!$A$2:$O$25,13,FALSE)</f>
        <v>10.02</v>
      </c>
      <c r="V443" s="59">
        <f>$F443*VLOOKUP($E443,'AWS Platforms Ratios'!$A$2:$O$25,14,FALSE)</f>
        <v>15.03</v>
      </c>
      <c r="W443" s="60">
        <f>IF($K443&lt;&gt;"N/A",$M443*(VLOOKUP($L443,'GPU Specs &amp; Ratios'!$B$2:$I$8,5,FALSE)),0)</f>
        <v>0</v>
      </c>
      <c r="X443" s="60">
        <f>IF($K443&lt;&gt;"N/A",$M443*(VLOOKUP($L443,'GPU Specs &amp; Ratios'!$B$2:$I$8,6,FALSE)),0)</f>
        <v>0</v>
      </c>
      <c r="Y443" s="60">
        <f>IF($K443&lt;&gt;"N/A",$M443*(VLOOKUP($L443,'GPU Specs &amp; Ratios'!$B$2:$I$8,7,FALSE)),0)</f>
        <v>0</v>
      </c>
      <c r="Z443" s="60">
        <f>IF($K443&lt;&gt;"N/A",$M443*(VLOOKUP($L443,'GPU Specs &amp; Ratios'!$B$2:$I$8,8,FALSE)),0)</f>
        <v>0</v>
      </c>
      <c r="AA443" s="60">
        <f>(C443/D443)*VLOOKUP($E443,'AWS Platforms Ratios'!$A$2:$O$25,15,FALSE)</f>
        <v>3.222222222</v>
      </c>
      <c r="AB443" s="60">
        <f t="shared" ref="AB443:AE443" si="443">O443+S443+W443+$AA443</f>
        <v>10.17555556</v>
      </c>
      <c r="AC443" s="60">
        <f t="shared" si="443"/>
        <v>16.285</v>
      </c>
      <c r="AD443" s="60">
        <f t="shared" si="443"/>
        <v>24.65277778</v>
      </c>
      <c r="AE443" s="60">
        <f t="shared" si="443"/>
        <v>33.87069444</v>
      </c>
      <c r="AF443" s="60">
        <f>IF(G443&gt;'Scope 3 Ratios'!$B$5,(G443-'Scope 3 Ratios'!$B$5)*('Scope 3 Ratios'!$B$6/'Scope 3 Ratios'!$B$5),0)</f>
        <v>654.6168</v>
      </c>
      <c r="AG443" s="60">
        <f>J443*IF(I443="SSD",'Scope 3 Ratios'!$B$9,'Scope 3 Ratios'!$B$8)</f>
        <v>0</v>
      </c>
      <c r="AH443" s="60">
        <f>IF(K443&lt;&gt;"N/A",K443*'Scope 3 Ratios'!$B$10,0)</f>
        <v>0</v>
      </c>
      <c r="AI443" s="60">
        <f>(VLOOKUP($E443,'AWS Platforms Ratios'!$A$2:$O$25,3,FALSE)-1)*'Scope 3 Ratios'!$B$7</f>
        <v>100</v>
      </c>
      <c r="AJ443" s="60">
        <f>'Scope 3 Ratios'!$B$2+AF443+AG443+AH443+AI443</f>
        <v>1754.6168</v>
      </c>
      <c r="AK443" s="60">
        <f>AJ443*'Scope 3 Ratios'!$B$4*(C443/D443)</f>
        <v>2.820564558</v>
      </c>
      <c r="AL443" s="61" t="s">
        <v>549</v>
      </c>
    </row>
    <row r="444" ht="15.0" customHeight="1">
      <c r="A444" s="56" t="s">
        <v>763</v>
      </c>
      <c r="B444" s="56" t="s">
        <v>119</v>
      </c>
      <c r="C444" s="56">
        <v>8.0</v>
      </c>
      <c r="D444" s="56">
        <f>VLOOKUP(E444,'AWS Platforms Ratios'!$A$2:$B$25,2,FALSE)</f>
        <v>72</v>
      </c>
      <c r="E444" s="57" t="s">
        <v>269</v>
      </c>
      <c r="F444" s="56">
        <v>50.47</v>
      </c>
      <c r="G444" s="56">
        <v>488.0</v>
      </c>
      <c r="H444" s="57" t="s">
        <v>71</v>
      </c>
      <c r="I444" s="56" t="s">
        <v>72</v>
      </c>
      <c r="J444" s="56">
        <v>0.0</v>
      </c>
      <c r="K444" s="58" t="s">
        <v>73</v>
      </c>
      <c r="L444" s="58" t="s">
        <v>73</v>
      </c>
      <c r="M444" s="58" t="s">
        <v>73</v>
      </c>
      <c r="N444" s="58" t="s">
        <v>73</v>
      </c>
      <c r="O444" s="59">
        <f>($C444/$D444)*VLOOKUP($E444,'AWS Platforms Ratios'!$A$2:$O$25,7,FALSE)</f>
        <v>3.886666667</v>
      </c>
      <c r="P444" s="59">
        <f>($C444/$D444)*VLOOKUP($E444,'AWS Platforms Ratios'!$A$2:$O$25,8,FALSE)</f>
        <v>11.09555556</v>
      </c>
      <c r="Q444" s="59">
        <f>($C444/$D444)*VLOOKUP($E444,'AWS Platforms Ratios'!$A$2:$O$25,9,FALSE)</f>
        <v>22.82111111</v>
      </c>
      <c r="R444" s="59">
        <f>($C444/$D444)*VLOOKUP($E444,'AWS Platforms Ratios'!$A$2:$O$25,10,FALSE)</f>
        <v>31.23694444</v>
      </c>
      <c r="S444" s="59">
        <f>$F444*VLOOKUP($E444,'AWS Platforms Ratios'!$A$2:$O$25,11,FALSE)</f>
        <v>10.094</v>
      </c>
      <c r="T444" s="59">
        <f>$F444*VLOOKUP($E444,'AWS Platforms Ratios'!$A$2:$O$25,12,FALSE)</f>
        <v>15.141</v>
      </c>
      <c r="U444" s="59">
        <f>$F444*VLOOKUP($E444,'AWS Platforms Ratios'!$A$2:$O$25,13,FALSE)</f>
        <v>20.188</v>
      </c>
      <c r="V444" s="59">
        <f>$F444*VLOOKUP($E444,'AWS Platforms Ratios'!$A$2:$O$25,14,FALSE)</f>
        <v>30.282</v>
      </c>
      <c r="W444" s="60">
        <f>IF($K444&lt;&gt;"N/A",$M444*(VLOOKUP($L444,'GPU Specs &amp; Ratios'!$B$2:$I$8,5,FALSE)),0)</f>
        <v>0</v>
      </c>
      <c r="X444" s="60">
        <f>IF($K444&lt;&gt;"N/A",$M444*(VLOOKUP($L444,'GPU Specs &amp; Ratios'!$B$2:$I$8,6,FALSE)),0)</f>
        <v>0</v>
      </c>
      <c r="Y444" s="60">
        <f>IF($K444&lt;&gt;"N/A",$M444*(VLOOKUP($L444,'GPU Specs &amp; Ratios'!$B$2:$I$8,7,FALSE)),0)</f>
        <v>0</v>
      </c>
      <c r="Z444" s="60">
        <f>IF($K444&lt;&gt;"N/A",$M444*(VLOOKUP($L444,'GPU Specs &amp; Ratios'!$B$2:$I$8,8,FALSE)),0)</f>
        <v>0</v>
      </c>
      <c r="AA444" s="60">
        <f>(C444/D444)*VLOOKUP($E444,'AWS Platforms Ratios'!$A$2:$O$25,15,FALSE)</f>
        <v>6.444444444</v>
      </c>
      <c r="AB444" s="60">
        <f t="shared" ref="AB444:AE444" si="444">O444+S444+W444+$AA444</f>
        <v>20.42511111</v>
      </c>
      <c r="AC444" s="60">
        <f t="shared" si="444"/>
        <v>32.681</v>
      </c>
      <c r="AD444" s="60">
        <f t="shared" si="444"/>
        <v>49.45355556</v>
      </c>
      <c r="AE444" s="60">
        <f t="shared" si="444"/>
        <v>67.96338889</v>
      </c>
      <c r="AF444" s="60">
        <f>IF(G444&gt;'Scope 3 Ratios'!$B$5,(G444-'Scope 3 Ratios'!$B$5)*('Scope 3 Ratios'!$B$6/'Scope 3 Ratios'!$B$5),0)</f>
        <v>654.6168</v>
      </c>
      <c r="AG444" s="60">
        <f>J444*IF(I444="SSD",'Scope 3 Ratios'!$B$9,'Scope 3 Ratios'!$B$8)</f>
        <v>0</v>
      </c>
      <c r="AH444" s="60">
        <f>IF(K444&lt;&gt;"N/A",K444*'Scope 3 Ratios'!$B$10,0)</f>
        <v>0</v>
      </c>
      <c r="AI444" s="60">
        <f>(VLOOKUP($E444,'AWS Platforms Ratios'!$A$2:$O$25,3,FALSE)-1)*'Scope 3 Ratios'!$B$7</f>
        <v>100</v>
      </c>
      <c r="AJ444" s="60">
        <f>'Scope 3 Ratios'!$B$2+AF444+AG444+AH444+AI444</f>
        <v>1754.6168</v>
      </c>
      <c r="AK444" s="60">
        <f>AJ444*'Scope 3 Ratios'!$B$4*(C444/D444)</f>
        <v>5.641129115</v>
      </c>
      <c r="AL444" s="61" t="s">
        <v>549</v>
      </c>
    </row>
    <row r="445" ht="15.0" customHeight="1">
      <c r="A445" s="56" t="s">
        <v>764</v>
      </c>
      <c r="B445" s="56" t="s">
        <v>119</v>
      </c>
      <c r="C445" s="56">
        <v>16.0</v>
      </c>
      <c r="D445" s="56">
        <f>VLOOKUP(E445,'AWS Platforms Ratios'!$A$2:$B$25,2,FALSE)</f>
        <v>72</v>
      </c>
      <c r="E445" s="57" t="s">
        <v>269</v>
      </c>
      <c r="F445" s="56">
        <v>101.38</v>
      </c>
      <c r="G445" s="56">
        <v>488.0</v>
      </c>
      <c r="H445" s="57" t="s">
        <v>71</v>
      </c>
      <c r="I445" s="56" t="s">
        <v>72</v>
      </c>
      <c r="J445" s="56">
        <v>0.0</v>
      </c>
      <c r="K445" s="58" t="s">
        <v>73</v>
      </c>
      <c r="L445" s="58" t="s">
        <v>73</v>
      </c>
      <c r="M445" s="58" t="s">
        <v>73</v>
      </c>
      <c r="N445" s="58" t="s">
        <v>73</v>
      </c>
      <c r="O445" s="59">
        <f>($C445/$D445)*VLOOKUP($E445,'AWS Platforms Ratios'!$A$2:$O$25,7,FALSE)</f>
        <v>7.773333333</v>
      </c>
      <c r="P445" s="59">
        <f>($C445/$D445)*VLOOKUP($E445,'AWS Platforms Ratios'!$A$2:$O$25,8,FALSE)</f>
        <v>22.19111111</v>
      </c>
      <c r="Q445" s="59">
        <f>($C445/$D445)*VLOOKUP($E445,'AWS Platforms Ratios'!$A$2:$O$25,9,FALSE)</f>
        <v>45.64222222</v>
      </c>
      <c r="R445" s="59">
        <f>($C445/$D445)*VLOOKUP($E445,'AWS Platforms Ratios'!$A$2:$O$25,10,FALSE)</f>
        <v>62.47388889</v>
      </c>
      <c r="S445" s="59">
        <f>$F445*VLOOKUP($E445,'AWS Platforms Ratios'!$A$2:$O$25,11,FALSE)</f>
        <v>20.276</v>
      </c>
      <c r="T445" s="59">
        <f>$F445*VLOOKUP($E445,'AWS Platforms Ratios'!$A$2:$O$25,12,FALSE)</f>
        <v>30.414</v>
      </c>
      <c r="U445" s="59">
        <f>$F445*VLOOKUP($E445,'AWS Platforms Ratios'!$A$2:$O$25,13,FALSE)</f>
        <v>40.552</v>
      </c>
      <c r="V445" s="59">
        <f>$F445*VLOOKUP($E445,'AWS Platforms Ratios'!$A$2:$O$25,14,FALSE)</f>
        <v>60.828</v>
      </c>
      <c r="W445" s="60">
        <f>IF($K445&lt;&gt;"N/A",$M445*(VLOOKUP($L445,'GPU Specs &amp; Ratios'!$B$2:$I$8,5,FALSE)),0)</f>
        <v>0</v>
      </c>
      <c r="X445" s="60">
        <f>IF($K445&lt;&gt;"N/A",$M445*(VLOOKUP($L445,'GPU Specs &amp; Ratios'!$B$2:$I$8,6,FALSE)),0)</f>
        <v>0</v>
      </c>
      <c r="Y445" s="60">
        <f>IF($K445&lt;&gt;"N/A",$M445*(VLOOKUP($L445,'GPU Specs &amp; Ratios'!$B$2:$I$8,7,FALSE)),0)</f>
        <v>0</v>
      </c>
      <c r="Z445" s="60">
        <f>IF($K445&lt;&gt;"N/A",$M445*(VLOOKUP($L445,'GPU Specs &amp; Ratios'!$B$2:$I$8,8,FALSE)),0)</f>
        <v>0</v>
      </c>
      <c r="AA445" s="60">
        <f>(C445/D445)*VLOOKUP($E445,'AWS Platforms Ratios'!$A$2:$O$25,15,FALSE)</f>
        <v>12.88888889</v>
      </c>
      <c r="AB445" s="60">
        <f t="shared" ref="AB445:AE445" si="445">O445+S445+W445+$AA445</f>
        <v>40.93822222</v>
      </c>
      <c r="AC445" s="60">
        <f t="shared" si="445"/>
        <v>65.494</v>
      </c>
      <c r="AD445" s="60">
        <f t="shared" si="445"/>
        <v>99.08311111</v>
      </c>
      <c r="AE445" s="60">
        <f t="shared" si="445"/>
        <v>136.1907778</v>
      </c>
      <c r="AF445" s="60">
        <f>IF(G445&gt;'Scope 3 Ratios'!$B$5,(G445-'Scope 3 Ratios'!$B$5)*('Scope 3 Ratios'!$B$6/'Scope 3 Ratios'!$B$5),0)</f>
        <v>654.6168</v>
      </c>
      <c r="AG445" s="60">
        <f>J445*IF(I445="SSD",'Scope 3 Ratios'!$B$9,'Scope 3 Ratios'!$B$8)</f>
        <v>0</v>
      </c>
      <c r="AH445" s="60">
        <f>IF(K445&lt;&gt;"N/A",K445*'Scope 3 Ratios'!$B$10,0)</f>
        <v>0</v>
      </c>
      <c r="AI445" s="60">
        <f>(VLOOKUP($E445,'AWS Platforms Ratios'!$A$2:$O$25,3,FALSE)-1)*'Scope 3 Ratios'!$B$7</f>
        <v>100</v>
      </c>
      <c r="AJ445" s="60">
        <f>'Scope 3 Ratios'!$B$2+AF445+AG445+AH445+AI445</f>
        <v>1754.6168</v>
      </c>
      <c r="AK445" s="60">
        <f>AJ445*'Scope 3 Ratios'!$B$4*(C445/D445)</f>
        <v>11.28225823</v>
      </c>
      <c r="AL445" s="61" t="s">
        <v>549</v>
      </c>
    </row>
    <row r="446" ht="15.0" customHeight="1">
      <c r="A446" s="56" t="s">
        <v>765</v>
      </c>
      <c r="B446" s="56" t="s">
        <v>119</v>
      </c>
      <c r="C446" s="56">
        <v>32.0</v>
      </c>
      <c r="D446" s="56">
        <f>VLOOKUP(E446,'AWS Platforms Ratios'!$A$2:$B$25,2,FALSE)</f>
        <v>72</v>
      </c>
      <c r="E446" s="57" t="s">
        <v>269</v>
      </c>
      <c r="F446" s="56">
        <v>203.26</v>
      </c>
      <c r="G446" s="56">
        <v>488.0</v>
      </c>
      <c r="H446" s="57" t="s">
        <v>71</v>
      </c>
      <c r="I446" s="56" t="s">
        <v>72</v>
      </c>
      <c r="J446" s="56">
        <v>0.0</v>
      </c>
      <c r="K446" s="58" t="s">
        <v>73</v>
      </c>
      <c r="L446" s="58" t="s">
        <v>73</v>
      </c>
      <c r="M446" s="58" t="s">
        <v>73</v>
      </c>
      <c r="N446" s="58" t="s">
        <v>73</v>
      </c>
      <c r="O446" s="59">
        <f>($C446/$D446)*VLOOKUP($E446,'AWS Platforms Ratios'!$A$2:$O$25,7,FALSE)</f>
        <v>15.54666667</v>
      </c>
      <c r="P446" s="59">
        <f>($C446/$D446)*VLOOKUP($E446,'AWS Platforms Ratios'!$A$2:$O$25,8,FALSE)</f>
        <v>44.38222222</v>
      </c>
      <c r="Q446" s="59">
        <f>($C446/$D446)*VLOOKUP($E446,'AWS Platforms Ratios'!$A$2:$O$25,9,FALSE)</f>
        <v>91.28444444</v>
      </c>
      <c r="R446" s="59">
        <f>($C446/$D446)*VLOOKUP($E446,'AWS Platforms Ratios'!$A$2:$O$25,10,FALSE)</f>
        <v>124.9477778</v>
      </c>
      <c r="S446" s="59">
        <f>$F446*VLOOKUP($E446,'AWS Platforms Ratios'!$A$2:$O$25,11,FALSE)</f>
        <v>40.652</v>
      </c>
      <c r="T446" s="59">
        <f>$F446*VLOOKUP($E446,'AWS Platforms Ratios'!$A$2:$O$25,12,FALSE)</f>
        <v>60.978</v>
      </c>
      <c r="U446" s="59">
        <f>$F446*VLOOKUP($E446,'AWS Platforms Ratios'!$A$2:$O$25,13,FALSE)</f>
        <v>81.304</v>
      </c>
      <c r="V446" s="59">
        <f>$F446*VLOOKUP($E446,'AWS Platforms Ratios'!$A$2:$O$25,14,FALSE)</f>
        <v>121.956</v>
      </c>
      <c r="W446" s="60">
        <f>IF($K446&lt;&gt;"N/A",$M446*(VLOOKUP($L446,'GPU Specs &amp; Ratios'!$B$2:$I$8,5,FALSE)),0)</f>
        <v>0</v>
      </c>
      <c r="X446" s="60">
        <f>IF($K446&lt;&gt;"N/A",$M446*(VLOOKUP($L446,'GPU Specs &amp; Ratios'!$B$2:$I$8,6,FALSE)),0)</f>
        <v>0</v>
      </c>
      <c r="Y446" s="60">
        <f>IF($K446&lt;&gt;"N/A",$M446*(VLOOKUP($L446,'GPU Specs &amp; Ratios'!$B$2:$I$8,7,FALSE)),0)</f>
        <v>0</v>
      </c>
      <c r="Z446" s="60">
        <f>IF($K446&lt;&gt;"N/A",$M446*(VLOOKUP($L446,'GPU Specs &amp; Ratios'!$B$2:$I$8,8,FALSE)),0)</f>
        <v>0</v>
      </c>
      <c r="AA446" s="60">
        <f>(C446/D446)*VLOOKUP($E446,'AWS Platforms Ratios'!$A$2:$O$25,15,FALSE)</f>
        <v>25.77777778</v>
      </c>
      <c r="AB446" s="60">
        <f t="shared" ref="AB446:AE446" si="446">O446+S446+W446+$AA446</f>
        <v>81.97644444</v>
      </c>
      <c r="AC446" s="60">
        <f t="shared" si="446"/>
        <v>131.138</v>
      </c>
      <c r="AD446" s="60">
        <f t="shared" si="446"/>
        <v>198.3662222</v>
      </c>
      <c r="AE446" s="60">
        <f t="shared" si="446"/>
        <v>272.6815556</v>
      </c>
      <c r="AF446" s="60">
        <f>IF(G446&gt;'Scope 3 Ratios'!$B$5,(G446-'Scope 3 Ratios'!$B$5)*('Scope 3 Ratios'!$B$6/'Scope 3 Ratios'!$B$5),0)</f>
        <v>654.6168</v>
      </c>
      <c r="AG446" s="60">
        <f>J446*IF(I446="SSD",'Scope 3 Ratios'!$B$9,'Scope 3 Ratios'!$B$8)</f>
        <v>0</v>
      </c>
      <c r="AH446" s="60">
        <f>IF(K446&lt;&gt;"N/A",K446*'Scope 3 Ratios'!$B$10,0)</f>
        <v>0</v>
      </c>
      <c r="AI446" s="60">
        <f>(VLOOKUP($E446,'AWS Platforms Ratios'!$A$2:$O$25,3,FALSE)-1)*'Scope 3 Ratios'!$B$7</f>
        <v>100</v>
      </c>
      <c r="AJ446" s="60">
        <f>'Scope 3 Ratios'!$B$2+AF446+AG446+AH446+AI446</f>
        <v>1754.6168</v>
      </c>
      <c r="AK446" s="60">
        <f>AJ446*'Scope 3 Ratios'!$B$4*(C446/D446)</f>
        <v>22.56451646</v>
      </c>
      <c r="AL446" s="61" t="s">
        <v>549</v>
      </c>
    </row>
    <row r="447" ht="15.0" customHeight="1">
      <c r="A447" s="56" t="s">
        <v>766</v>
      </c>
      <c r="B447" s="56" t="s">
        <v>119</v>
      </c>
      <c r="C447" s="56">
        <v>64.0</v>
      </c>
      <c r="D447" s="56">
        <f>VLOOKUP(E447,'AWS Platforms Ratios'!$A$2:$B$25,2,FALSE)</f>
        <v>72</v>
      </c>
      <c r="E447" s="57" t="s">
        <v>269</v>
      </c>
      <c r="F447" s="56">
        <v>407.0</v>
      </c>
      <c r="G447" s="56">
        <v>488.0</v>
      </c>
      <c r="H447" s="57" t="s">
        <v>71</v>
      </c>
      <c r="I447" s="56" t="s">
        <v>72</v>
      </c>
      <c r="J447" s="56">
        <v>0.0</v>
      </c>
      <c r="K447" s="58" t="s">
        <v>73</v>
      </c>
      <c r="L447" s="58" t="s">
        <v>73</v>
      </c>
      <c r="M447" s="58" t="s">
        <v>73</v>
      </c>
      <c r="N447" s="58" t="s">
        <v>73</v>
      </c>
      <c r="O447" s="59">
        <f>($C447/$D447)*VLOOKUP($E447,'AWS Platforms Ratios'!$A$2:$O$25,7,FALSE)</f>
        <v>31.09333333</v>
      </c>
      <c r="P447" s="59">
        <f>($C447/$D447)*VLOOKUP($E447,'AWS Platforms Ratios'!$A$2:$O$25,8,FALSE)</f>
        <v>88.76444444</v>
      </c>
      <c r="Q447" s="59">
        <f>($C447/$D447)*VLOOKUP($E447,'AWS Platforms Ratios'!$A$2:$O$25,9,FALSE)</f>
        <v>182.5688889</v>
      </c>
      <c r="R447" s="59">
        <f>($C447/$D447)*VLOOKUP($E447,'AWS Platforms Ratios'!$A$2:$O$25,10,FALSE)</f>
        <v>249.8955556</v>
      </c>
      <c r="S447" s="59">
        <f>$F447*VLOOKUP($E447,'AWS Platforms Ratios'!$A$2:$O$25,11,FALSE)</f>
        <v>81.4</v>
      </c>
      <c r="T447" s="59">
        <f>$F447*VLOOKUP($E447,'AWS Platforms Ratios'!$A$2:$O$25,12,FALSE)</f>
        <v>122.1</v>
      </c>
      <c r="U447" s="59">
        <f>$F447*VLOOKUP($E447,'AWS Platforms Ratios'!$A$2:$O$25,13,FALSE)</f>
        <v>162.8</v>
      </c>
      <c r="V447" s="59">
        <f>$F447*VLOOKUP($E447,'AWS Platforms Ratios'!$A$2:$O$25,14,FALSE)</f>
        <v>244.2</v>
      </c>
      <c r="W447" s="60">
        <f>IF($K447&lt;&gt;"N/A",$M447*(VLOOKUP($L447,'GPU Specs &amp; Ratios'!$B$2:$I$8,5,FALSE)),0)</f>
        <v>0</v>
      </c>
      <c r="X447" s="60">
        <f>IF($K447&lt;&gt;"N/A",$M447*(VLOOKUP($L447,'GPU Specs &amp; Ratios'!$B$2:$I$8,6,FALSE)),0)</f>
        <v>0</v>
      </c>
      <c r="Y447" s="60">
        <f>IF($K447&lt;&gt;"N/A",$M447*(VLOOKUP($L447,'GPU Specs &amp; Ratios'!$B$2:$I$8,7,FALSE)),0)</f>
        <v>0</v>
      </c>
      <c r="Z447" s="60">
        <f>IF($K447&lt;&gt;"N/A",$M447*(VLOOKUP($L447,'GPU Specs &amp; Ratios'!$B$2:$I$8,8,FALSE)),0)</f>
        <v>0</v>
      </c>
      <c r="AA447" s="60">
        <f>(C447/D447)*VLOOKUP($E447,'AWS Platforms Ratios'!$A$2:$O$25,15,FALSE)</f>
        <v>51.55555556</v>
      </c>
      <c r="AB447" s="60">
        <f t="shared" ref="AB447:AE447" si="447">O447+S447+W447+$AA447</f>
        <v>164.0488889</v>
      </c>
      <c r="AC447" s="60">
        <f t="shared" si="447"/>
        <v>262.42</v>
      </c>
      <c r="AD447" s="60">
        <f t="shared" si="447"/>
        <v>396.9244444</v>
      </c>
      <c r="AE447" s="60">
        <f t="shared" si="447"/>
        <v>545.6511111</v>
      </c>
      <c r="AF447" s="60">
        <f>IF(G447&gt;'Scope 3 Ratios'!$B$5,(G447-'Scope 3 Ratios'!$B$5)*('Scope 3 Ratios'!$B$6/'Scope 3 Ratios'!$B$5),0)</f>
        <v>654.6168</v>
      </c>
      <c r="AG447" s="60">
        <f>J447*IF(I447="SSD",'Scope 3 Ratios'!$B$9,'Scope 3 Ratios'!$B$8)</f>
        <v>0</v>
      </c>
      <c r="AH447" s="60">
        <f>IF(K447&lt;&gt;"N/A",K447*'Scope 3 Ratios'!$B$10,0)</f>
        <v>0</v>
      </c>
      <c r="AI447" s="60">
        <f>(VLOOKUP($E447,'AWS Platforms Ratios'!$A$2:$O$25,3,FALSE)-1)*'Scope 3 Ratios'!$B$7</f>
        <v>100</v>
      </c>
      <c r="AJ447" s="60">
        <f>'Scope 3 Ratios'!$B$2+AF447+AG447+AH447+AI447</f>
        <v>1754.6168</v>
      </c>
      <c r="AK447" s="60">
        <f>AJ447*'Scope 3 Ratios'!$B$4*(C447/D447)</f>
        <v>45.12903292</v>
      </c>
      <c r="AL447" s="61" t="s">
        <v>549</v>
      </c>
    </row>
    <row r="448" ht="15.0" customHeight="1">
      <c r="A448" s="56" t="s">
        <v>767</v>
      </c>
      <c r="B448" s="56" t="s">
        <v>556</v>
      </c>
      <c r="C448" s="56">
        <v>2.0</v>
      </c>
      <c r="D448" s="56">
        <f>VLOOKUP(E448,'AWS Platforms Ratios'!$A$2:$B$25,2,FALSE)</f>
        <v>96</v>
      </c>
      <c r="E448" s="57" t="s">
        <v>350</v>
      </c>
      <c r="F448" s="56">
        <v>13.07</v>
      </c>
      <c r="G448" s="56">
        <v>768.0</v>
      </c>
      <c r="H448" s="57" t="s">
        <v>71</v>
      </c>
      <c r="I448" s="56" t="s">
        <v>72</v>
      </c>
      <c r="J448" s="56">
        <v>0.0</v>
      </c>
      <c r="K448" s="58" t="s">
        <v>73</v>
      </c>
      <c r="L448" s="58" t="s">
        <v>73</v>
      </c>
      <c r="M448" s="58" t="s">
        <v>73</v>
      </c>
      <c r="N448" s="58" t="s">
        <v>73</v>
      </c>
      <c r="O448" s="59">
        <f>($C448/$D448)*VLOOKUP($E448,'AWS Platforms Ratios'!$A$2:$O$25,7,FALSE)</f>
        <v>1.205833333</v>
      </c>
      <c r="P448" s="59">
        <f>($C448/$D448)*VLOOKUP($E448,'AWS Platforms Ratios'!$A$2:$O$25,8,FALSE)</f>
        <v>3.054791667</v>
      </c>
      <c r="Q448" s="59">
        <f>($C448/$D448)*VLOOKUP($E448,'AWS Platforms Ratios'!$A$2:$O$25,9,FALSE)</f>
        <v>7.160416667</v>
      </c>
      <c r="R448" s="59">
        <f>($C448/$D448)*VLOOKUP($E448,'AWS Platforms Ratios'!$A$2:$O$25,10,FALSE)</f>
        <v>9.9578125</v>
      </c>
      <c r="S448" s="59">
        <f>$F448*VLOOKUP($E448,'AWS Platforms Ratios'!$A$2:$O$25,11,FALSE)</f>
        <v>1.967647656</v>
      </c>
      <c r="T448" s="59">
        <f>$F448*VLOOKUP($E448,'AWS Platforms Ratios'!$A$2:$O$25,12,FALSE)</f>
        <v>3.144628385</v>
      </c>
      <c r="U448" s="59">
        <f>$F448*VLOOKUP($E448,'AWS Platforms Ratios'!$A$2:$O$25,13,FALSE)</f>
        <v>8.104080729</v>
      </c>
      <c r="V448" s="59">
        <f>$F448*VLOOKUP($E448,'AWS Platforms Ratios'!$A$2:$O$25,14,FALSE)</f>
        <v>13.06353307</v>
      </c>
      <c r="W448" s="60">
        <f>IF($K448&lt;&gt;"N/A",$M448*(VLOOKUP($L448,'GPU Specs &amp; Ratios'!$B$2:$I$8,5,FALSE)),0)</f>
        <v>0</v>
      </c>
      <c r="X448" s="60">
        <f>IF($K448&lt;&gt;"N/A",$M448*(VLOOKUP($L448,'GPU Specs &amp; Ratios'!$B$2:$I$8,6,FALSE)),0)</f>
        <v>0</v>
      </c>
      <c r="Y448" s="60">
        <f>IF($K448&lt;&gt;"N/A",$M448*(VLOOKUP($L448,'GPU Specs &amp; Ratios'!$B$2:$I$8,7,FALSE)),0)</f>
        <v>0</v>
      </c>
      <c r="Z448" s="60">
        <f>IF($K448&lt;&gt;"N/A",$M448*(VLOOKUP($L448,'GPU Specs &amp; Ratios'!$B$2:$I$8,8,FALSE)),0)</f>
        <v>0</v>
      </c>
      <c r="AA448" s="60">
        <f>(C448/D448)*VLOOKUP($E448,'AWS Platforms Ratios'!$A$2:$O$25,15,FALSE)</f>
        <v>2</v>
      </c>
      <c r="AB448" s="60">
        <f t="shared" ref="AB448:AE448" si="448">O448+S448+W448+$AA448</f>
        <v>5.17348099</v>
      </c>
      <c r="AC448" s="60">
        <f t="shared" si="448"/>
        <v>8.199420052</v>
      </c>
      <c r="AD448" s="60">
        <f t="shared" si="448"/>
        <v>17.2644974</v>
      </c>
      <c r="AE448" s="60">
        <f t="shared" si="448"/>
        <v>25.02134557</v>
      </c>
      <c r="AF448" s="60">
        <f>IF(G448&gt;'Scope 3 Ratios'!$B$5,(G448-'Scope 3 Ratios'!$B$5)*('Scope 3 Ratios'!$B$6/'Scope 3 Ratios'!$B$5),0)</f>
        <v>1042.9488</v>
      </c>
      <c r="AG448" s="60">
        <f>J448*IF(I448="SSD",'Scope 3 Ratios'!$B$9,'Scope 3 Ratios'!$B$8)</f>
        <v>0</v>
      </c>
      <c r="AH448" s="60">
        <f>IF(K448&lt;&gt;"N/A",K448*'Scope 3 Ratios'!$B$10,0)</f>
        <v>0</v>
      </c>
      <c r="AI448" s="60">
        <f>(VLOOKUP($E448,'AWS Platforms Ratios'!$A$2:$O$25,3,FALSE)-1)*'Scope 3 Ratios'!$B$7</f>
        <v>100</v>
      </c>
      <c r="AJ448" s="60">
        <f>'Scope 3 Ratios'!$B$2+AF448+AG448+AH448+AI448</f>
        <v>2142.9488</v>
      </c>
      <c r="AK448" s="60">
        <f>AJ448*'Scope 3 Ratios'!$B$4*(C448/D448)</f>
        <v>1.291804591</v>
      </c>
      <c r="AL448" s="61" t="s">
        <v>557</v>
      </c>
    </row>
    <row r="449" ht="15.0" customHeight="1">
      <c r="A449" s="56" t="s">
        <v>768</v>
      </c>
      <c r="B449" s="56" t="s">
        <v>556</v>
      </c>
      <c r="C449" s="56">
        <v>4.0</v>
      </c>
      <c r="D449" s="56">
        <f>VLOOKUP(E449,'AWS Platforms Ratios'!$A$2:$B$25,2,FALSE)</f>
        <v>96</v>
      </c>
      <c r="E449" s="57" t="s">
        <v>350</v>
      </c>
      <c r="F449" s="56">
        <v>26.32</v>
      </c>
      <c r="G449" s="56">
        <v>768.0</v>
      </c>
      <c r="H449" s="57" t="s">
        <v>71</v>
      </c>
      <c r="I449" s="56" t="s">
        <v>72</v>
      </c>
      <c r="J449" s="56">
        <v>0.0</v>
      </c>
      <c r="K449" s="58" t="s">
        <v>73</v>
      </c>
      <c r="L449" s="58" t="s">
        <v>73</v>
      </c>
      <c r="M449" s="58" t="s">
        <v>73</v>
      </c>
      <c r="N449" s="58" t="s">
        <v>73</v>
      </c>
      <c r="O449" s="59">
        <f>($C449/$D449)*VLOOKUP($E449,'AWS Platforms Ratios'!$A$2:$O$25,7,FALSE)</f>
        <v>2.411666667</v>
      </c>
      <c r="P449" s="59">
        <f>($C449/$D449)*VLOOKUP($E449,'AWS Platforms Ratios'!$A$2:$O$25,8,FALSE)</f>
        <v>6.109583333</v>
      </c>
      <c r="Q449" s="59">
        <f>($C449/$D449)*VLOOKUP($E449,'AWS Platforms Ratios'!$A$2:$O$25,9,FALSE)</f>
        <v>14.32083333</v>
      </c>
      <c r="R449" s="59">
        <f>($C449/$D449)*VLOOKUP($E449,'AWS Platforms Ratios'!$A$2:$O$25,10,FALSE)</f>
        <v>19.915625</v>
      </c>
      <c r="S449" s="59">
        <f>$F449*VLOOKUP($E449,'AWS Platforms Ratios'!$A$2:$O$25,11,FALSE)</f>
        <v>3.96239375</v>
      </c>
      <c r="T449" s="59">
        <f>$F449*VLOOKUP($E449,'AWS Platforms Ratios'!$A$2:$O$25,12,FALSE)</f>
        <v>6.332564583</v>
      </c>
      <c r="U449" s="59">
        <f>$F449*VLOOKUP($E449,'AWS Platforms Ratios'!$A$2:$O$25,13,FALSE)</f>
        <v>16.31977083</v>
      </c>
      <c r="V449" s="59">
        <f>$F449*VLOOKUP($E449,'AWS Platforms Ratios'!$A$2:$O$25,14,FALSE)</f>
        <v>26.30697708</v>
      </c>
      <c r="W449" s="60">
        <f>IF($K449&lt;&gt;"N/A",$M449*(VLOOKUP($L449,'GPU Specs &amp; Ratios'!$B$2:$I$8,5,FALSE)),0)</f>
        <v>0</v>
      </c>
      <c r="X449" s="60">
        <f>IF($K449&lt;&gt;"N/A",$M449*(VLOOKUP($L449,'GPU Specs &amp; Ratios'!$B$2:$I$8,6,FALSE)),0)</f>
        <v>0</v>
      </c>
      <c r="Y449" s="60">
        <f>IF($K449&lt;&gt;"N/A",$M449*(VLOOKUP($L449,'GPU Specs &amp; Ratios'!$B$2:$I$8,7,FALSE)),0)</f>
        <v>0</v>
      </c>
      <c r="Z449" s="60">
        <f>IF($K449&lt;&gt;"N/A",$M449*(VLOOKUP($L449,'GPU Specs &amp; Ratios'!$B$2:$I$8,8,FALSE)),0)</f>
        <v>0</v>
      </c>
      <c r="AA449" s="60">
        <f>(C449/D449)*VLOOKUP($E449,'AWS Platforms Ratios'!$A$2:$O$25,15,FALSE)</f>
        <v>4</v>
      </c>
      <c r="AB449" s="60">
        <f t="shared" ref="AB449:AE449" si="449">O449+S449+W449+$AA449</f>
        <v>10.37406042</v>
      </c>
      <c r="AC449" s="60">
        <f t="shared" si="449"/>
        <v>16.44214792</v>
      </c>
      <c r="AD449" s="60">
        <f t="shared" si="449"/>
        <v>34.64060417</v>
      </c>
      <c r="AE449" s="60">
        <f t="shared" si="449"/>
        <v>50.22260208</v>
      </c>
      <c r="AF449" s="60">
        <f>IF(G449&gt;'Scope 3 Ratios'!$B$5,(G449-'Scope 3 Ratios'!$B$5)*('Scope 3 Ratios'!$B$6/'Scope 3 Ratios'!$B$5),0)</f>
        <v>1042.9488</v>
      </c>
      <c r="AG449" s="60">
        <f>J449*IF(I449="SSD",'Scope 3 Ratios'!$B$9,'Scope 3 Ratios'!$B$8)</f>
        <v>0</v>
      </c>
      <c r="AH449" s="60">
        <f>IF(K449&lt;&gt;"N/A",K449*'Scope 3 Ratios'!$B$10,0)</f>
        <v>0</v>
      </c>
      <c r="AI449" s="60">
        <f>(VLOOKUP($E449,'AWS Platforms Ratios'!$A$2:$O$25,3,FALSE)-1)*'Scope 3 Ratios'!$B$7</f>
        <v>100</v>
      </c>
      <c r="AJ449" s="60">
        <f>'Scope 3 Ratios'!$B$2+AF449+AG449+AH449+AI449</f>
        <v>2142.9488</v>
      </c>
      <c r="AK449" s="60">
        <f>AJ449*'Scope 3 Ratios'!$B$4*(C449/D449)</f>
        <v>2.583609182</v>
      </c>
      <c r="AL449" s="61" t="s">
        <v>557</v>
      </c>
    </row>
    <row r="450" ht="15.0" customHeight="1">
      <c r="A450" s="56" t="s">
        <v>769</v>
      </c>
      <c r="B450" s="56" t="s">
        <v>556</v>
      </c>
      <c r="C450" s="56">
        <v>8.0</v>
      </c>
      <c r="D450" s="56">
        <f>VLOOKUP(E450,'AWS Platforms Ratios'!$A$2:$B$25,2,FALSE)</f>
        <v>96</v>
      </c>
      <c r="E450" s="57" t="s">
        <v>350</v>
      </c>
      <c r="F450" s="56">
        <v>52.82</v>
      </c>
      <c r="G450" s="56">
        <v>768.0</v>
      </c>
      <c r="H450" s="57" t="s">
        <v>71</v>
      </c>
      <c r="I450" s="56" t="s">
        <v>72</v>
      </c>
      <c r="J450" s="56">
        <v>0.0</v>
      </c>
      <c r="K450" s="58" t="s">
        <v>73</v>
      </c>
      <c r="L450" s="58" t="s">
        <v>73</v>
      </c>
      <c r="M450" s="58" t="s">
        <v>73</v>
      </c>
      <c r="N450" s="58" t="s">
        <v>73</v>
      </c>
      <c r="O450" s="59">
        <f>($C450/$D450)*VLOOKUP($E450,'AWS Platforms Ratios'!$A$2:$O$25,7,FALSE)</f>
        <v>4.823333333</v>
      </c>
      <c r="P450" s="59">
        <f>($C450/$D450)*VLOOKUP($E450,'AWS Platforms Ratios'!$A$2:$O$25,8,FALSE)</f>
        <v>12.21916667</v>
      </c>
      <c r="Q450" s="59">
        <f>($C450/$D450)*VLOOKUP($E450,'AWS Platforms Ratios'!$A$2:$O$25,9,FALSE)</f>
        <v>28.64166667</v>
      </c>
      <c r="R450" s="59">
        <f>($C450/$D450)*VLOOKUP($E450,'AWS Platforms Ratios'!$A$2:$O$25,10,FALSE)</f>
        <v>39.83125</v>
      </c>
      <c r="S450" s="59">
        <f>$F450*VLOOKUP($E450,'AWS Platforms Ratios'!$A$2:$O$25,11,FALSE)</f>
        <v>7.951885938</v>
      </c>
      <c r="T450" s="59">
        <f>$F450*VLOOKUP($E450,'AWS Platforms Ratios'!$A$2:$O$25,12,FALSE)</f>
        <v>12.70843698</v>
      </c>
      <c r="U450" s="59">
        <f>$F450*VLOOKUP($E450,'AWS Platforms Ratios'!$A$2:$O$25,13,FALSE)</f>
        <v>32.75115104</v>
      </c>
      <c r="V450" s="59">
        <f>$F450*VLOOKUP($E450,'AWS Platforms Ratios'!$A$2:$O$25,14,FALSE)</f>
        <v>52.7938651</v>
      </c>
      <c r="W450" s="60">
        <f>IF($K450&lt;&gt;"N/A",$M450*(VLOOKUP($L450,'GPU Specs &amp; Ratios'!$B$2:$I$8,5,FALSE)),0)</f>
        <v>0</v>
      </c>
      <c r="X450" s="60">
        <f>IF($K450&lt;&gt;"N/A",$M450*(VLOOKUP($L450,'GPU Specs &amp; Ratios'!$B$2:$I$8,6,FALSE)),0)</f>
        <v>0</v>
      </c>
      <c r="Y450" s="60">
        <f>IF($K450&lt;&gt;"N/A",$M450*(VLOOKUP($L450,'GPU Specs &amp; Ratios'!$B$2:$I$8,7,FALSE)),0)</f>
        <v>0</v>
      </c>
      <c r="Z450" s="60">
        <f>IF($K450&lt;&gt;"N/A",$M450*(VLOOKUP($L450,'GPU Specs &amp; Ratios'!$B$2:$I$8,8,FALSE)),0)</f>
        <v>0</v>
      </c>
      <c r="AA450" s="60">
        <f>(C450/D450)*VLOOKUP($E450,'AWS Platforms Ratios'!$A$2:$O$25,15,FALSE)</f>
        <v>8</v>
      </c>
      <c r="AB450" s="60">
        <f t="shared" ref="AB450:AE450" si="450">O450+S450+W450+$AA450</f>
        <v>20.77521927</v>
      </c>
      <c r="AC450" s="60">
        <f t="shared" si="450"/>
        <v>32.92760365</v>
      </c>
      <c r="AD450" s="60">
        <f t="shared" si="450"/>
        <v>69.39281771</v>
      </c>
      <c r="AE450" s="60">
        <f t="shared" si="450"/>
        <v>100.6251151</v>
      </c>
      <c r="AF450" s="60">
        <f>IF(G450&gt;'Scope 3 Ratios'!$B$5,(G450-'Scope 3 Ratios'!$B$5)*('Scope 3 Ratios'!$B$6/'Scope 3 Ratios'!$B$5),0)</f>
        <v>1042.9488</v>
      </c>
      <c r="AG450" s="60">
        <f>J450*IF(I450="SSD",'Scope 3 Ratios'!$B$9,'Scope 3 Ratios'!$B$8)</f>
        <v>0</v>
      </c>
      <c r="AH450" s="60">
        <f>IF(K450&lt;&gt;"N/A",K450*'Scope 3 Ratios'!$B$10,0)</f>
        <v>0</v>
      </c>
      <c r="AI450" s="60">
        <f>(VLOOKUP($E450,'AWS Platforms Ratios'!$A$2:$O$25,3,FALSE)-1)*'Scope 3 Ratios'!$B$7</f>
        <v>100</v>
      </c>
      <c r="AJ450" s="60">
        <f>'Scope 3 Ratios'!$B$2+AF450+AG450+AH450+AI450</f>
        <v>2142.9488</v>
      </c>
      <c r="AK450" s="60">
        <f>AJ450*'Scope 3 Ratios'!$B$4*(C450/D450)</f>
        <v>5.167218364</v>
      </c>
      <c r="AL450" s="61" t="s">
        <v>557</v>
      </c>
    </row>
    <row r="451" ht="15.0" customHeight="1">
      <c r="A451" s="56" t="s">
        <v>770</v>
      </c>
      <c r="B451" s="56" t="s">
        <v>556</v>
      </c>
      <c r="C451" s="56">
        <v>16.0</v>
      </c>
      <c r="D451" s="56">
        <f>VLOOKUP(E451,'AWS Platforms Ratios'!$A$2:$B$25,2,FALSE)</f>
        <v>96</v>
      </c>
      <c r="E451" s="57" t="s">
        <v>350</v>
      </c>
      <c r="F451" s="56">
        <v>105.81</v>
      </c>
      <c r="G451" s="56">
        <v>768.0</v>
      </c>
      <c r="H451" s="57" t="s">
        <v>71</v>
      </c>
      <c r="I451" s="56" t="s">
        <v>72</v>
      </c>
      <c r="J451" s="56">
        <v>0.0</v>
      </c>
      <c r="K451" s="58" t="s">
        <v>73</v>
      </c>
      <c r="L451" s="58" t="s">
        <v>73</v>
      </c>
      <c r="M451" s="58" t="s">
        <v>73</v>
      </c>
      <c r="N451" s="58" t="s">
        <v>73</v>
      </c>
      <c r="O451" s="59">
        <f>($C451/$D451)*VLOOKUP($E451,'AWS Platforms Ratios'!$A$2:$O$25,7,FALSE)</f>
        <v>9.646666667</v>
      </c>
      <c r="P451" s="59">
        <f>($C451/$D451)*VLOOKUP($E451,'AWS Platforms Ratios'!$A$2:$O$25,8,FALSE)</f>
        <v>24.43833333</v>
      </c>
      <c r="Q451" s="59">
        <f>($C451/$D451)*VLOOKUP($E451,'AWS Platforms Ratios'!$A$2:$O$25,9,FALSE)</f>
        <v>57.28333333</v>
      </c>
      <c r="R451" s="59">
        <f>($C451/$D451)*VLOOKUP($E451,'AWS Platforms Ratios'!$A$2:$O$25,10,FALSE)</f>
        <v>79.6625</v>
      </c>
      <c r="S451" s="59">
        <f>$F451*VLOOKUP($E451,'AWS Platforms Ratios'!$A$2:$O$25,11,FALSE)</f>
        <v>15.92936484</v>
      </c>
      <c r="T451" s="59">
        <f>$F451*VLOOKUP($E451,'AWS Platforms Ratios'!$A$2:$O$25,12,FALSE)</f>
        <v>25.45777578</v>
      </c>
      <c r="U451" s="59">
        <f>$F451*VLOOKUP($E451,'AWS Platforms Ratios'!$A$2:$O$25,13,FALSE)</f>
        <v>65.60771094</v>
      </c>
      <c r="V451" s="59">
        <f>$F451*VLOOKUP($E451,'AWS Platforms Ratios'!$A$2:$O$25,14,FALSE)</f>
        <v>105.7576461</v>
      </c>
      <c r="W451" s="60">
        <f>IF($K451&lt;&gt;"N/A",$M451*(VLOOKUP($L451,'GPU Specs &amp; Ratios'!$B$2:$I$8,5,FALSE)),0)</f>
        <v>0</v>
      </c>
      <c r="X451" s="60">
        <f>IF($K451&lt;&gt;"N/A",$M451*(VLOOKUP($L451,'GPU Specs &amp; Ratios'!$B$2:$I$8,6,FALSE)),0)</f>
        <v>0</v>
      </c>
      <c r="Y451" s="60">
        <f>IF($K451&lt;&gt;"N/A",$M451*(VLOOKUP($L451,'GPU Specs &amp; Ratios'!$B$2:$I$8,7,FALSE)),0)</f>
        <v>0</v>
      </c>
      <c r="Z451" s="60">
        <f>IF($K451&lt;&gt;"N/A",$M451*(VLOOKUP($L451,'GPU Specs &amp; Ratios'!$B$2:$I$8,8,FALSE)),0)</f>
        <v>0</v>
      </c>
      <c r="AA451" s="60">
        <f>(C451/D451)*VLOOKUP($E451,'AWS Platforms Ratios'!$A$2:$O$25,15,FALSE)</f>
        <v>16</v>
      </c>
      <c r="AB451" s="60">
        <f t="shared" ref="AB451:AE451" si="451">O451+S451+W451+$AA451</f>
        <v>41.57603151</v>
      </c>
      <c r="AC451" s="60">
        <f t="shared" si="451"/>
        <v>65.89610911</v>
      </c>
      <c r="AD451" s="60">
        <f t="shared" si="451"/>
        <v>138.8910443</v>
      </c>
      <c r="AE451" s="60">
        <f t="shared" si="451"/>
        <v>201.4201461</v>
      </c>
      <c r="AF451" s="60">
        <f>IF(G451&gt;'Scope 3 Ratios'!$B$5,(G451-'Scope 3 Ratios'!$B$5)*('Scope 3 Ratios'!$B$6/'Scope 3 Ratios'!$B$5),0)</f>
        <v>1042.9488</v>
      </c>
      <c r="AG451" s="60">
        <f>J451*IF(I451="SSD",'Scope 3 Ratios'!$B$9,'Scope 3 Ratios'!$B$8)</f>
        <v>0</v>
      </c>
      <c r="AH451" s="60">
        <f>IF(K451&lt;&gt;"N/A",K451*'Scope 3 Ratios'!$B$10,0)</f>
        <v>0</v>
      </c>
      <c r="AI451" s="60">
        <f>(VLOOKUP($E451,'AWS Platforms Ratios'!$A$2:$O$25,3,FALSE)-1)*'Scope 3 Ratios'!$B$7</f>
        <v>100</v>
      </c>
      <c r="AJ451" s="60">
        <f>'Scope 3 Ratios'!$B$2+AF451+AG451+AH451+AI451</f>
        <v>2142.9488</v>
      </c>
      <c r="AK451" s="60">
        <f>AJ451*'Scope 3 Ratios'!$B$4*(C451/D451)</f>
        <v>10.33443673</v>
      </c>
      <c r="AL451" s="61" t="s">
        <v>557</v>
      </c>
    </row>
    <row r="452" ht="15.0" customHeight="1">
      <c r="A452" s="56" t="s">
        <v>771</v>
      </c>
      <c r="B452" s="56" t="s">
        <v>556</v>
      </c>
      <c r="C452" s="56">
        <v>48.0</v>
      </c>
      <c r="D452" s="56">
        <f>VLOOKUP(E452,'AWS Platforms Ratios'!$A$2:$B$25,2,FALSE)</f>
        <v>96</v>
      </c>
      <c r="E452" s="57" t="s">
        <v>350</v>
      </c>
      <c r="F452" s="56">
        <v>317.77</v>
      </c>
      <c r="G452" s="56">
        <v>768.0</v>
      </c>
      <c r="H452" s="57" t="s">
        <v>71</v>
      </c>
      <c r="I452" s="56" t="s">
        <v>72</v>
      </c>
      <c r="J452" s="56">
        <v>0.0</v>
      </c>
      <c r="K452" s="58" t="s">
        <v>73</v>
      </c>
      <c r="L452" s="58" t="s">
        <v>73</v>
      </c>
      <c r="M452" s="58" t="s">
        <v>73</v>
      </c>
      <c r="N452" s="58" t="s">
        <v>73</v>
      </c>
      <c r="O452" s="59">
        <f>($C452/$D452)*VLOOKUP($E452,'AWS Platforms Ratios'!$A$2:$O$25,7,FALSE)</f>
        <v>28.94</v>
      </c>
      <c r="P452" s="59">
        <f>($C452/$D452)*VLOOKUP($E452,'AWS Platforms Ratios'!$A$2:$O$25,8,FALSE)</f>
        <v>73.315</v>
      </c>
      <c r="Q452" s="59">
        <f>($C452/$D452)*VLOOKUP($E452,'AWS Platforms Ratios'!$A$2:$O$25,9,FALSE)</f>
        <v>171.85</v>
      </c>
      <c r="R452" s="59">
        <f>($C452/$D452)*VLOOKUP($E452,'AWS Platforms Ratios'!$A$2:$O$25,10,FALSE)</f>
        <v>238.9875</v>
      </c>
      <c r="S452" s="59">
        <f>$F452*VLOOKUP($E452,'AWS Platforms Ratios'!$A$2:$O$25,11,FALSE)</f>
        <v>47.83928047</v>
      </c>
      <c r="T452" s="59">
        <f>$F452*VLOOKUP($E452,'AWS Platforms Ratios'!$A$2:$O$25,12,FALSE)</f>
        <v>76.45513099</v>
      </c>
      <c r="U452" s="59">
        <f>$F452*VLOOKUP($E452,'AWS Platforms Ratios'!$A$2:$O$25,13,FALSE)</f>
        <v>197.0339505</v>
      </c>
      <c r="V452" s="59">
        <f>$F452*VLOOKUP($E452,'AWS Platforms Ratios'!$A$2:$O$25,14,FALSE)</f>
        <v>317.6127701</v>
      </c>
      <c r="W452" s="60">
        <f>IF($K452&lt;&gt;"N/A",$M452*(VLOOKUP($L452,'GPU Specs &amp; Ratios'!$B$2:$I$8,5,FALSE)),0)</f>
        <v>0</v>
      </c>
      <c r="X452" s="60">
        <f>IF($K452&lt;&gt;"N/A",$M452*(VLOOKUP($L452,'GPU Specs &amp; Ratios'!$B$2:$I$8,6,FALSE)),0)</f>
        <v>0</v>
      </c>
      <c r="Y452" s="60">
        <f>IF($K452&lt;&gt;"N/A",$M452*(VLOOKUP($L452,'GPU Specs &amp; Ratios'!$B$2:$I$8,7,FALSE)),0)</f>
        <v>0</v>
      </c>
      <c r="Z452" s="60">
        <f>IF($K452&lt;&gt;"N/A",$M452*(VLOOKUP($L452,'GPU Specs &amp; Ratios'!$B$2:$I$8,8,FALSE)),0)</f>
        <v>0</v>
      </c>
      <c r="AA452" s="60">
        <f>(C452/D452)*VLOOKUP($E452,'AWS Platforms Ratios'!$A$2:$O$25,15,FALSE)</f>
        <v>48</v>
      </c>
      <c r="AB452" s="60">
        <f t="shared" ref="AB452:AE452" si="452">O452+S452+W452+$AA452</f>
        <v>124.7792805</v>
      </c>
      <c r="AC452" s="60">
        <f t="shared" si="452"/>
        <v>197.770131</v>
      </c>
      <c r="AD452" s="60">
        <f t="shared" si="452"/>
        <v>416.8839505</v>
      </c>
      <c r="AE452" s="60">
        <f t="shared" si="452"/>
        <v>604.6002701</v>
      </c>
      <c r="AF452" s="60">
        <f>IF(G452&gt;'Scope 3 Ratios'!$B$5,(G452-'Scope 3 Ratios'!$B$5)*('Scope 3 Ratios'!$B$6/'Scope 3 Ratios'!$B$5),0)</f>
        <v>1042.9488</v>
      </c>
      <c r="AG452" s="60">
        <f>J452*IF(I452="SSD",'Scope 3 Ratios'!$B$9,'Scope 3 Ratios'!$B$8)</f>
        <v>0</v>
      </c>
      <c r="AH452" s="60">
        <f>IF(K452&lt;&gt;"N/A",K452*'Scope 3 Ratios'!$B$10,0)</f>
        <v>0</v>
      </c>
      <c r="AI452" s="60">
        <f>(VLOOKUP($E452,'AWS Platforms Ratios'!$A$2:$O$25,3,FALSE)-1)*'Scope 3 Ratios'!$B$7</f>
        <v>100</v>
      </c>
      <c r="AJ452" s="60">
        <f>'Scope 3 Ratios'!$B$2+AF452+AG452+AH452+AI452</f>
        <v>2142.9488</v>
      </c>
      <c r="AK452" s="60">
        <f>AJ452*'Scope 3 Ratios'!$B$4*(C452/D452)</f>
        <v>31.00331019</v>
      </c>
      <c r="AL452" s="61" t="s">
        <v>557</v>
      </c>
    </row>
    <row r="453" ht="15.0" customHeight="1">
      <c r="A453" s="56" t="s">
        <v>772</v>
      </c>
      <c r="B453" s="56" t="s">
        <v>556</v>
      </c>
      <c r="C453" s="56">
        <v>96.0</v>
      </c>
      <c r="D453" s="56">
        <f>VLOOKUP(E453,'AWS Platforms Ratios'!$A$2:$B$25,2,FALSE)</f>
        <v>96</v>
      </c>
      <c r="E453" s="57" t="s">
        <v>350</v>
      </c>
      <c r="F453" s="56">
        <v>635.61</v>
      </c>
      <c r="G453" s="56">
        <v>768.0</v>
      </c>
      <c r="H453" s="57" t="s">
        <v>71</v>
      </c>
      <c r="I453" s="56" t="s">
        <v>72</v>
      </c>
      <c r="J453" s="56">
        <v>0.0</v>
      </c>
      <c r="K453" s="58" t="s">
        <v>73</v>
      </c>
      <c r="L453" s="58" t="s">
        <v>73</v>
      </c>
      <c r="M453" s="58" t="s">
        <v>73</v>
      </c>
      <c r="N453" s="58" t="s">
        <v>73</v>
      </c>
      <c r="O453" s="59">
        <f>($C453/$D453)*VLOOKUP($E453,'AWS Platforms Ratios'!$A$2:$O$25,7,FALSE)</f>
        <v>57.88</v>
      </c>
      <c r="P453" s="59">
        <f>($C453/$D453)*VLOOKUP($E453,'AWS Platforms Ratios'!$A$2:$O$25,8,FALSE)</f>
        <v>146.63</v>
      </c>
      <c r="Q453" s="59">
        <f>($C453/$D453)*VLOOKUP($E453,'AWS Platforms Ratios'!$A$2:$O$25,9,FALSE)</f>
        <v>343.7</v>
      </c>
      <c r="R453" s="59">
        <f>($C453/$D453)*VLOOKUP($E453,'AWS Platforms Ratios'!$A$2:$O$25,10,FALSE)</f>
        <v>477.975</v>
      </c>
      <c r="S453" s="59">
        <f>$F453*VLOOKUP($E453,'AWS Platforms Ratios'!$A$2:$O$25,11,FALSE)</f>
        <v>95.68909922</v>
      </c>
      <c r="T453" s="59">
        <f>$F453*VLOOKUP($E453,'AWS Platforms Ratios'!$A$2:$O$25,12,FALSE)</f>
        <v>152.9271039</v>
      </c>
      <c r="U453" s="59">
        <f>$F453*VLOOKUP($E453,'AWS Platforms Ratios'!$A$2:$O$25,13,FALSE)</f>
        <v>394.1113047</v>
      </c>
      <c r="V453" s="59">
        <f>$F453*VLOOKUP($E453,'AWS Platforms Ratios'!$A$2:$O$25,14,FALSE)</f>
        <v>635.2955055</v>
      </c>
      <c r="W453" s="60">
        <f>IF($K453&lt;&gt;"N/A",$M453*(VLOOKUP($L453,'GPU Specs &amp; Ratios'!$B$2:$I$8,5,FALSE)),0)</f>
        <v>0</v>
      </c>
      <c r="X453" s="60">
        <f>IF($K453&lt;&gt;"N/A",$M453*(VLOOKUP($L453,'GPU Specs &amp; Ratios'!$B$2:$I$8,6,FALSE)),0)</f>
        <v>0</v>
      </c>
      <c r="Y453" s="60">
        <f>IF($K453&lt;&gt;"N/A",$M453*(VLOOKUP($L453,'GPU Specs &amp; Ratios'!$B$2:$I$8,7,FALSE)),0)</f>
        <v>0</v>
      </c>
      <c r="Z453" s="60">
        <f>IF($K453&lt;&gt;"N/A",$M453*(VLOOKUP($L453,'GPU Specs &amp; Ratios'!$B$2:$I$8,8,FALSE)),0)</f>
        <v>0</v>
      </c>
      <c r="AA453" s="60">
        <f>(C453/D453)*VLOOKUP($E453,'AWS Platforms Ratios'!$A$2:$O$25,15,FALSE)</f>
        <v>96</v>
      </c>
      <c r="AB453" s="60">
        <f t="shared" ref="AB453:AE453" si="453">O453+S453+W453+$AA453</f>
        <v>249.5690992</v>
      </c>
      <c r="AC453" s="60">
        <f t="shared" si="453"/>
        <v>395.5571039</v>
      </c>
      <c r="AD453" s="60">
        <f t="shared" si="453"/>
        <v>833.8113047</v>
      </c>
      <c r="AE453" s="60">
        <f t="shared" si="453"/>
        <v>1209.270505</v>
      </c>
      <c r="AF453" s="60">
        <f>IF(G453&gt;'Scope 3 Ratios'!$B$5,(G453-'Scope 3 Ratios'!$B$5)*('Scope 3 Ratios'!$B$6/'Scope 3 Ratios'!$B$5),0)</f>
        <v>1042.9488</v>
      </c>
      <c r="AG453" s="60">
        <f>J453*IF(I453="SSD",'Scope 3 Ratios'!$B$9,'Scope 3 Ratios'!$B$8)</f>
        <v>0</v>
      </c>
      <c r="AH453" s="60">
        <f>IF(K453&lt;&gt;"N/A",K453*'Scope 3 Ratios'!$B$10,0)</f>
        <v>0</v>
      </c>
      <c r="AI453" s="60">
        <f>(VLOOKUP($E453,'AWS Platforms Ratios'!$A$2:$O$25,3,FALSE)-1)*'Scope 3 Ratios'!$B$7</f>
        <v>100</v>
      </c>
      <c r="AJ453" s="60">
        <f>'Scope 3 Ratios'!$B$2+AF453+AG453+AH453+AI453</f>
        <v>2142.9488</v>
      </c>
      <c r="AK453" s="60">
        <f>AJ453*'Scope 3 Ratios'!$B$4*(C453/D453)</f>
        <v>62.00662037</v>
      </c>
      <c r="AL453" s="61" t="s">
        <v>557</v>
      </c>
    </row>
    <row r="454" ht="15.0" customHeight="1">
      <c r="A454" s="66" t="s">
        <v>773</v>
      </c>
      <c r="B454" s="56" t="s">
        <v>188</v>
      </c>
      <c r="C454" s="63">
        <v>2.0</v>
      </c>
      <c r="D454" s="56">
        <f>VLOOKUP(E454,'AWS Platforms Ratios'!$A$2:$B$25,2,FALSE)</f>
        <v>64</v>
      </c>
      <c r="E454" s="63" t="s">
        <v>189</v>
      </c>
      <c r="F454" s="63">
        <v>16.0</v>
      </c>
      <c r="G454" s="63">
        <v>512.0</v>
      </c>
      <c r="H454" s="64" t="s">
        <v>71</v>
      </c>
      <c r="I454" s="56" t="s">
        <v>72</v>
      </c>
      <c r="J454" s="63">
        <v>0.0</v>
      </c>
      <c r="K454" s="58" t="s">
        <v>73</v>
      </c>
      <c r="L454" s="58" t="s">
        <v>73</v>
      </c>
      <c r="M454" s="58" t="s">
        <v>73</v>
      </c>
      <c r="N454" s="58" t="s">
        <v>73</v>
      </c>
      <c r="O454" s="59">
        <f>($C454/$D454)*VLOOKUP($E454,'AWS Platforms Ratios'!$A$2:$O$25,7,FALSE)</f>
        <v>0.5443528939</v>
      </c>
      <c r="P454" s="59">
        <f>($C454/$D454)*VLOOKUP($E454,'AWS Platforms Ratios'!$A$2:$O$25,8,FALSE)</f>
        <v>1.49184586</v>
      </c>
      <c r="Q454" s="59">
        <f>($C454/$D454)*VLOOKUP($E454,'AWS Platforms Ratios'!$A$2:$O$25,9,FALSE)</f>
        <v>3.526235932</v>
      </c>
      <c r="R454" s="59">
        <f>($C454/$D454)*VLOOKUP($E454,'AWS Platforms Ratios'!$A$2:$O$25,10,FALSE)</f>
        <v>4.774429763</v>
      </c>
      <c r="S454" s="59">
        <f>$F454*VLOOKUP($E454,'AWS Platforms Ratios'!$A$2:$O$25,11,FALSE)</f>
        <v>3.2</v>
      </c>
      <c r="T454" s="59">
        <f>$F454*VLOOKUP($E454,'AWS Platforms Ratios'!$A$2:$O$25,12,FALSE)</f>
        <v>4.8</v>
      </c>
      <c r="U454" s="59">
        <f>$F454*VLOOKUP($E454,'AWS Platforms Ratios'!$A$2:$O$25,13,FALSE)</f>
        <v>6.4</v>
      </c>
      <c r="V454" s="59">
        <f>$F454*VLOOKUP($E454,'AWS Platforms Ratios'!$A$2:$O$25,14,FALSE)</f>
        <v>9.6</v>
      </c>
      <c r="W454" s="60">
        <f>IF($K454&lt;&gt;"N/A",$M454*(VLOOKUP($L454,'GPU Specs &amp; Ratios'!$B$2:$I$8,5,FALSE)),0)</f>
        <v>0</v>
      </c>
      <c r="X454" s="60">
        <f>IF($K454&lt;&gt;"N/A",$M454*(VLOOKUP($L454,'GPU Specs &amp; Ratios'!$B$2:$I$8,6,FALSE)),0)</f>
        <v>0</v>
      </c>
      <c r="Y454" s="60">
        <f>IF($K454&lt;&gt;"N/A",$M454*(VLOOKUP($L454,'GPU Specs &amp; Ratios'!$B$2:$I$8,7,FALSE)),0)</f>
        <v>0</v>
      </c>
      <c r="Z454" s="60">
        <f>IF($K454&lt;&gt;"N/A",$M454*(VLOOKUP($L454,'GPU Specs &amp; Ratios'!$B$2:$I$8,8,FALSE)),0)</f>
        <v>0</v>
      </c>
      <c r="AA454" s="60">
        <f>(C454/D454)*VLOOKUP($E454,'AWS Platforms Ratios'!$A$2:$O$25,15,FALSE)</f>
        <v>0.9375</v>
      </c>
      <c r="AB454" s="60">
        <f t="shared" ref="AB454:AE454" si="454">O454+S454+W454+$AA454</f>
        <v>4.681852894</v>
      </c>
      <c r="AC454" s="60">
        <f t="shared" si="454"/>
        <v>7.22934586</v>
      </c>
      <c r="AD454" s="60">
        <f t="shared" si="454"/>
        <v>10.86373593</v>
      </c>
      <c r="AE454" s="60">
        <f t="shared" si="454"/>
        <v>15.31192976</v>
      </c>
      <c r="AF454" s="60">
        <f>IF(G454&gt;'Scope 3 Ratios'!$B$5,(G454-'Scope 3 Ratios'!$B$5)*('Scope 3 Ratios'!$B$6/'Scope 3 Ratios'!$B$5),0)</f>
        <v>687.9024</v>
      </c>
      <c r="AG454" s="60">
        <f>J454*IF(I454="SSD",'Scope 3 Ratios'!$B$9,'Scope 3 Ratios'!$B$8)</f>
        <v>0</v>
      </c>
      <c r="AH454" s="60">
        <f>IF(K454&lt;&gt;"N/A",K454*'Scope 3 Ratios'!$B$10,0)</f>
        <v>0</v>
      </c>
      <c r="AI454" s="60">
        <f>(VLOOKUP($E454,'AWS Platforms Ratios'!$A$2:$O$25,3,FALSE)-1)*'Scope 3 Ratios'!$B$7</f>
        <v>0</v>
      </c>
      <c r="AJ454" s="60">
        <f>'Scope 3 Ratios'!$B$2+AF454+AG454+AH454+AI454</f>
        <v>1687.9024</v>
      </c>
      <c r="AK454" s="60">
        <f>AJ454*'Scope 3 Ratios'!$B$4*(C454/D454)</f>
        <v>1.526242766</v>
      </c>
      <c r="AL454" s="61" t="s">
        <v>190</v>
      </c>
    </row>
    <row r="455" ht="15.0" customHeight="1">
      <c r="A455" s="74" t="s">
        <v>774</v>
      </c>
      <c r="B455" s="56" t="s">
        <v>188</v>
      </c>
      <c r="C455" s="63">
        <v>4.0</v>
      </c>
      <c r="D455" s="56">
        <f>VLOOKUP(E455,'AWS Platforms Ratios'!$A$2:$B$25,2,FALSE)</f>
        <v>64</v>
      </c>
      <c r="E455" s="63" t="s">
        <v>189</v>
      </c>
      <c r="F455" s="63">
        <v>32.0</v>
      </c>
      <c r="G455" s="63">
        <v>512.0</v>
      </c>
      <c r="H455" s="64" t="s">
        <v>71</v>
      </c>
      <c r="I455" s="56" t="s">
        <v>72</v>
      </c>
      <c r="J455" s="63">
        <v>0.0</v>
      </c>
      <c r="K455" s="58" t="s">
        <v>73</v>
      </c>
      <c r="L455" s="58" t="s">
        <v>73</v>
      </c>
      <c r="M455" s="58" t="s">
        <v>73</v>
      </c>
      <c r="N455" s="58" t="s">
        <v>73</v>
      </c>
      <c r="O455" s="59">
        <f>($C455/$D455)*VLOOKUP($E455,'AWS Platforms Ratios'!$A$2:$O$25,7,FALSE)</f>
        <v>1.088705788</v>
      </c>
      <c r="P455" s="59">
        <f>($C455/$D455)*VLOOKUP($E455,'AWS Platforms Ratios'!$A$2:$O$25,8,FALSE)</f>
        <v>2.98369172</v>
      </c>
      <c r="Q455" s="59">
        <f>($C455/$D455)*VLOOKUP($E455,'AWS Platforms Ratios'!$A$2:$O$25,9,FALSE)</f>
        <v>7.052471865</v>
      </c>
      <c r="R455" s="59">
        <f>($C455/$D455)*VLOOKUP($E455,'AWS Platforms Ratios'!$A$2:$O$25,10,FALSE)</f>
        <v>9.548859526</v>
      </c>
      <c r="S455" s="59">
        <f>$F455*VLOOKUP($E455,'AWS Platforms Ratios'!$A$2:$O$25,11,FALSE)</f>
        <v>6.4</v>
      </c>
      <c r="T455" s="59">
        <f>$F455*VLOOKUP($E455,'AWS Platforms Ratios'!$A$2:$O$25,12,FALSE)</f>
        <v>9.6</v>
      </c>
      <c r="U455" s="59">
        <f>$F455*VLOOKUP($E455,'AWS Platforms Ratios'!$A$2:$O$25,13,FALSE)</f>
        <v>12.8</v>
      </c>
      <c r="V455" s="59">
        <f>$F455*VLOOKUP($E455,'AWS Platforms Ratios'!$A$2:$O$25,14,FALSE)</f>
        <v>19.2</v>
      </c>
      <c r="W455" s="60">
        <f>IF($K455&lt;&gt;"N/A",$M455*(VLOOKUP($L455,'GPU Specs &amp; Ratios'!$B$2:$I$8,5,FALSE)),0)</f>
        <v>0</v>
      </c>
      <c r="X455" s="60">
        <f>IF($K455&lt;&gt;"N/A",$M455*(VLOOKUP($L455,'GPU Specs &amp; Ratios'!$B$2:$I$8,6,FALSE)),0)</f>
        <v>0</v>
      </c>
      <c r="Y455" s="60">
        <f>IF($K455&lt;&gt;"N/A",$M455*(VLOOKUP($L455,'GPU Specs &amp; Ratios'!$B$2:$I$8,7,FALSE)),0)</f>
        <v>0</v>
      </c>
      <c r="Z455" s="60">
        <f>IF($K455&lt;&gt;"N/A",$M455*(VLOOKUP($L455,'GPU Specs &amp; Ratios'!$B$2:$I$8,8,FALSE)),0)</f>
        <v>0</v>
      </c>
      <c r="AA455" s="60">
        <f>(C455/D455)*VLOOKUP($E455,'AWS Platforms Ratios'!$A$2:$O$25,15,FALSE)</f>
        <v>1.875</v>
      </c>
      <c r="AB455" s="60">
        <f t="shared" ref="AB455:AE455" si="455">O455+S455+W455+$AA455</f>
        <v>9.363705788</v>
      </c>
      <c r="AC455" s="60">
        <f t="shared" si="455"/>
        <v>14.45869172</v>
      </c>
      <c r="AD455" s="60">
        <f t="shared" si="455"/>
        <v>21.72747186</v>
      </c>
      <c r="AE455" s="60">
        <f t="shared" si="455"/>
        <v>30.62385953</v>
      </c>
      <c r="AF455" s="60">
        <f>IF(G455&gt;'Scope 3 Ratios'!$B$5,(G455-'Scope 3 Ratios'!$B$5)*('Scope 3 Ratios'!$B$6/'Scope 3 Ratios'!$B$5),0)</f>
        <v>687.9024</v>
      </c>
      <c r="AG455" s="60">
        <f>J455*IF(I455="SSD",'Scope 3 Ratios'!$B$9,'Scope 3 Ratios'!$B$8)</f>
        <v>0</v>
      </c>
      <c r="AH455" s="60">
        <f>IF(K455&lt;&gt;"N/A",K455*'Scope 3 Ratios'!$B$10,0)</f>
        <v>0</v>
      </c>
      <c r="AI455" s="60">
        <f>(VLOOKUP($E455,'AWS Platforms Ratios'!$A$2:$O$25,3,FALSE)-1)*'Scope 3 Ratios'!$B$7</f>
        <v>0</v>
      </c>
      <c r="AJ455" s="60">
        <f>'Scope 3 Ratios'!$B$2+AF455+AG455+AH455+AI455</f>
        <v>1687.9024</v>
      </c>
      <c r="AK455" s="60">
        <f>AJ455*'Scope 3 Ratios'!$B$4*(C455/D455)</f>
        <v>3.052485532</v>
      </c>
      <c r="AL455" s="61" t="s">
        <v>190</v>
      </c>
    </row>
    <row r="456" ht="15.0" customHeight="1">
      <c r="A456" s="74" t="s">
        <v>775</v>
      </c>
      <c r="B456" s="56" t="s">
        <v>188</v>
      </c>
      <c r="C456" s="63">
        <v>8.0</v>
      </c>
      <c r="D456" s="56">
        <f>VLOOKUP(E456,'AWS Platforms Ratios'!$A$2:$B$25,2,FALSE)</f>
        <v>64</v>
      </c>
      <c r="E456" s="63" t="s">
        <v>189</v>
      </c>
      <c r="F456" s="63">
        <v>64.0</v>
      </c>
      <c r="G456" s="63">
        <v>512.0</v>
      </c>
      <c r="H456" s="64" t="s">
        <v>71</v>
      </c>
      <c r="I456" s="56" t="s">
        <v>72</v>
      </c>
      <c r="J456" s="63">
        <v>0.0</v>
      </c>
      <c r="K456" s="58" t="s">
        <v>73</v>
      </c>
      <c r="L456" s="58" t="s">
        <v>73</v>
      </c>
      <c r="M456" s="58" t="s">
        <v>73</v>
      </c>
      <c r="N456" s="58" t="s">
        <v>73</v>
      </c>
      <c r="O456" s="59">
        <f>($C456/$D456)*VLOOKUP($E456,'AWS Platforms Ratios'!$A$2:$O$25,7,FALSE)</f>
        <v>2.177411576</v>
      </c>
      <c r="P456" s="59">
        <f>($C456/$D456)*VLOOKUP($E456,'AWS Platforms Ratios'!$A$2:$O$25,8,FALSE)</f>
        <v>5.967383441</v>
      </c>
      <c r="Q456" s="59">
        <f>($C456/$D456)*VLOOKUP($E456,'AWS Platforms Ratios'!$A$2:$O$25,9,FALSE)</f>
        <v>14.10494373</v>
      </c>
      <c r="R456" s="59">
        <f>($C456/$D456)*VLOOKUP($E456,'AWS Platforms Ratios'!$A$2:$O$25,10,FALSE)</f>
        <v>19.09771905</v>
      </c>
      <c r="S456" s="59">
        <f>$F456*VLOOKUP($E456,'AWS Platforms Ratios'!$A$2:$O$25,11,FALSE)</f>
        <v>12.8</v>
      </c>
      <c r="T456" s="59">
        <f>$F456*VLOOKUP($E456,'AWS Platforms Ratios'!$A$2:$O$25,12,FALSE)</f>
        <v>19.2</v>
      </c>
      <c r="U456" s="59">
        <f>$F456*VLOOKUP($E456,'AWS Platforms Ratios'!$A$2:$O$25,13,FALSE)</f>
        <v>25.6</v>
      </c>
      <c r="V456" s="59">
        <f>$F456*VLOOKUP($E456,'AWS Platforms Ratios'!$A$2:$O$25,14,FALSE)</f>
        <v>38.4</v>
      </c>
      <c r="W456" s="60">
        <f>IF($K456&lt;&gt;"N/A",$M456*(VLOOKUP($L456,'GPU Specs &amp; Ratios'!$B$2:$I$8,5,FALSE)),0)</f>
        <v>0</v>
      </c>
      <c r="X456" s="60">
        <f>IF($K456&lt;&gt;"N/A",$M456*(VLOOKUP($L456,'GPU Specs &amp; Ratios'!$B$2:$I$8,6,FALSE)),0)</f>
        <v>0</v>
      </c>
      <c r="Y456" s="60">
        <f>IF($K456&lt;&gt;"N/A",$M456*(VLOOKUP($L456,'GPU Specs &amp; Ratios'!$B$2:$I$8,7,FALSE)),0)</f>
        <v>0</v>
      </c>
      <c r="Z456" s="60">
        <f>IF($K456&lt;&gt;"N/A",$M456*(VLOOKUP($L456,'GPU Specs &amp; Ratios'!$B$2:$I$8,8,FALSE)),0)</f>
        <v>0</v>
      </c>
      <c r="AA456" s="60">
        <f>(C456/D456)*VLOOKUP($E456,'AWS Platforms Ratios'!$A$2:$O$25,15,FALSE)</f>
        <v>3.75</v>
      </c>
      <c r="AB456" s="60">
        <f t="shared" ref="AB456:AE456" si="456">O456+S456+W456+$AA456</f>
        <v>18.72741158</v>
      </c>
      <c r="AC456" s="60">
        <f t="shared" si="456"/>
        <v>28.91738344</v>
      </c>
      <c r="AD456" s="60">
        <f t="shared" si="456"/>
        <v>43.45494373</v>
      </c>
      <c r="AE456" s="60">
        <f t="shared" si="456"/>
        <v>61.24771905</v>
      </c>
      <c r="AF456" s="60">
        <f>IF(G456&gt;'Scope 3 Ratios'!$B$5,(G456-'Scope 3 Ratios'!$B$5)*('Scope 3 Ratios'!$B$6/'Scope 3 Ratios'!$B$5),0)</f>
        <v>687.9024</v>
      </c>
      <c r="AG456" s="60">
        <f>J456*IF(I456="SSD",'Scope 3 Ratios'!$B$9,'Scope 3 Ratios'!$B$8)</f>
        <v>0</v>
      </c>
      <c r="AH456" s="60">
        <f>IF(K456&lt;&gt;"N/A",K456*'Scope 3 Ratios'!$B$10,0)</f>
        <v>0</v>
      </c>
      <c r="AI456" s="60">
        <f>(VLOOKUP($E456,'AWS Platforms Ratios'!$A$2:$O$25,3,FALSE)-1)*'Scope 3 Ratios'!$B$7</f>
        <v>0</v>
      </c>
      <c r="AJ456" s="60">
        <f>'Scope 3 Ratios'!$B$2+AF456+AG456+AH456+AI456</f>
        <v>1687.9024</v>
      </c>
      <c r="AK456" s="60">
        <f>AJ456*'Scope 3 Ratios'!$B$4*(C456/D456)</f>
        <v>6.104971065</v>
      </c>
      <c r="AL456" s="61" t="s">
        <v>190</v>
      </c>
    </row>
    <row r="457" ht="15.0" customHeight="1">
      <c r="A457" s="74" t="s">
        <v>776</v>
      </c>
      <c r="B457" s="56" t="s">
        <v>188</v>
      </c>
      <c r="C457" s="63">
        <v>16.0</v>
      </c>
      <c r="D457" s="56">
        <f>VLOOKUP(E457,'AWS Platforms Ratios'!$A$2:$B$25,2,FALSE)</f>
        <v>64</v>
      </c>
      <c r="E457" s="63" t="s">
        <v>189</v>
      </c>
      <c r="F457" s="63">
        <v>128.0</v>
      </c>
      <c r="G457" s="63">
        <v>512.0</v>
      </c>
      <c r="H457" s="64" t="s">
        <v>71</v>
      </c>
      <c r="I457" s="56" t="s">
        <v>72</v>
      </c>
      <c r="J457" s="63">
        <v>0.0</v>
      </c>
      <c r="K457" s="58" t="s">
        <v>73</v>
      </c>
      <c r="L457" s="58" t="s">
        <v>73</v>
      </c>
      <c r="M457" s="58" t="s">
        <v>73</v>
      </c>
      <c r="N457" s="58" t="s">
        <v>73</v>
      </c>
      <c r="O457" s="59">
        <f>($C457/$D457)*VLOOKUP($E457,'AWS Platforms Ratios'!$A$2:$O$25,7,FALSE)</f>
        <v>4.354823151</v>
      </c>
      <c r="P457" s="59">
        <f>($C457/$D457)*VLOOKUP($E457,'AWS Platforms Ratios'!$A$2:$O$25,8,FALSE)</f>
        <v>11.93476688</v>
      </c>
      <c r="Q457" s="59">
        <f>($C457/$D457)*VLOOKUP($E457,'AWS Platforms Ratios'!$A$2:$O$25,9,FALSE)</f>
        <v>28.20988746</v>
      </c>
      <c r="R457" s="59">
        <f>($C457/$D457)*VLOOKUP($E457,'AWS Platforms Ratios'!$A$2:$O$25,10,FALSE)</f>
        <v>38.1954381</v>
      </c>
      <c r="S457" s="59">
        <f>$F457*VLOOKUP($E457,'AWS Platforms Ratios'!$A$2:$O$25,11,FALSE)</f>
        <v>25.6</v>
      </c>
      <c r="T457" s="59">
        <f>$F457*VLOOKUP($E457,'AWS Platforms Ratios'!$A$2:$O$25,12,FALSE)</f>
        <v>38.4</v>
      </c>
      <c r="U457" s="59">
        <f>$F457*VLOOKUP($E457,'AWS Platforms Ratios'!$A$2:$O$25,13,FALSE)</f>
        <v>51.2</v>
      </c>
      <c r="V457" s="59">
        <f>$F457*VLOOKUP($E457,'AWS Platforms Ratios'!$A$2:$O$25,14,FALSE)</f>
        <v>76.8</v>
      </c>
      <c r="W457" s="60">
        <f>IF($K457&lt;&gt;"N/A",$M457*(VLOOKUP($L457,'GPU Specs &amp; Ratios'!$B$2:$I$8,5,FALSE)),0)</f>
        <v>0</v>
      </c>
      <c r="X457" s="60">
        <f>IF($K457&lt;&gt;"N/A",$M457*(VLOOKUP($L457,'GPU Specs &amp; Ratios'!$B$2:$I$8,6,FALSE)),0)</f>
        <v>0</v>
      </c>
      <c r="Y457" s="60">
        <f>IF($K457&lt;&gt;"N/A",$M457*(VLOOKUP($L457,'GPU Specs &amp; Ratios'!$B$2:$I$8,7,FALSE)),0)</f>
        <v>0</v>
      </c>
      <c r="Z457" s="60">
        <f>IF($K457&lt;&gt;"N/A",$M457*(VLOOKUP($L457,'GPU Specs &amp; Ratios'!$B$2:$I$8,8,FALSE)),0)</f>
        <v>0</v>
      </c>
      <c r="AA457" s="60">
        <f>(C457/D457)*VLOOKUP($E457,'AWS Platforms Ratios'!$A$2:$O$25,15,FALSE)</f>
        <v>7.5</v>
      </c>
      <c r="AB457" s="60">
        <f t="shared" ref="AB457:AE457" si="457">O457+S457+W457+$AA457</f>
        <v>37.45482315</v>
      </c>
      <c r="AC457" s="60">
        <f t="shared" si="457"/>
        <v>57.83476688</v>
      </c>
      <c r="AD457" s="60">
        <f t="shared" si="457"/>
        <v>86.90988746</v>
      </c>
      <c r="AE457" s="60">
        <f t="shared" si="457"/>
        <v>122.4954381</v>
      </c>
      <c r="AF457" s="60">
        <f>IF(G457&gt;'Scope 3 Ratios'!$B$5,(G457-'Scope 3 Ratios'!$B$5)*('Scope 3 Ratios'!$B$6/'Scope 3 Ratios'!$B$5),0)</f>
        <v>687.9024</v>
      </c>
      <c r="AG457" s="60">
        <f>J457*IF(I457="SSD",'Scope 3 Ratios'!$B$9,'Scope 3 Ratios'!$B$8)</f>
        <v>0</v>
      </c>
      <c r="AH457" s="60">
        <f>IF(K457&lt;&gt;"N/A",K457*'Scope 3 Ratios'!$B$10,0)</f>
        <v>0</v>
      </c>
      <c r="AI457" s="60">
        <f>(VLOOKUP($E457,'AWS Platforms Ratios'!$A$2:$O$25,3,FALSE)-1)*'Scope 3 Ratios'!$B$7</f>
        <v>0</v>
      </c>
      <c r="AJ457" s="60">
        <f>'Scope 3 Ratios'!$B$2+AF457+AG457+AH457+AI457</f>
        <v>1687.9024</v>
      </c>
      <c r="AK457" s="60">
        <f>AJ457*'Scope 3 Ratios'!$B$4*(C457/D457)</f>
        <v>12.20994213</v>
      </c>
      <c r="AL457" s="61" t="s">
        <v>190</v>
      </c>
    </row>
    <row r="458" ht="15.0" customHeight="1">
      <c r="A458" s="74" t="s">
        <v>777</v>
      </c>
      <c r="B458" s="56" t="s">
        <v>188</v>
      </c>
      <c r="C458" s="63">
        <v>32.0</v>
      </c>
      <c r="D458" s="56">
        <f>VLOOKUP(E458,'AWS Platforms Ratios'!$A$2:$B$25,2,FALSE)</f>
        <v>64</v>
      </c>
      <c r="E458" s="63" t="s">
        <v>189</v>
      </c>
      <c r="F458" s="63">
        <v>256.0</v>
      </c>
      <c r="G458" s="63">
        <v>512.0</v>
      </c>
      <c r="H458" s="64" t="s">
        <v>71</v>
      </c>
      <c r="I458" s="56" t="s">
        <v>72</v>
      </c>
      <c r="J458" s="63">
        <v>0.0</v>
      </c>
      <c r="K458" s="58" t="s">
        <v>73</v>
      </c>
      <c r="L458" s="58" t="s">
        <v>73</v>
      </c>
      <c r="M458" s="58" t="s">
        <v>73</v>
      </c>
      <c r="N458" s="58" t="s">
        <v>73</v>
      </c>
      <c r="O458" s="59">
        <f>($C458/$D458)*VLOOKUP($E458,'AWS Platforms Ratios'!$A$2:$O$25,7,FALSE)</f>
        <v>8.709646302</v>
      </c>
      <c r="P458" s="59">
        <f>($C458/$D458)*VLOOKUP($E458,'AWS Platforms Ratios'!$A$2:$O$25,8,FALSE)</f>
        <v>23.86953376</v>
      </c>
      <c r="Q458" s="59">
        <f>($C458/$D458)*VLOOKUP($E458,'AWS Platforms Ratios'!$A$2:$O$25,9,FALSE)</f>
        <v>56.41977492</v>
      </c>
      <c r="R458" s="59">
        <f>($C458/$D458)*VLOOKUP($E458,'AWS Platforms Ratios'!$A$2:$O$25,10,FALSE)</f>
        <v>76.39087621</v>
      </c>
      <c r="S458" s="59">
        <f>$F458*VLOOKUP($E458,'AWS Platforms Ratios'!$A$2:$O$25,11,FALSE)</f>
        <v>51.2</v>
      </c>
      <c r="T458" s="59">
        <f>$F458*VLOOKUP($E458,'AWS Platforms Ratios'!$A$2:$O$25,12,FALSE)</f>
        <v>76.8</v>
      </c>
      <c r="U458" s="59">
        <f>$F458*VLOOKUP($E458,'AWS Platforms Ratios'!$A$2:$O$25,13,FALSE)</f>
        <v>102.4</v>
      </c>
      <c r="V458" s="59">
        <f>$F458*VLOOKUP($E458,'AWS Platforms Ratios'!$A$2:$O$25,14,FALSE)</f>
        <v>153.6</v>
      </c>
      <c r="W458" s="60">
        <f>IF($K458&lt;&gt;"N/A",$M458*(VLOOKUP($L458,'GPU Specs &amp; Ratios'!$B$2:$I$8,5,FALSE)),0)</f>
        <v>0</v>
      </c>
      <c r="X458" s="60">
        <f>IF($K458&lt;&gt;"N/A",$M458*(VLOOKUP($L458,'GPU Specs &amp; Ratios'!$B$2:$I$8,6,FALSE)),0)</f>
        <v>0</v>
      </c>
      <c r="Y458" s="60">
        <f>IF($K458&lt;&gt;"N/A",$M458*(VLOOKUP($L458,'GPU Specs &amp; Ratios'!$B$2:$I$8,7,FALSE)),0)</f>
        <v>0</v>
      </c>
      <c r="Z458" s="60">
        <f>IF($K458&lt;&gt;"N/A",$M458*(VLOOKUP($L458,'GPU Specs &amp; Ratios'!$B$2:$I$8,8,FALSE)),0)</f>
        <v>0</v>
      </c>
      <c r="AA458" s="60">
        <f>(C458/D458)*VLOOKUP($E458,'AWS Platforms Ratios'!$A$2:$O$25,15,FALSE)</f>
        <v>15</v>
      </c>
      <c r="AB458" s="60">
        <f t="shared" ref="AB458:AE458" si="458">O458+S458+W458+$AA458</f>
        <v>74.9096463</v>
      </c>
      <c r="AC458" s="60">
        <f t="shared" si="458"/>
        <v>115.6695338</v>
      </c>
      <c r="AD458" s="60">
        <f t="shared" si="458"/>
        <v>173.8197749</v>
      </c>
      <c r="AE458" s="60">
        <f t="shared" si="458"/>
        <v>244.9908762</v>
      </c>
      <c r="AF458" s="60">
        <f>IF(G458&gt;'Scope 3 Ratios'!$B$5,(G458-'Scope 3 Ratios'!$B$5)*('Scope 3 Ratios'!$B$6/'Scope 3 Ratios'!$B$5),0)</f>
        <v>687.9024</v>
      </c>
      <c r="AG458" s="60">
        <f>J458*IF(I458="SSD",'Scope 3 Ratios'!$B$9,'Scope 3 Ratios'!$B$8)</f>
        <v>0</v>
      </c>
      <c r="AH458" s="60">
        <f>IF(K458&lt;&gt;"N/A",K458*'Scope 3 Ratios'!$B$10,0)</f>
        <v>0</v>
      </c>
      <c r="AI458" s="60">
        <f>(VLOOKUP($E458,'AWS Platforms Ratios'!$A$2:$O$25,3,FALSE)-1)*'Scope 3 Ratios'!$B$7</f>
        <v>0</v>
      </c>
      <c r="AJ458" s="60">
        <f>'Scope 3 Ratios'!$B$2+AF458+AG458+AH458+AI458</f>
        <v>1687.9024</v>
      </c>
      <c r="AK458" s="60">
        <f>AJ458*'Scope 3 Ratios'!$B$4*(C458/D458)</f>
        <v>24.41988426</v>
      </c>
      <c r="AL458" s="61" t="s">
        <v>190</v>
      </c>
    </row>
    <row r="459" ht="15.0" customHeight="1">
      <c r="A459" s="74" t="s">
        <v>778</v>
      </c>
      <c r="B459" s="56" t="s">
        <v>188</v>
      </c>
      <c r="C459" s="63">
        <v>48.0</v>
      </c>
      <c r="D459" s="56">
        <f>VLOOKUP(E459,'AWS Platforms Ratios'!$A$2:$B$25,2,FALSE)</f>
        <v>64</v>
      </c>
      <c r="E459" s="63" t="s">
        <v>189</v>
      </c>
      <c r="F459" s="63">
        <v>384.0</v>
      </c>
      <c r="G459" s="63">
        <v>512.0</v>
      </c>
      <c r="H459" s="64" t="s">
        <v>71</v>
      </c>
      <c r="I459" s="56" t="s">
        <v>72</v>
      </c>
      <c r="J459" s="63">
        <v>0.0</v>
      </c>
      <c r="K459" s="58" t="s">
        <v>73</v>
      </c>
      <c r="L459" s="58" t="s">
        <v>73</v>
      </c>
      <c r="M459" s="58" t="s">
        <v>73</v>
      </c>
      <c r="N459" s="58" t="s">
        <v>73</v>
      </c>
      <c r="O459" s="59">
        <f>($C459/$D459)*VLOOKUP($E459,'AWS Platforms Ratios'!$A$2:$O$25,7,FALSE)</f>
        <v>13.06446945</v>
      </c>
      <c r="P459" s="59">
        <f>($C459/$D459)*VLOOKUP($E459,'AWS Platforms Ratios'!$A$2:$O$25,8,FALSE)</f>
        <v>35.80430064</v>
      </c>
      <c r="Q459" s="59">
        <f>($C459/$D459)*VLOOKUP($E459,'AWS Platforms Ratios'!$A$2:$O$25,9,FALSE)</f>
        <v>84.62966238</v>
      </c>
      <c r="R459" s="59">
        <f>($C459/$D459)*VLOOKUP($E459,'AWS Platforms Ratios'!$A$2:$O$25,10,FALSE)</f>
        <v>114.5863143</v>
      </c>
      <c r="S459" s="59">
        <f>$F459*VLOOKUP($E459,'AWS Platforms Ratios'!$A$2:$O$25,11,FALSE)</f>
        <v>76.8</v>
      </c>
      <c r="T459" s="59">
        <f>$F459*VLOOKUP($E459,'AWS Platforms Ratios'!$A$2:$O$25,12,FALSE)</f>
        <v>115.2</v>
      </c>
      <c r="U459" s="59">
        <f>$F459*VLOOKUP($E459,'AWS Platforms Ratios'!$A$2:$O$25,13,FALSE)</f>
        <v>153.6</v>
      </c>
      <c r="V459" s="59">
        <f>$F459*VLOOKUP($E459,'AWS Platforms Ratios'!$A$2:$O$25,14,FALSE)</f>
        <v>230.4</v>
      </c>
      <c r="W459" s="60">
        <f>IF($K459&lt;&gt;"N/A",$M459*(VLOOKUP($L459,'GPU Specs &amp; Ratios'!$B$2:$I$8,5,FALSE)),0)</f>
        <v>0</v>
      </c>
      <c r="X459" s="60">
        <f>IF($K459&lt;&gt;"N/A",$M459*(VLOOKUP($L459,'GPU Specs &amp; Ratios'!$B$2:$I$8,6,FALSE)),0)</f>
        <v>0</v>
      </c>
      <c r="Y459" s="60">
        <f>IF($K459&lt;&gt;"N/A",$M459*(VLOOKUP($L459,'GPU Specs &amp; Ratios'!$B$2:$I$8,7,FALSE)),0)</f>
        <v>0</v>
      </c>
      <c r="Z459" s="60">
        <f>IF($K459&lt;&gt;"N/A",$M459*(VLOOKUP($L459,'GPU Specs &amp; Ratios'!$B$2:$I$8,8,FALSE)),0)</f>
        <v>0</v>
      </c>
      <c r="AA459" s="60">
        <f>(C459/D459)*VLOOKUP($E459,'AWS Platforms Ratios'!$A$2:$O$25,15,FALSE)</f>
        <v>22.5</v>
      </c>
      <c r="AB459" s="60">
        <f t="shared" ref="AB459:AE459" si="459">O459+S459+W459+$AA459</f>
        <v>112.3644695</v>
      </c>
      <c r="AC459" s="60">
        <f t="shared" si="459"/>
        <v>173.5043006</v>
      </c>
      <c r="AD459" s="60">
        <f t="shared" si="459"/>
        <v>260.7296624</v>
      </c>
      <c r="AE459" s="60">
        <f t="shared" si="459"/>
        <v>367.4863143</v>
      </c>
      <c r="AF459" s="60">
        <f>IF(G459&gt;'Scope 3 Ratios'!$B$5,(G459-'Scope 3 Ratios'!$B$5)*('Scope 3 Ratios'!$B$6/'Scope 3 Ratios'!$B$5),0)</f>
        <v>687.9024</v>
      </c>
      <c r="AG459" s="60">
        <f>J459*IF(I459="SSD",'Scope 3 Ratios'!$B$9,'Scope 3 Ratios'!$B$8)</f>
        <v>0</v>
      </c>
      <c r="AH459" s="60">
        <f>IF(K459&lt;&gt;"N/A",K459*'Scope 3 Ratios'!$B$10,0)</f>
        <v>0</v>
      </c>
      <c r="AI459" s="60">
        <f>(VLOOKUP($E459,'AWS Platforms Ratios'!$A$2:$O$25,3,FALSE)-1)*'Scope 3 Ratios'!$B$7</f>
        <v>0</v>
      </c>
      <c r="AJ459" s="60">
        <f>'Scope 3 Ratios'!$B$2+AF459+AG459+AH459+AI459</f>
        <v>1687.9024</v>
      </c>
      <c r="AK459" s="60">
        <f>AJ459*'Scope 3 Ratios'!$B$4*(C459/D459)</f>
        <v>36.62982639</v>
      </c>
      <c r="AL459" s="61" t="s">
        <v>190</v>
      </c>
    </row>
    <row r="460" ht="15.0" customHeight="1">
      <c r="A460" s="74" t="s">
        <v>779</v>
      </c>
      <c r="B460" s="56" t="s">
        <v>188</v>
      </c>
      <c r="C460" s="63">
        <v>64.0</v>
      </c>
      <c r="D460" s="56">
        <f>VLOOKUP(E460,'AWS Platforms Ratios'!$A$2:$B$25,2,FALSE)</f>
        <v>64</v>
      </c>
      <c r="E460" s="63" t="s">
        <v>189</v>
      </c>
      <c r="F460" s="63">
        <v>512.0</v>
      </c>
      <c r="G460" s="63">
        <v>512.0</v>
      </c>
      <c r="H460" s="64" t="s">
        <v>71</v>
      </c>
      <c r="I460" s="56" t="s">
        <v>72</v>
      </c>
      <c r="J460" s="63">
        <v>0.0</v>
      </c>
      <c r="K460" s="58" t="s">
        <v>73</v>
      </c>
      <c r="L460" s="58" t="s">
        <v>73</v>
      </c>
      <c r="M460" s="58" t="s">
        <v>73</v>
      </c>
      <c r="N460" s="58" t="s">
        <v>73</v>
      </c>
      <c r="O460" s="59">
        <f>($C460/$D460)*VLOOKUP($E460,'AWS Platforms Ratios'!$A$2:$O$25,7,FALSE)</f>
        <v>17.4192926</v>
      </c>
      <c r="P460" s="59">
        <f>($C460/$D460)*VLOOKUP($E460,'AWS Platforms Ratios'!$A$2:$O$25,8,FALSE)</f>
        <v>47.73906752</v>
      </c>
      <c r="Q460" s="59">
        <f>($C460/$D460)*VLOOKUP($E460,'AWS Platforms Ratios'!$A$2:$O$25,9,FALSE)</f>
        <v>112.8395498</v>
      </c>
      <c r="R460" s="59">
        <f>($C460/$D460)*VLOOKUP($E460,'AWS Platforms Ratios'!$A$2:$O$25,10,FALSE)</f>
        <v>152.7817524</v>
      </c>
      <c r="S460" s="59">
        <f>$F460*VLOOKUP($E460,'AWS Platforms Ratios'!$A$2:$O$25,11,FALSE)</f>
        <v>102.4</v>
      </c>
      <c r="T460" s="59">
        <f>$F460*VLOOKUP($E460,'AWS Platforms Ratios'!$A$2:$O$25,12,FALSE)</f>
        <v>153.6</v>
      </c>
      <c r="U460" s="59">
        <f>$F460*VLOOKUP($E460,'AWS Platforms Ratios'!$A$2:$O$25,13,FALSE)</f>
        <v>204.8</v>
      </c>
      <c r="V460" s="59">
        <f>$F460*VLOOKUP($E460,'AWS Platforms Ratios'!$A$2:$O$25,14,FALSE)</f>
        <v>307.2</v>
      </c>
      <c r="W460" s="60">
        <f>IF($K460&lt;&gt;"N/A",$M460*(VLOOKUP($L460,'GPU Specs &amp; Ratios'!$B$2:$I$8,5,FALSE)),0)</f>
        <v>0</v>
      </c>
      <c r="X460" s="60">
        <f>IF($K460&lt;&gt;"N/A",$M460*(VLOOKUP($L460,'GPU Specs &amp; Ratios'!$B$2:$I$8,6,FALSE)),0)</f>
        <v>0</v>
      </c>
      <c r="Y460" s="60">
        <f>IF($K460&lt;&gt;"N/A",$M460*(VLOOKUP($L460,'GPU Specs &amp; Ratios'!$B$2:$I$8,7,FALSE)),0)</f>
        <v>0</v>
      </c>
      <c r="Z460" s="60">
        <f>IF($K460&lt;&gt;"N/A",$M460*(VLOOKUP($L460,'GPU Specs &amp; Ratios'!$B$2:$I$8,8,FALSE)),0)</f>
        <v>0</v>
      </c>
      <c r="AA460" s="60">
        <f>(C460/D460)*VLOOKUP($E460,'AWS Platforms Ratios'!$A$2:$O$25,15,FALSE)</f>
        <v>30</v>
      </c>
      <c r="AB460" s="60">
        <f t="shared" ref="AB460:AE460" si="460">O460+S460+W460+$AA460</f>
        <v>149.8192926</v>
      </c>
      <c r="AC460" s="60">
        <f t="shared" si="460"/>
        <v>231.3390675</v>
      </c>
      <c r="AD460" s="60">
        <f t="shared" si="460"/>
        <v>347.6395498</v>
      </c>
      <c r="AE460" s="60">
        <f t="shared" si="460"/>
        <v>489.9817524</v>
      </c>
      <c r="AF460" s="60">
        <f>IF(G460&gt;'Scope 3 Ratios'!$B$5,(G460-'Scope 3 Ratios'!$B$5)*('Scope 3 Ratios'!$B$6/'Scope 3 Ratios'!$B$5),0)</f>
        <v>687.9024</v>
      </c>
      <c r="AG460" s="60">
        <f>J460*IF(I460="SSD",'Scope 3 Ratios'!$B$9,'Scope 3 Ratios'!$B$8)</f>
        <v>0</v>
      </c>
      <c r="AH460" s="60">
        <f>IF(K460&lt;&gt;"N/A",K460*'Scope 3 Ratios'!$B$10,0)</f>
        <v>0</v>
      </c>
      <c r="AI460" s="60">
        <f>(VLOOKUP($E460,'AWS Platforms Ratios'!$A$2:$O$25,3,FALSE)-1)*'Scope 3 Ratios'!$B$7</f>
        <v>0</v>
      </c>
      <c r="AJ460" s="60">
        <f>'Scope 3 Ratios'!$B$2+AF460+AG460+AH460+AI460</f>
        <v>1687.9024</v>
      </c>
      <c r="AK460" s="60">
        <f>AJ460*'Scope 3 Ratios'!$B$4*(C460/D460)</f>
        <v>48.83976852</v>
      </c>
      <c r="AL460" s="61" t="s">
        <v>190</v>
      </c>
    </row>
    <row r="461" ht="15.0" customHeight="1">
      <c r="A461" s="56" t="s">
        <v>780</v>
      </c>
      <c r="B461" s="56" t="s">
        <v>651</v>
      </c>
      <c r="C461" s="56">
        <v>2.0</v>
      </c>
      <c r="D461" s="56">
        <f>VLOOKUP(E461,'AWS Platforms Ratios'!$A$2:$B$25,2,FALSE)</f>
        <v>96</v>
      </c>
      <c r="E461" s="57" t="s">
        <v>350</v>
      </c>
      <c r="F461" s="56">
        <v>2.0</v>
      </c>
      <c r="G461" s="56">
        <v>384.0</v>
      </c>
      <c r="H461" s="57" t="s">
        <v>71</v>
      </c>
      <c r="I461" s="56" t="s">
        <v>72</v>
      </c>
      <c r="J461" s="56">
        <v>0.0</v>
      </c>
      <c r="K461" s="58" t="s">
        <v>73</v>
      </c>
      <c r="L461" s="58" t="s">
        <v>73</v>
      </c>
      <c r="M461" s="58" t="s">
        <v>73</v>
      </c>
      <c r="N461" s="58" t="s">
        <v>73</v>
      </c>
      <c r="O461" s="59">
        <f>($C461/$D461)*VLOOKUP($E461,'AWS Platforms Ratios'!$A$2:$O$25,7,FALSE)</f>
        <v>1.205833333</v>
      </c>
      <c r="P461" s="59">
        <f>($C461/$D461)*VLOOKUP($E461,'AWS Platforms Ratios'!$A$2:$O$25,8,FALSE)</f>
        <v>3.054791667</v>
      </c>
      <c r="Q461" s="59">
        <f>($C461/$D461)*VLOOKUP($E461,'AWS Platforms Ratios'!$A$2:$O$25,9,FALSE)</f>
        <v>7.160416667</v>
      </c>
      <c r="R461" s="59">
        <f>($C461/$D461)*VLOOKUP($E461,'AWS Platforms Ratios'!$A$2:$O$25,10,FALSE)</f>
        <v>9.9578125</v>
      </c>
      <c r="S461" s="59">
        <f>$F461*VLOOKUP($E461,'AWS Platforms Ratios'!$A$2:$O$25,11,FALSE)</f>
        <v>0.30109375</v>
      </c>
      <c r="T461" s="59">
        <f>$F461*VLOOKUP($E461,'AWS Platforms Ratios'!$A$2:$O$25,12,FALSE)</f>
        <v>0.4811979167</v>
      </c>
      <c r="U461" s="59">
        <f>$F461*VLOOKUP($E461,'AWS Platforms Ratios'!$A$2:$O$25,13,FALSE)</f>
        <v>1.240104167</v>
      </c>
      <c r="V461" s="59">
        <f>$F461*VLOOKUP($E461,'AWS Platforms Ratios'!$A$2:$O$25,14,FALSE)</f>
        <v>1.999010417</v>
      </c>
      <c r="W461" s="60">
        <f>IF($K461&lt;&gt;"N/A",$M461*(VLOOKUP($L461,'GPU Specs &amp; Ratios'!$B$2:$I$8,5,FALSE)),0)</f>
        <v>0</v>
      </c>
      <c r="X461" s="60">
        <f>IF($K461&lt;&gt;"N/A",$M461*(VLOOKUP($L461,'GPU Specs &amp; Ratios'!$B$2:$I$8,6,FALSE)),0)</f>
        <v>0</v>
      </c>
      <c r="Y461" s="60">
        <f>IF($K461&lt;&gt;"N/A",$M461*(VLOOKUP($L461,'GPU Specs &amp; Ratios'!$B$2:$I$8,7,FALSE)),0)</f>
        <v>0</v>
      </c>
      <c r="Z461" s="60">
        <f>IF($K461&lt;&gt;"N/A",$M461*(VLOOKUP($L461,'GPU Specs &amp; Ratios'!$B$2:$I$8,8,FALSE)),0)</f>
        <v>0</v>
      </c>
      <c r="AA461" s="60">
        <f>(C461/D461)*VLOOKUP($E461,'AWS Platforms Ratios'!$A$2:$O$25,15,FALSE)</f>
        <v>2</v>
      </c>
      <c r="AB461" s="60">
        <f t="shared" ref="AB461:AE461" si="461">O461+S461+W461+$AA461</f>
        <v>3.506927083</v>
      </c>
      <c r="AC461" s="60">
        <f t="shared" si="461"/>
        <v>5.535989583</v>
      </c>
      <c r="AD461" s="60">
        <f t="shared" si="461"/>
        <v>10.40052083</v>
      </c>
      <c r="AE461" s="60">
        <f t="shared" si="461"/>
        <v>13.95682292</v>
      </c>
      <c r="AF461" s="60">
        <f>IF(G461&gt;'Scope 3 Ratios'!$B$5,(G461-'Scope 3 Ratios'!$B$5)*('Scope 3 Ratios'!$B$6/'Scope 3 Ratios'!$B$5),0)</f>
        <v>510.3792</v>
      </c>
      <c r="AG461" s="60">
        <f>J461*IF(I461="SSD",'Scope 3 Ratios'!$B$9,'Scope 3 Ratios'!$B$8)</f>
        <v>0</v>
      </c>
      <c r="AH461" s="60">
        <f>IF(K461&lt;&gt;"N/A",K461*'Scope 3 Ratios'!$B$10,0)</f>
        <v>0</v>
      </c>
      <c r="AI461" s="60">
        <f>(VLOOKUP($E461,'AWS Platforms Ratios'!$A$2:$O$25,3,FALSE)-1)*'Scope 3 Ratios'!$B$7</f>
        <v>100</v>
      </c>
      <c r="AJ461" s="60">
        <f>'Scope 3 Ratios'!$B$2+AF461+AG461+AH461+AI461</f>
        <v>1610.3792</v>
      </c>
      <c r="AK461" s="60">
        <f>AJ461*'Scope 3 Ratios'!$B$4*(C461/D461)</f>
        <v>0.9707629244</v>
      </c>
      <c r="AL461" s="61" t="s">
        <v>652</v>
      </c>
    </row>
    <row r="462" ht="15.0" customHeight="1">
      <c r="A462" s="56" t="s">
        <v>781</v>
      </c>
      <c r="B462" s="56" t="s">
        <v>651</v>
      </c>
      <c r="C462" s="56">
        <v>2.0</v>
      </c>
      <c r="D462" s="56">
        <f>VLOOKUP(E462,'AWS Platforms Ratios'!$A$2:$B$25,2,FALSE)</f>
        <v>96</v>
      </c>
      <c r="E462" s="57" t="s">
        <v>350</v>
      </c>
      <c r="F462" s="56">
        <v>4.0</v>
      </c>
      <c r="G462" s="56">
        <v>384.0</v>
      </c>
      <c r="H462" s="57" t="s">
        <v>71</v>
      </c>
      <c r="I462" s="56" t="s">
        <v>72</v>
      </c>
      <c r="J462" s="56">
        <v>0.0</v>
      </c>
      <c r="K462" s="58" t="s">
        <v>73</v>
      </c>
      <c r="L462" s="58" t="s">
        <v>73</v>
      </c>
      <c r="M462" s="58" t="s">
        <v>73</v>
      </c>
      <c r="N462" s="58" t="s">
        <v>73</v>
      </c>
      <c r="O462" s="59">
        <f>($C462/$D462)*VLOOKUP($E462,'AWS Platforms Ratios'!$A$2:$O$25,7,FALSE)</f>
        <v>1.205833333</v>
      </c>
      <c r="P462" s="59">
        <f>($C462/$D462)*VLOOKUP($E462,'AWS Platforms Ratios'!$A$2:$O$25,8,FALSE)</f>
        <v>3.054791667</v>
      </c>
      <c r="Q462" s="59">
        <f>($C462/$D462)*VLOOKUP($E462,'AWS Platforms Ratios'!$A$2:$O$25,9,FALSE)</f>
        <v>7.160416667</v>
      </c>
      <c r="R462" s="59">
        <f>($C462/$D462)*VLOOKUP($E462,'AWS Platforms Ratios'!$A$2:$O$25,10,FALSE)</f>
        <v>9.9578125</v>
      </c>
      <c r="S462" s="59">
        <f>$F462*VLOOKUP($E462,'AWS Platforms Ratios'!$A$2:$O$25,11,FALSE)</f>
        <v>0.6021875</v>
      </c>
      <c r="T462" s="59">
        <f>$F462*VLOOKUP($E462,'AWS Platforms Ratios'!$A$2:$O$25,12,FALSE)</f>
        <v>0.9623958333</v>
      </c>
      <c r="U462" s="59">
        <f>$F462*VLOOKUP($E462,'AWS Platforms Ratios'!$A$2:$O$25,13,FALSE)</f>
        <v>2.480208333</v>
      </c>
      <c r="V462" s="59">
        <f>$F462*VLOOKUP($E462,'AWS Platforms Ratios'!$A$2:$O$25,14,FALSE)</f>
        <v>3.998020833</v>
      </c>
      <c r="W462" s="60">
        <f>IF($K462&lt;&gt;"N/A",$M462*(VLOOKUP($L462,'GPU Specs &amp; Ratios'!$B$2:$I$8,5,FALSE)),0)</f>
        <v>0</v>
      </c>
      <c r="X462" s="60">
        <f>IF($K462&lt;&gt;"N/A",$M462*(VLOOKUP($L462,'GPU Specs &amp; Ratios'!$B$2:$I$8,6,FALSE)),0)</f>
        <v>0</v>
      </c>
      <c r="Y462" s="60">
        <f>IF($K462&lt;&gt;"N/A",$M462*(VLOOKUP($L462,'GPU Specs &amp; Ratios'!$B$2:$I$8,7,FALSE)),0)</f>
        <v>0</v>
      </c>
      <c r="Z462" s="60">
        <f>IF($K462&lt;&gt;"N/A",$M462*(VLOOKUP($L462,'GPU Specs &amp; Ratios'!$B$2:$I$8,8,FALSE)),0)</f>
        <v>0</v>
      </c>
      <c r="AA462" s="60">
        <f>(C462/D462)*VLOOKUP($E462,'AWS Platforms Ratios'!$A$2:$O$25,15,FALSE)</f>
        <v>2</v>
      </c>
      <c r="AB462" s="60">
        <f t="shared" ref="AB462:AE462" si="462">O462+S462+W462+$AA462</f>
        <v>3.808020833</v>
      </c>
      <c r="AC462" s="60">
        <f t="shared" si="462"/>
        <v>6.0171875</v>
      </c>
      <c r="AD462" s="60">
        <f t="shared" si="462"/>
        <v>11.640625</v>
      </c>
      <c r="AE462" s="60">
        <f t="shared" si="462"/>
        <v>15.95583333</v>
      </c>
      <c r="AF462" s="60">
        <f>IF(G462&gt;'Scope 3 Ratios'!$B$5,(G462-'Scope 3 Ratios'!$B$5)*('Scope 3 Ratios'!$B$6/'Scope 3 Ratios'!$B$5),0)</f>
        <v>510.3792</v>
      </c>
      <c r="AG462" s="60">
        <f>J462*IF(I462="SSD",'Scope 3 Ratios'!$B$9,'Scope 3 Ratios'!$B$8)</f>
        <v>0</v>
      </c>
      <c r="AH462" s="60">
        <f>IF(K462&lt;&gt;"N/A",K462*'Scope 3 Ratios'!$B$10,0)</f>
        <v>0</v>
      </c>
      <c r="AI462" s="60">
        <f>(VLOOKUP($E462,'AWS Platforms Ratios'!$A$2:$O$25,3,FALSE)-1)*'Scope 3 Ratios'!$B$7</f>
        <v>100</v>
      </c>
      <c r="AJ462" s="60">
        <f>'Scope 3 Ratios'!$B$2+AF462+AG462+AH462+AI462</f>
        <v>1610.3792</v>
      </c>
      <c r="AK462" s="60">
        <f>AJ462*'Scope 3 Ratios'!$B$4*(C462/D462)</f>
        <v>0.9707629244</v>
      </c>
      <c r="AL462" s="61" t="s">
        <v>652</v>
      </c>
    </row>
    <row r="463" ht="15.0" customHeight="1">
      <c r="A463" s="56" t="s">
        <v>782</v>
      </c>
      <c r="B463" s="56" t="s">
        <v>643</v>
      </c>
      <c r="C463" s="56">
        <v>1.0</v>
      </c>
      <c r="D463" s="56">
        <f>VLOOKUP(E463,'AWS Platforms Ratios'!$A$2:$B$25,2,FALSE)</f>
        <v>48</v>
      </c>
      <c r="E463" s="57" t="s">
        <v>225</v>
      </c>
      <c r="F463" s="56">
        <v>1.0</v>
      </c>
      <c r="G463" s="56">
        <v>288.0</v>
      </c>
      <c r="H463" s="57" t="s">
        <v>71</v>
      </c>
      <c r="I463" s="56" t="s">
        <v>72</v>
      </c>
      <c r="J463" s="56">
        <v>0.0</v>
      </c>
      <c r="K463" s="58" t="s">
        <v>73</v>
      </c>
      <c r="L463" s="58" t="s">
        <v>73</v>
      </c>
      <c r="M463" s="58" t="s">
        <v>73</v>
      </c>
      <c r="N463" s="58" t="s">
        <v>73</v>
      </c>
      <c r="O463" s="59">
        <f>($C463/$D463)*VLOOKUP($E463,'AWS Platforms Ratios'!$A$2:$O$25,7,FALSE)</f>
        <v>0.6031034483</v>
      </c>
      <c r="P463" s="59">
        <f>($C463/$D463)*VLOOKUP($E463,'AWS Platforms Ratios'!$A$2:$O$25,8,FALSE)</f>
        <v>1.721724138</v>
      </c>
      <c r="Q463" s="59">
        <f>($C463/$D463)*VLOOKUP($E463,'AWS Platforms Ratios'!$A$2:$O$25,9,FALSE)</f>
        <v>3.541206897</v>
      </c>
      <c r="R463" s="59">
        <f>($C463/$D463)*VLOOKUP($E463,'AWS Platforms Ratios'!$A$2:$O$25,10,FALSE)</f>
        <v>4.847112069</v>
      </c>
      <c r="S463" s="59">
        <f>$F463*VLOOKUP($E463,'AWS Platforms Ratios'!$A$2:$O$25,11,FALSE)</f>
        <v>0.2</v>
      </c>
      <c r="T463" s="59">
        <f>$F463*VLOOKUP($E463,'AWS Platforms Ratios'!$A$2:$O$25,12,FALSE)</f>
        <v>0.3</v>
      </c>
      <c r="U463" s="59">
        <f>$F463*VLOOKUP($E463,'AWS Platforms Ratios'!$A$2:$O$25,13,FALSE)</f>
        <v>0.4</v>
      </c>
      <c r="V463" s="59">
        <f>$F463*VLOOKUP($E463,'AWS Platforms Ratios'!$A$2:$O$25,14,FALSE)</f>
        <v>0.6</v>
      </c>
      <c r="W463" s="60">
        <f>IF($K463&lt;&gt;"N/A",$M463*(VLOOKUP($L463,'GPU Specs &amp; Ratios'!$B$2:$I$8,5,FALSE)),0)</f>
        <v>0</v>
      </c>
      <c r="X463" s="60">
        <f>IF($K463&lt;&gt;"N/A",$M463*(VLOOKUP($L463,'GPU Specs &amp; Ratios'!$B$2:$I$8,6,FALSE)),0)</f>
        <v>0</v>
      </c>
      <c r="Y463" s="60">
        <f>IF($K463&lt;&gt;"N/A",$M463*(VLOOKUP($L463,'GPU Specs &amp; Ratios'!$B$2:$I$8,7,FALSE)),0)</f>
        <v>0</v>
      </c>
      <c r="Z463" s="60">
        <f>IF($K463&lt;&gt;"N/A",$M463*(VLOOKUP($L463,'GPU Specs &amp; Ratios'!$B$2:$I$8,8,FALSE)),0)</f>
        <v>0</v>
      </c>
      <c r="AA463" s="60">
        <f>(C463/D463)*VLOOKUP($E463,'AWS Platforms Ratios'!$A$2:$O$25,15,FALSE)</f>
        <v>1</v>
      </c>
      <c r="AB463" s="60">
        <f t="shared" ref="AB463:AE463" si="463">O463+S463+W463+$AA463</f>
        <v>1.803103448</v>
      </c>
      <c r="AC463" s="60">
        <f t="shared" si="463"/>
        <v>3.021724138</v>
      </c>
      <c r="AD463" s="60">
        <f t="shared" si="463"/>
        <v>4.941206897</v>
      </c>
      <c r="AE463" s="60">
        <f t="shared" si="463"/>
        <v>6.447112069</v>
      </c>
      <c r="AF463" s="60">
        <f>IF(G463&gt;'Scope 3 Ratios'!$B$5,(G463-'Scope 3 Ratios'!$B$5)*('Scope 3 Ratios'!$B$6/'Scope 3 Ratios'!$B$5),0)</f>
        <v>377.2368</v>
      </c>
      <c r="AG463" s="60">
        <f>J463*IF(I463="SSD",'Scope 3 Ratios'!$B$9,'Scope 3 Ratios'!$B$8)</f>
        <v>0</v>
      </c>
      <c r="AH463" s="60">
        <f>IF(K463&lt;&gt;"N/A",K463*'Scope 3 Ratios'!$B$10,0)</f>
        <v>0</v>
      </c>
      <c r="AI463" s="60">
        <f>(VLOOKUP($E463,'AWS Platforms Ratios'!$A$2:$O$25,3,FALSE)-1)*'Scope 3 Ratios'!$B$7</f>
        <v>100</v>
      </c>
      <c r="AJ463" s="60">
        <f>'Scope 3 Ratios'!$B$2+AF463+AG463+AH463+AI463</f>
        <v>1477.2368</v>
      </c>
      <c r="AK463" s="60">
        <f>AJ463*'Scope 3 Ratios'!$B$4*(C463/D463)</f>
        <v>0.8905025077</v>
      </c>
      <c r="AL463" s="61" t="s">
        <v>641</v>
      </c>
    </row>
    <row r="464" ht="15.0" customHeight="1">
      <c r="A464" s="56" t="s">
        <v>783</v>
      </c>
      <c r="B464" s="56" t="s">
        <v>643</v>
      </c>
      <c r="C464" s="56">
        <v>1.0</v>
      </c>
      <c r="D464" s="56">
        <f>VLOOKUP(E464,'AWS Platforms Ratios'!$A$2:$B$25,2,FALSE)</f>
        <v>48</v>
      </c>
      <c r="E464" s="57" t="s">
        <v>225</v>
      </c>
      <c r="F464" s="56">
        <v>2.0</v>
      </c>
      <c r="G464" s="56">
        <v>288.0</v>
      </c>
      <c r="H464" s="57" t="s">
        <v>71</v>
      </c>
      <c r="I464" s="56" t="s">
        <v>72</v>
      </c>
      <c r="J464" s="56">
        <v>0.0</v>
      </c>
      <c r="K464" s="58" t="s">
        <v>73</v>
      </c>
      <c r="L464" s="58" t="s">
        <v>73</v>
      </c>
      <c r="M464" s="58" t="s">
        <v>73</v>
      </c>
      <c r="N464" s="58" t="s">
        <v>73</v>
      </c>
      <c r="O464" s="59">
        <f>($C464/$D464)*VLOOKUP($E464,'AWS Platforms Ratios'!$A$2:$O$25,7,FALSE)</f>
        <v>0.6031034483</v>
      </c>
      <c r="P464" s="59">
        <f>($C464/$D464)*VLOOKUP($E464,'AWS Platforms Ratios'!$A$2:$O$25,8,FALSE)</f>
        <v>1.721724138</v>
      </c>
      <c r="Q464" s="59">
        <f>($C464/$D464)*VLOOKUP($E464,'AWS Platforms Ratios'!$A$2:$O$25,9,FALSE)</f>
        <v>3.541206897</v>
      </c>
      <c r="R464" s="59">
        <f>($C464/$D464)*VLOOKUP($E464,'AWS Platforms Ratios'!$A$2:$O$25,10,FALSE)</f>
        <v>4.847112069</v>
      </c>
      <c r="S464" s="59">
        <f>$F464*VLOOKUP($E464,'AWS Platforms Ratios'!$A$2:$O$25,11,FALSE)</f>
        <v>0.4</v>
      </c>
      <c r="T464" s="59">
        <f>$F464*VLOOKUP($E464,'AWS Platforms Ratios'!$A$2:$O$25,12,FALSE)</f>
        <v>0.6</v>
      </c>
      <c r="U464" s="59">
        <f>$F464*VLOOKUP($E464,'AWS Platforms Ratios'!$A$2:$O$25,13,FALSE)</f>
        <v>0.8</v>
      </c>
      <c r="V464" s="59">
        <f>$F464*VLOOKUP($E464,'AWS Platforms Ratios'!$A$2:$O$25,14,FALSE)</f>
        <v>1.2</v>
      </c>
      <c r="W464" s="60">
        <f>IF($K464&lt;&gt;"N/A",$M464*(VLOOKUP($L464,'GPU Specs &amp; Ratios'!$B$2:$I$8,5,FALSE)),0)</f>
        <v>0</v>
      </c>
      <c r="X464" s="60">
        <f>IF($K464&lt;&gt;"N/A",$M464*(VLOOKUP($L464,'GPU Specs &amp; Ratios'!$B$2:$I$8,6,FALSE)),0)</f>
        <v>0</v>
      </c>
      <c r="Y464" s="60">
        <f>IF($K464&lt;&gt;"N/A",$M464*(VLOOKUP($L464,'GPU Specs &amp; Ratios'!$B$2:$I$8,7,FALSE)),0)</f>
        <v>0</v>
      </c>
      <c r="Z464" s="60">
        <f>IF($K464&lt;&gt;"N/A",$M464*(VLOOKUP($L464,'GPU Specs &amp; Ratios'!$B$2:$I$8,8,FALSE)),0)</f>
        <v>0</v>
      </c>
      <c r="AA464" s="60">
        <f>(C464/D464)*VLOOKUP($E464,'AWS Platforms Ratios'!$A$2:$O$25,15,FALSE)</f>
        <v>1</v>
      </c>
      <c r="AB464" s="60">
        <f t="shared" ref="AB464:AE464" si="464">O464+S464+W464+$AA464</f>
        <v>2.003103448</v>
      </c>
      <c r="AC464" s="60">
        <f t="shared" si="464"/>
        <v>3.321724138</v>
      </c>
      <c r="AD464" s="60">
        <f t="shared" si="464"/>
        <v>5.341206897</v>
      </c>
      <c r="AE464" s="60">
        <f t="shared" si="464"/>
        <v>7.047112069</v>
      </c>
      <c r="AF464" s="60">
        <f>IF(G464&gt;'Scope 3 Ratios'!$B$5,(G464-'Scope 3 Ratios'!$B$5)*('Scope 3 Ratios'!$B$6/'Scope 3 Ratios'!$B$5),0)</f>
        <v>377.2368</v>
      </c>
      <c r="AG464" s="60">
        <f>J464*IF(I464="SSD",'Scope 3 Ratios'!$B$9,'Scope 3 Ratios'!$B$8)</f>
        <v>0</v>
      </c>
      <c r="AH464" s="60">
        <f>IF(K464&lt;&gt;"N/A",K464*'Scope 3 Ratios'!$B$10,0)</f>
        <v>0</v>
      </c>
      <c r="AI464" s="60">
        <f>(VLOOKUP($E464,'AWS Platforms Ratios'!$A$2:$O$25,3,FALSE)-1)*'Scope 3 Ratios'!$B$7</f>
        <v>100</v>
      </c>
      <c r="AJ464" s="60">
        <f>'Scope 3 Ratios'!$B$2+AF464+AG464+AH464+AI464</f>
        <v>1477.2368</v>
      </c>
      <c r="AK464" s="60">
        <f>AJ464*'Scope 3 Ratios'!$B$4*(C464/D464)</f>
        <v>0.8905025077</v>
      </c>
      <c r="AL464" s="61" t="s">
        <v>641</v>
      </c>
    </row>
    <row r="465" ht="15.0" customHeight="1">
      <c r="A465" s="56" t="s">
        <v>784</v>
      </c>
      <c r="B465" s="56" t="s">
        <v>643</v>
      </c>
      <c r="C465" s="56">
        <v>2.0</v>
      </c>
      <c r="D465" s="56">
        <f>VLOOKUP(E465,'AWS Platforms Ratios'!$A$2:$B$25,2,FALSE)</f>
        <v>48</v>
      </c>
      <c r="E465" s="57" t="s">
        <v>225</v>
      </c>
      <c r="F465" s="56">
        <v>4.0</v>
      </c>
      <c r="G465" s="56">
        <v>288.0</v>
      </c>
      <c r="H465" s="57" t="s">
        <v>71</v>
      </c>
      <c r="I465" s="56" t="s">
        <v>72</v>
      </c>
      <c r="J465" s="56">
        <v>0.0</v>
      </c>
      <c r="K465" s="58" t="s">
        <v>73</v>
      </c>
      <c r="L465" s="58" t="s">
        <v>73</v>
      </c>
      <c r="M465" s="58" t="s">
        <v>73</v>
      </c>
      <c r="N465" s="58" t="s">
        <v>73</v>
      </c>
      <c r="O465" s="59">
        <f>($C465/$D465)*VLOOKUP($E465,'AWS Platforms Ratios'!$A$2:$O$25,7,FALSE)</f>
        <v>1.206206897</v>
      </c>
      <c r="P465" s="59">
        <f>($C465/$D465)*VLOOKUP($E465,'AWS Platforms Ratios'!$A$2:$O$25,8,FALSE)</f>
        <v>3.443448276</v>
      </c>
      <c r="Q465" s="59">
        <f>($C465/$D465)*VLOOKUP($E465,'AWS Platforms Ratios'!$A$2:$O$25,9,FALSE)</f>
        <v>7.082413793</v>
      </c>
      <c r="R465" s="59">
        <f>($C465/$D465)*VLOOKUP($E465,'AWS Platforms Ratios'!$A$2:$O$25,10,FALSE)</f>
        <v>9.694224138</v>
      </c>
      <c r="S465" s="59">
        <f>$F465*VLOOKUP($E465,'AWS Platforms Ratios'!$A$2:$O$25,11,FALSE)</f>
        <v>0.8</v>
      </c>
      <c r="T465" s="59">
        <f>$F465*VLOOKUP($E465,'AWS Platforms Ratios'!$A$2:$O$25,12,FALSE)</f>
        <v>1.2</v>
      </c>
      <c r="U465" s="59">
        <f>$F465*VLOOKUP($E465,'AWS Platforms Ratios'!$A$2:$O$25,13,FALSE)</f>
        <v>1.6</v>
      </c>
      <c r="V465" s="59">
        <f>$F465*VLOOKUP($E465,'AWS Platforms Ratios'!$A$2:$O$25,14,FALSE)</f>
        <v>2.4</v>
      </c>
      <c r="W465" s="60">
        <f>IF($K465&lt;&gt;"N/A",$M465*(VLOOKUP($L465,'GPU Specs &amp; Ratios'!$B$2:$I$8,5,FALSE)),0)</f>
        <v>0</v>
      </c>
      <c r="X465" s="60">
        <f>IF($K465&lt;&gt;"N/A",$M465*(VLOOKUP($L465,'GPU Specs &amp; Ratios'!$B$2:$I$8,6,FALSE)),0)</f>
        <v>0</v>
      </c>
      <c r="Y465" s="60">
        <f>IF($K465&lt;&gt;"N/A",$M465*(VLOOKUP($L465,'GPU Specs &amp; Ratios'!$B$2:$I$8,7,FALSE)),0)</f>
        <v>0</v>
      </c>
      <c r="Z465" s="60">
        <f>IF($K465&lt;&gt;"N/A",$M465*(VLOOKUP($L465,'GPU Specs &amp; Ratios'!$B$2:$I$8,8,FALSE)),0)</f>
        <v>0</v>
      </c>
      <c r="AA465" s="60">
        <f>(C465/D465)*VLOOKUP($E465,'AWS Platforms Ratios'!$A$2:$O$25,15,FALSE)</f>
        <v>2</v>
      </c>
      <c r="AB465" s="60">
        <f t="shared" ref="AB465:AE465" si="465">O465+S465+W465+$AA465</f>
        <v>4.006206897</v>
      </c>
      <c r="AC465" s="60">
        <f t="shared" si="465"/>
        <v>6.643448276</v>
      </c>
      <c r="AD465" s="60">
        <f t="shared" si="465"/>
        <v>10.68241379</v>
      </c>
      <c r="AE465" s="60">
        <f t="shared" si="465"/>
        <v>14.09422414</v>
      </c>
      <c r="AF465" s="60">
        <f>IF(G465&gt;'Scope 3 Ratios'!$B$5,(G465-'Scope 3 Ratios'!$B$5)*('Scope 3 Ratios'!$B$6/'Scope 3 Ratios'!$B$5),0)</f>
        <v>377.2368</v>
      </c>
      <c r="AG465" s="60">
        <f>J465*IF(I465="SSD",'Scope 3 Ratios'!$B$9,'Scope 3 Ratios'!$B$8)</f>
        <v>0</v>
      </c>
      <c r="AH465" s="60">
        <f>IF(K465&lt;&gt;"N/A",K465*'Scope 3 Ratios'!$B$10,0)</f>
        <v>0</v>
      </c>
      <c r="AI465" s="60">
        <f>(VLOOKUP($E465,'AWS Platforms Ratios'!$A$2:$O$25,3,FALSE)-1)*'Scope 3 Ratios'!$B$7</f>
        <v>100</v>
      </c>
      <c r="AJ465" s="60">
        <f>'Scope 3 Ratios'!$B$2+AF465+AG465+AH465+AI465</f>
        <v>1477.2368</v>
      </c>
      <c r="AK465" s="60">
        <f>AJ465*'Scope 3 Ratios'!$B$4*(C465/D465)</f>
        <v>1.781005015</v>
      </c>
      <c r="AL465" s="61" t="s">
        <v>641</v>
      </c>
    </row>
    <row r="466" ht="15.0" customHeight="1">
      <c r="A466" s="56" t="s">
        <v>785</v>
      </c>
      <c r="B466" s="56" t="s">
        <v>313</v>
      </c>
      <c r="C466" s="56">
        <v>2.0</v>
      </c>
      <c r="D466" s="56">
        <f>VLOOKUP(E466,'AWS Platforms Ratios'!$A$2:$B$25,2,FALSE)</f>
        <v>96</v>
      </c>
      <c r="E466" s="57" t="s">
        <v>237</v>
      </c>
      <c r="F466" s="56">
        <v>8.0</v>
      </c>
      <c r="G466" s="56">
        <v>384.0</v>
      </c>
      <c r="H466" s="57" t="s">
        <v>71</v>
      </c>
      <c r="I466" s="56" t="s">
        <v>72</v>
      </c>
      <c r="J466" s="56">
        <v>0.0</v>
      </c>
      <c r="K466" s="58" t="s">
        <v>73</v>
      </c>
      <c r="L466" s="58" t="s">
        <v>73</v>
      </c>
      <c r="M466" s="58" t="s">
        <v>73</v>
      </c>
      <c r="N466" s="58" t="s">
        <v>73</v>
      </c>
      <c r="O466" s="59">
        <f>($C466/$D466)*VLOOKUP($E466,'AWS Platforms Ratios'!$A$2:$O$25,7,FALSE)</f>
        <v>1.139791667</v>
      </c>
      <c r="P466" s="59">
        <f>($C466/$D466)*VLOOKUP($E466,'AWS Platforms Ratios'!$A$2:$O$25,8,FALSE)</f>
        <v>2.873333333</v>
      </c>
      <c r="Q466" s="59">
        <f>($C466/$D466)*VLOOKUP($E466,'AWS Platforms Ratios'!$A$2:$O$25,9,FALSE)</f>
        <v>6.394375</v>
      </c>
      <c r="R466" s="59">
        <f>($C466/$D466)*VLOOKUP($E466,'AWS Platforms Ratios'!$A$2:$O$25,10,FALSE)</f>
        <v>9.278802083</v>
      </c>
      <c r="S466" s="59">
        <f>$F466*VLOOKUP($E466,'AWS Platforms Ratios'!$A$2:$O$25,11,FALSE)</f>
        <v>1.2440625</v>
      </c>
      <c r="T466" s="59">
        <f>$F466*VLOOKUP($E466,'AWS Platforms Ratios'!$A$2:$O$25,12,FALSE)</f>
        <v>2.058958333</v>
      </c>
      <c r="U466" s="59">
        <f>$F466*VLOOKUP($E466,'AWS Platforms Ratios'!$A$2:$O$25,13,FALSE)</f>
        <v>3.685208333</v>
      </c>
      <c r="V466" s="59">
        <f>$F466*VLOOKUP($E466,'AWS Platforms Ratios'!$A$2:$O$25,14,FALSE)</f>
        <v>5.311458333</v>
      </c>
      <c r="W466" s="60">
        <f>IF($K466&lt;&gt;"N/A",$M466*(VLOOKUP($L466,'GPU Specs &amp; Ratios'!$B$2:$I$8,5,FALSE)),0)</f>
        <v>0</v>
      </c>
      <c r="X466" s="60">
        <f>IF($K466&lt;&gt;"N/A",$M466*(VLOOKUP($L466,'GPU Specs &amp; Ratios'!$B$2:$I$8,6,FALSE)),0)</f>
        <v>0</v>
      </c>
      <c r="Y466" s="60">
        <f>IF($K466&lt;&gt;"N/A",$M466*(VLOOKUP($L466,'GPU Specs &amp; Ratios'!$B$2:$I$8,7,FALSE)),0)</f>
        <v>0</v>
      </c>
      <c r="Z466" s="60">
        <f>IF($K466&lt;&gt;"N/A",$M466*(VLOOKUP($L466,'GPU Specs &amp; Ratios'!$B$2:$I$8,8,FALSE)),0)</f>
        <v>0</v>
      </c>
      <c r="AA466" s="60">
        <f>(C466/D466)*VLOOKUP($E466,'AWS Platforms Ratios'!$A$2:$O$25,15,FALSE)</f>
        <v>1.75</v>
      </c>
      <c r="AB466" s="60">
        <f t="shared" ref="AB466:AE466" si="466">O466+S466+W466+$AA466</f>
        <v>4.133854167</v>
      </c>
      <c r="AC466" s="60">
        <f t="shared" si="466"/>
        <v>6.682291667</v>
      </c>
      <c r="AD466" s="60">
        <f t="shared" si="466"/>
        <v>11.82958333</v>
      </c>
      <c r="AE466" s="60">
        <f t="shared" si="466"/>
        <v>16.34026042</v>
      </c>
      <c r="AF466" s="60">
        <f>IF(G466&gt;'Scope 3 Ratios'!$B$5,(G466-'Scope 3 Ratios'!$B$5)*('Scope 3 Ratios'!$B$6/'Scope 3 Ratios'!$B$5),0)</f>
        <v>510.3792</v>
      </c>
      <c r="AG466" s="60">
        <f>J466*IF(I466="SSD",'Scope 3 Ratios'!$B$9,'Scope 3 Ratios'!$B$8)</f>
        <v>0</v>
      </c>
      <c r="AH466" s="60">
        <f>IF(K466&lt;&gt;"N/A",K466*'Scope 3 Ratios'!$B$10,0)</f>
        <v>0</v>
      </c>
      <c r="AI466" s="60">
        <f>(VLOOKUP($E466,'AWS Platforms Ratios'!$A$2:$O$25,3,FALSE)-1)*'Scope 3 Ratios'!$B$7</f>
        <v>100</v>
      </c>
      <c r="AJ466" s="60">
        <f>'Scope 3 Ratios'!$B$2+AF466+AG466+AH466+AI466</f>
        <v>1610.3792</v>
      </c>
      <c r="AK466" s="60">
        <f>AJ466*'Scope 3 Ratios'!$B$4*(C466/D466)</f>
        <v>0.9707629244</v>
      </c>
      <c r="AL466" s="61" t="s">
        <v>412</v>
      </c>
    </row>
    <row r="467" ht="15.0" customHeight="1">
      <c r="A467" s="56" t="s">
        <v>786</v>
      </c>
      <c r="B467" s="56" t="s">
        <v>313</v>
      </c>
      <c r="C467" s="56">
        <v>4.0</v>
      </c>
      <c r="D467" s="56">
        <f>VLOOKUP(E467,'AWS Platforms Ratios'!$A$2:$B$25,2,FALSE)</f>
        <v>96</v>
      </c>
      <c r="E467" s="57" t="s">
        <v>237</v>
      </c>
      <c r="F467" s="56">
        <v>16.0</v>
      </c>
      <c r="G467" s="56">
        <v>384.0</v>
      </c>
      <c r="H467" s="57" t="s">
        <v>71</v>
      </c>
      <c r="I467" s="56" t="s">
        <v>72</v>
      </c>
      <c r="J467" s="56">
        <v>0.0</v>
      </c>
      <c r="K467" s="58" t="s">
        <v>73</v>
      </c>
      <c r="L467" s="58" t="s">
        <v>73</v>
      </c>
      <c r="M467" s="58" t="s">
        <v>73</v>
      </c>
      <c r="N467" s="58" t="s">
        <v>73</v>
      </c>
      <c r="O467" s="59">
        <f>($C467/$D467)*VLOOKUP($E467,'AWS Platforms Ratios'!$A$2:$O$25,7,FALSE)</f>
        <v>2.279583333</v>
      </c>
      <c r="P467" s="59">
        <f>($C467/$D467)*VLOOKUP($E467,'AWS Platforms Ratios'!$A$2:$O$25,8,FALSE)</f>
        <v>5.746666667</v>
      </c>
      <c r="Q467" s="59">
        <f>($C467/$D467)*VLOOKUP($E467,'AWS Platforms Ratios'!$A$2:$O$25,9,FALSE)</f>
        <v>12.78875</v>
      </c>
      <c r="R467" s="59">
        <f>($C467/$D467)*VLOOKUP($E467,'AWS Platforms Ratios'!$A$2:$O$25,10,FALSE)</f>
        <v>18.55760417</v>
      </c>
      <c r="S467" s="59">
        <f>$F467*VLOOKUP($E467,'AWS Platforms Ratios'!$A$2:$O$25,11,FALSE)</f>
        <v>2.488125</v>
      </c>
      <c r="T467" s="59">
        <f>$F467*VLOOKUP($E467,'AWS Platforms Ratios'!$A$2:$O$25,12,FALSE)</f>
        <v>4.117916667</v>
      </c>
      <c r="U467" s="59">
        <f>$F467*VLOOKUP($E467,'AWS Platforms Ratios'!$A$2:$O$25,13,FALSE)</f>
        <v>7.370416667</v>
      </c>
      <c r="V467" s="59">
        <f>$F467*VLOOKUP($E467,'AWS Platforms Ratios'!$A$2:$O$25,14,FALSE)</f>
        <v>10.62291667</v>
      </c>
      <c r="W467" s="60">
        <f>IF($K467&lt;&gt;"N/A",$M467*(VLOOKUP($L467,'GPU Specs &amp; Ratios'!$B$2:$I$8,5,FALSE)),0)</f>
        <v>0</v>
      </c>
      <c r="X467" s="60">
        <f>IF($K467&lt;&gt;"N/A",$M467*(VLOOKUP($L467,'GPU Specs &amp; Ratios'!$B$2:$I$8,6,FALSE)),0)</f>
        <v>0</v>
      </c>
      <c r="Y467" s="60">
        <f>IF($K467&lt;&gt;"N/A",$M467*(VLOOKUP($L467,'GPU Specs &amp; Ratios'!$B$2:$I$8,7,FALSE)),0)</f>
        <v>0</v>
      </c>
      <c r="Z467" s="60">
        <f>IF($K467&lt;&gt;"N/A",$M467*(VLOOKUP($L467,'GPU Specs &amp; Ratios'!$B$2:$I$8,8,FALSE)),0)</f>
        <v>0</v>
      </c>
      <c r="AA467" s="60">
        <f>(C467/D467)*VLOOKUP($E467,'AWS Platforms Ratios'!$A$2:$O$25,15,FALSE)</f>
        <v>3.5</v>
      </c>
      <c r="AB467" s="60">
        <f t="shared" ref="AB467:AE467" si="467">O467+S467+W467+$AA467</f>
        <v>8.267708333</v>
      </c>
      <c r="AC467" s="60">
        <f t="shared" si="467"/>
        <v>13.36458333</v>
      </c>
      <c r="AD467" s="60">
        <f t="shared" si="467"/>
        <v>23.65916667</v>
      </c>
      <c r="AE467" s="60">
        <f t="shared" si="467"/>
        <v>32.68052083</v>
      </c>
      <c r="AF467" s="60">
        <f>IF(G467&gt;'Scope 3 Ratios'!$B$5,(G467-'Scope 3 Ratios'!$B$5)*('Scope 3 Ratios'!$B$6/'Scope 3 Ratios'!$B$5),0)</f>
        <v>510.3792</v>
      </c>
      <c r="AG467" s="60">
        <f>J467*IF(I467="SSD",'Scope 3 Ratios'!$B$9,'Scope 3 Ratios'!$B$8)</f>
        <v>0</v>
      </c>
      <c r="AH467" s="60">
        <f>IF(K467&lt;&gt;"N/A",K467*'Scope 3 Ratios'!$B$10,0)</f>
        <v>0</v>
      </c>
      <c r="AI467" s="60">
        <f>(VLOOKUP($E467,'AWS Platforms Ratios'!$A$2:$O$25,3,FALSE)-1)*'Scope 3 Ratios'!$B$7</f>
        <v>100</v>
      </c>
      <c r="AJ467" s="60">
        <f>'Scope 3 Ratios'!$B$2+AF467+AG467+AH467+AI467</f>
        <v>1610.3792</v>
      </c>
      <c r="AK467" s="60">
        <f>AJ467*'Scope 3 Ratios'!$B$4*(C467/D467)</f>
        <v>1.941525849</v>
      </c>
      <c r="AL467" s="61" t="s">
        <v>412</v>
      </c>
    </row>
    <row r="468" ht="15.0" customHeight="1">
      <c r="A468" s="56" t="s">
        <v>787</v>
      </c>
      <c r="B468" s="56" t="s">
        <v>313</v>
      </c>
      <c r="C468" s="56">
        <v>8.0</v>
      </c>
      <c r="D468" s="56">
        <f>VLOOKUP(E468,'AWS Platforms Ratios'!$A$2:$B$25,2,FALSE)</f>
        <v>96</v>
      </c>
      <c r="E468" s="57" t="s">
        <v>237</v>
      </c>
      <c r="F468" s="56">
        <v>32.0</v>
      </c>
      <c r="G468" s="56">
        <v>384.0</v>
      </c>
      <c r="H468" s="57" t="s">
        <v>71</v>
      </c>
      <c r="I468" s="56" t="s">
        <v>72</v>
      </c>
      <c r="J468" s="56">
        <v>0.0</v>
      </c>
      <c r="K468" s="58" t="s">
        <v>73</v>
      </c>
      <c r="L468" s="58" t="s">
        <v>73</v>
      </c>
      <c r="M468" s="58" t="s">
        <v>73</v>
      </c>
      <c r="N468" s="58" t="s">
        <v>73</v>
      </c>
      <c r="O468" s="59">
        <f>($C468/$D468)*VLOOKUP($E468,'AWS Platforms Ratios'!$A$2:$O$25,7,FALSE)</f>
        <v>4.559166667</v>
      </c>
      <c r="P468" s="59">
        <f>($C468/$D468)*VLOOKUP($E468,'AWS Platforms Ratios'!$A$2:$O$25,8,FALSE)</f>
        <v>11.49333333</v>
      </c>
      <c r="Q468" s="59">
        <f>($C468/$D468)*VLOOKUP($E468,'AWS Platforms Ratios'!$A$2:$O$25,9,FALSE)</f>
        <v>25.5775</v>
      </c>
      <c r="R468" s="59">
        <f>($C468/$D468)*VLOOKUP($E468,'AWS Platforms Ratios'!$A$2:$O$25,10,FALSE)</f>
        <v>37.11520833</v>
      </c>
      <c r="S468" s="59">
        <f>$F468*VLOOKUP($E468,'AWS Platforms Ratios'!$A$2:$O$25,11,FALSE)</f>
        <v>4.97625</v>
      </c>
      <c r="T468" s="59">
        <f>$F468*VLOOKUP($E468,'AWS Platforms Ratios'!$A$2:$O$25,12,FALSE)</f>
        <v>8.235833333</v>
      </c>
      <c r="U468" s="59">
        <f>$F468*VLOOKUP($E468,'AWS Platforms Ratios'!$A$2:$O$25,13,FALSE)</f>
        <v>14.74083333</v>
      </c>
      <c r="V468" s="59">
        <f>$F468*VLOOKUP($E468,'AWS Platforms Ratios'!$A$2:$O$25,14,FALSE)</f>
        <v>21.24583333</v>
      </c>
      <c r="W468" s="60">
        <f>IF($K468&lt;&gt;"N/A",$M468*(VLOOKUP($L468,'GPU Specs &amp; Ratios'!$B$2:$I$8,5,FALSE)),0)</f>
        <v>0</v>
      </c>
      <c r="X468" s="60">
        <f>IF($K468&lt;&gt;"N/A",$M468*(VLOOKUP($L468,'GPU Specs &amp; Ratios'!$B$2:$I$8,6,FALSE)),0)</f>
        <v>0</v>
      </c>
      <c r="Y468" s="60">
        <f>IF($K468&lt;&gt;"N/A",$M468*(VLOOKUP($L468,'GPU Specs &amp; Ratios'!$B$2:$I$8,7,FALSE)),0)</f>
        <v>0</v>
      </c>
      <c r="Z468" s="60">
        <f>IF($K468&lt;&gt;"N/A",$M468*(VLOOKUP($L468,'GPU Specs &amp; Ratios'!$B$2:$I$8,8,FALSE)),0)</f>
        <v>0</v>
      </c>
      <c r="AA468" s="60">
        <f>(C468/D468)*VLOOKUP($E468,'AWS Platforms Ratios'!$A$2:$O$25,15,FALSE)</f>
        <v>7</v>
      </c>
      <c r="AB468" s="60">
        <f t="shared" ref="AB468:AE468" si="468">O468+S468+W468+$AA468</f>
        <v>16.53541667</v>
      </c>
      <c r="AC468" s="60">
        <f t="shared" si="468"/>
        <v>26.72916667</v>
      </c>
      <c r="AD468" s="60">
        <f t="shared" si="468"/>
        <v>47.31833333</v>
      </c>
      <c r="AE468" s="60">
        <f t="shared" si="468"/>
        <v>65.36104167</v>
      </c>
      <c r="AF468" s="60">
        <f>IF(G468&gt;'Scope 3 Ratios'!$B$5,(G468-'Scope 3 Ratios'!$B$5)*('Scope 3 Ratios'!$B$6/'Scope 3 Ratios'!$B$5),0)</f>
        <v>510.3792</v>
      </c>
      <c r="AG468" s="60">
        <f>J468*IF(I468="SSD",'Scope 3 Ratios'!$B$9,'Scope 3 Ratios'!$B$8)</f>
        <v>0</v>
      </c>
      <c r="AH468" s="60">
        <f>IF(K468&lt;&gt;"N/A",K468*'Scope 3 Ratios'!$B$10,0)</f>
        <v>0</v>
      </c>
      <c r="AI468" s="60">
        <f>(VLOOKUP($E468,'AWS Platforms Ratios'!$A$2:$O$25,3,FALSE)-1)*'Scope 3 Ratios'!$B$7</f>
        <v>100</v>
      </c>
      <c r="AJ468" s="60">
        <f>'Scope 3 Ratios'!$B$2+AF468+AG468+AH468+AI468</f>
        <v>1610.3792</v>
      </c>
      <c r="AK468" s="60">
        <f>AJ468*'Scope 3 Ratios'!$B$4*(C468/D468)</f>
        <v>3.883051698</v>
      </c>
      <c r="AL468" s="61" t="s">
        <v>412</v>
      </c>
    </row>
    <row r="469" ht="15.0" customHeight="1">
      <c r="A469" s="56" t="s">
        <v>788</v>
      </c>
      <c r="B469" s="56" t="s">
        <v>313</v>
      </c>
      <c r="C469" s="56">
        <v>16.0</v>
      </c>
      <c r="D469" s="56">
        <f>VLOOKUP(E469,'AWS Platforms Ratios'!$A$2:$B$25,2,FALSE)</f>
        <v>96</v>
      </c>
      <c r="E469" s="57" t="s">
        <v>237</v>
      </c>
      <c r="F469" s="56">
        <v>64.0</v>
      </c>
      <c r="G469" s="56">
        <v>384.0</v>
      </c>
      <c r="H469" s="57" t="s">
        <v>71</v>
      </c>
      <c r="I469" s="56" t="s">
        <v>72</v>
      </c>
      <c r="J469" s="56">
        <v>0.0</v>
      </c>
      <c r="K469" s="58" t="s">
        <v>73</v>
      </c>
      <c r="L469" s="58" t="s">
        <v>73</v>
      </c>
      <c r="M469" s="58" t="s">
        <v>73</v>
      </c>
      <c r="N469" s="58" t="s">
        <v>73</v>
      </c>
      <c r="O469" s="59">
        <f>($C469/$D469)*VLOOKUP($E469,'AWS Platforms Ratios'!$A$2:$O$25,7,FALSE)</f>
        <v>9.118333333</v>
      </c>
      <c r="P469" s="59">
        <f>($C469/$D469)*VLOOKUP($E469,'AWS Platforms Ratios'!$A$2:$O$25,8,FALSE)</f>
        <v>22.98666667</v>
      </c>
      <c r="Q469" s="59">
        <f>($C469/$D469)*VLOOKUP($E469,'AWS Platforms Ratios'!$A$2:$O$25,9,FALSE)</f>
        <v>51.155</v>
      </c>
      <c r="R469" s="59">
        <f>($C469/$D469)*VLOOKUP($E469,'AWS Platforms Ratios'!$A$2:$O$25,10,FALSE)</f>
        <v>74.23041667</v>
      </c>
      <c r="S469" s="59">
        <f>$F469*VLOOKUP($E469,'AWS Platforms Ratios'!$A$2:$O$25,11,FALSE)</f>
        <v>9.9525</v>
      </c>
      <c r="T469" s="59">
        <f>$F469*VLOOKUP($E469,'AWS Platforms Ratios'!$A$2:$O$25,12,FALSE)</f>
        <v>16.47166667</v>
      </c>
      <c r="U469" s="59">
        <f>$F469*VLOOKUP($E469,'AWS Platforms Ratios'!$A$2:$O$25,13,FALSE)</f>
        <v>29.48166667</v>
      </c>
      <c r="V469" s="59">
        <f>$F469*VLOOKUP($E469,'AWS Platforms Ratios'!$A$2:$O$25,14,FALSE)</f>
        <v>42.49166667</v>
      </c>
      <c r="W469" s="60">
        <f>IF($K469&lt;&gt;"N/A",$M469*(VLOOKUP($L469,'GPU Specs &amp; Ratios'!$B$2:$I$8,5,FALSE)),0)</f>
        <v>0</v>
      </c>
      <c r="X469" s="60">
        <f>IF($K469&lt;&gt;"N/A",$M469*(VLOOKUP($L469,'GPU Specs &amp; Ratios'!$B$2:$I$8,6,FALSE)),0)</f>
        <v>0</v>
      </c>
      <c r="Y469" s="60">
        <f>IF($K469&lt;&gt;"N/A",$M469*(VLOOKUP($L469,'GPU Specs &amp; Ratios'!$B$2:$I$8,7,FALSE)),0)</f>
        <v>0</v>
      </c>
      <c r="Z469" s="60">
        <f>IF($K469&lt;&gt;"N/A",$M469*(VLOOKUP($L469,'GPU Specs &amp; Ratios'!$B$2:$I$8,8,FALSE)),0)</f>
        <v>0</v>
      </c>
      <c r="AA469" s="60">
        <f>(C469/D469)*VLOOKUP($E469,'AWS Platforms Ratios'!$A$2:$O$25,15,FALSE)</f>
        <v>14</v>
      </c>
      <c r="AB469" s="60">
        <f t="shared" ref="AB469:AE469" si="469">O469+S469+W469+$AA469</f>
        <v>33.07083333</v>
      </c>
      <c r="AC469" s="60">
        <f t="shared" si="469"/>
        <v>53.45833333</v>
      </c>
      <c r="AD469" s="60">
        <f t="shared" si="469"/>
        <v>94.63666667</v>
      </c>
      <c r="AE469" s="60">
        <f t="shared" si="469"/>
        <v>130.7220833</v>
      </c>
      <c r="AF469" s="60">
        <f>IF(G469&gt;'Scope 3 Ratios'!$B$5,(G469-'Scope 3 Ratios'!$B$5)*('Scope 3 Ratios'!$B$6/'Scope 3 Ratios'!$B$5),0)</f>
        <v>510.3792</v>
      </c>
      <c r="AG469" s="60">
        <f>J469*IF(I469="SSD",'Scope 3 Ratios'!$B$9,'Scope 3 Ratios'!$B$8)</f>
        <v>0</v>
      </c>
      <c r="AH469" s="60">
        <f>IF(K469&lt;&gt;"N/A",K469*'Scope 3 Ratios'!$B$10,0)</f>
        <v>0</v>
      </c>
      <c r="AI469" s="60">
        <f>(VLOOKUP($E469,'AWS Platforms Ratios'!$A$2:$O$25,3,FALSE)-1)*'Scope 3 Ratios'!$B$7</f>
        <v>100</v>
      </c>
      <c r="AJ469" s="60">
        <f>'Scope 3 Ratios'!$B$2+AF469+AG469+AH469+AI469</f>
        <v>1610.3792</v>
      </c>
      <c r="AK469" s="60">
        <f>AJ469*'Scope 3 Ratios'!$B$4*(C469/D469)</f>
        <v>7.766103395</v>
      </c>
      <c r="AL469" s="61" t="s">
        <v>412</v>
      </c>
    </row>
    <row r="470" ht="15.0" customHeight="1">
      <c r="A470" s="56" t="s">
        <v>789</v>
      </c>
      <c r="B470" s="56" t="s">
        <v>313</v>
      </c>
      <c r="C470" s="56">
        <v>48.0</v>
      </c>
      <c r="D470" s="56">
        <f>VLOOKUP(E470,'AWS Platforms Ratios'!$A$2:$B$25,2,FALSE)</f>
        <v>96</v>
      </c>
      <c r="E470" s="57" t="s">
        <v>237</v>
      </c>
      <c r="F470" s="56">
        <v>192.0</v>
      </c>
      <c r="G470" s="56">
        <v>384.0</v>
      </c>
      <c r="H470" s="57" t="s">
        <v>71</v>
      </c>
      <c r="I470" s="56" t="s">
        <v>72</v>
      </c>
      <c r="J470" s="56">
        <v>0.0</v>
      </c>
      <c r="K470" s="58" t="s">
        <v>73</v>
      </c>
      <c r="L470" s="58" t="s">
        <v>73</v>
      </c>
      <c r="M470" s="58" t="s">
        <v>73</v>
      </c>
      <c r="N470" s="58" t="s">
        <v>73</v>
      </c>
      <c r="O470" s="59">
        <f>($C470/$D470)*VLOOKUP($E470,'AWS Platforms Ratios'!$A$2:$O$25,7,FALSE)</f>
        <v>27.355</v>
      </c>
      <c r="P470" s="59">
        <f>($C470/$D470)*VLOOKUP($E470,'AWS Platforms Ratios'!$A$2:$O$25,8,FALSE)</f>
        <v>68.96</v>
      </c>
      <c r="Q470" s="59">
        <f>($C470/$D470)*VLOOKUP($E470,'AWS Platforms Ratios'!$A$2:$O$25,9,FALSE)</f>
        <v>153.465</v>
      </c>
      <c r="R470" s="59">
        <f>($C470/$D470)*VLOOKUP($E470,'AWS Platforms Ratios'!$A$2:$O$25,10,FALSE)</f>
        <v>222.69125</v>
      </c>
      <c r="S470" s="59">
        <f>$F470*VLOOKUP($E470,'AWS Platforms Ratios'!$A$2:$O$25,11,FALSE)</f>
        <v>29.8575</v>
      </c>
      <c r="T470" s="59">
        <f>$F470*VLOOKUP($E470,'AWS Platforms Ratios'!$A$2:$O$25,12,FALSE)</f>
        <v>49.415</v>
      </c>
      <c r="U470" s="59">
        <f>$F470*VLOOKUP($E470,'AWS Platforms Ratios'!$A$2:$O$25,13,FALSE)</f>
        <v>88.445</v>
      </c>
      <c r="V470" s="59">
        <f>$F470*VLOOKUP($E470,'AWS Platforms Ratios'!$A$2:$O$25,14,FALSE)</f>
        <v>127.475</v>
      </c>
      <c r="W470" s="60">
        <f>IF($K470&lt;&gt;"N/A",$M470*(VLOOKUP($L470,'GPU Specs &amp; Ratios'!$B$2:$I$8,5,FALSE)),0)</f>
        <v>0</v>
      </c>
      <c r="X470" s="60">
        <f>IF($K470&lt;&gt;"N/A",$M470*(VLOOKUP($L470,'GPU Specs &amp; Ratios'!$B$2:$I$8,6,FALSE)),0)</f>
        <v>0</v>
      </c>
      <c r="Y470" s="60">
        <f>IF($K470&lt;&gt;"N/A",$M470*(VLOOKUP($L470,'GPU Specs &amp; Ratios'!$B$2:$I$8,7,FALSE)),0)</f>
        <v>0</v>
      </c>
      <c r="Z470" s="60">
        <f>IF($K470&lt;&gt;"N/A",$M470*(VLOOKUP($L470,'GPU Specs &amp; Ratios'!$B$2:$I$8,8,FALSE)),0)</f>
        <v>0</v>
      </c>
      <c r="AA470" s="60">
        <f>(C470/D470)*VLOOKUP($E470,'AWS Platforms Ratios'!$A$2:$O$25,15,FALSE)</f>
        <v>42</v>
      </c>
      <c r="AB470" s="60">
        <f t="shared" ref="AB470:AE470" si="470">O470+S470+W470+$AA470</f>
        <v>99.2125</v>
      </c>
      <c r="AC470" s="60">
        <f t="shared" si="470"/>
        <v>160.375</v>
      </c>
      <c r="AD470" s="60">
        <f t="shared" si="470"/>
        <v>283.91</v>
      </c>
      <c r="AE470" s="60">
        <f t="shared" si="470"/>
        <v>392.16625</v>
      </c>
      <c r="AF470" s="60">
        <f>IF(G470&gt;'Scope 3 Ratios'!$B$5,(G470-'Scope 3 Ratios'!$B$5)*('Scope 3 Ratios'!$B$6/'Scope 3 Ratios'!$B$5),0)</f>
        <v>510.3792</v>
      </c>
      <c r="AG470" s="60">
        <f>J470*IF(I470="SSD",'Scope 3 Ratios'!$B$9,'Scope 3 Ratios'!$B$8)</f>
        <v>0</v>
      </c>
      <c r="AH470" s="60">
        <f>IF(K470&lt;&gt;"N/A",K470*'Scope 3 Ratios'!$B$10,0)</f>
        <v>0</v>
      </c>
      <c r="AI470" s="60">
        <f>(VLOOKUP($E470,'AWS Platforms Ratios'!$A$2:$O$25,3,FALSE)-1)*'Scope 3 Ratios'!$B$7</f>
        <v>100</v>
      </c>
      <c r="AJ470" s="60">
        <f>'Scope 3 Ratios'!$B$2+AF470+AG470+AH470+AI470</f>
        <v>1610.3792</v>
      </c>
      <c r="AK470" s="60">
        <f>AJ470*'Scope 3 Ratios'!$B$4*(C470/D470)</f>
        <v>23.29831019</v>
      </c>
      <c r="AL470" s="61" t="s">
        <v>412</v>
      </c>
    </row>
    <row r="471" ht="15.0" customHeight="1">
      <c r="A471" s="56" t="s">
        <v>790</v>
      </c>
      <c r="B471" s="56" t="s">
        <v>264</v>
      </c>
      <c r="C471" s="56">
        <v>2.0</v>
      </c>
      <c r="D471" s="56">
        <f>VLOOKUP(E471,'AWS Platforms Ratios'!$A$2:$B$25,2,FALSE)</f>
        <v>72</v>
      </c>
      <c r="E471" s="57" t="s">
        <v>269</v>
      </c>
      <c r="F471" s="56">
        <v>8.0</v>
      </c>
      <c r="G471" s="56">
        <v>256.0</v>
      </c>
      <c r="H471" s="57" t="s">
        <v>71</v>
      </c>
      <c r="I471" s="56" t="s">
        <v>72</v>
      </c>
      <c r="J471" s="56">
        <v>0.0</v>
      </c>
      <c r="K471" s="58" t="s">
        <v>73</v>
      </c>
      <c r="L471" s="58" t="s">
        <v>73</v>
      </c>
      <c r="M471" s="58" t="s">
        <v>73</v>
      </c>
      <c r="N471" s="58" t="s">
        <v>73</v>
      </c>
      <c r="O471" s="59">
        <f>($C471/$D471)*VLOOKUP($E471,'AWS Platforms Ratios'!$A$2:$O$25,7,FALSE)</f>
        <v>0.9716666667</v>
      </c>
      <c r="P471" s="59">
        <f>($C471/$D471)*VLOOKUP($E471,'AWS Platforms Ratios'!$A$2:$O$25,8,FALSE)</f>
        <v>2.773888889</v>
      </c>
      <c r="Q471" s="59">
        <f>($C471/$D471)*VLOOKUP($E471,'AWS Platforms Ratios'!$A$2:$O$25,9,FALSE)</f>
        <v>5.705277778</v>
      </c>
      <c r="R471" s="59">
        <f>($C471/$D471)*VLOOKUP($E471,'AWS Platforms Ratios'!$A$2:$O$25,10,FALSE)</f>
        <v>7.809236111</v>
      </c>
      <c r="S471" s="59">
        <f>$F471*VLOOKUP($E471,'AWS Platforms Ratios'!$A$2:$O$25,11,FALSE)</f>
        <v>1.6</v>
      </c>
      <c r="T471" s="59">
        <f>$F471*VLOOKUP($E471,'AWS Platforms Ratios'!$A$2:$O$25,12,FALSE)</f>
        <v>2.4</v>
      </c>
      <c r="U471" s="59">
        <f>$F471*VLOOKUP($E471,'AWS Platforms Ratios'!$A$2:$O$25,13,FALSE)</f>
        <v>3.2</v>
      </c>
      <c r="V471" s="59">
        <f>$F471*VLOOKUP($E471,'AWS Platforms Ratios'!$A$2:$O$25,14,FALSE)</f>
        <v>4.8</v>
      </c>
      <c r="W471" s="60">
        <f>IF($K471&lt;&gt;"N/A",$M471*(VLOOKUP($L471,'GPU Specs &amp; Ratios'!$B$2:$I$8,5,FALSE)),0)</f>
        <v>0</v>
      </c>
      <c r="X471" s="60">
        <f>IF($K471&lt;&gt;"N/A",$M471*(VLOOKUP($L471,'GPU Specs &amp; Ratios'!$B$2:$I$8,6,FALSE)),0)</f>
        <v>0</v>
      </c>
      <c r="Y471" s="60">
        <f>IF($K471&lt;&gt;"N/A",$M471*(VLOOKUP($L471,'GPU Specs &amp; Ratios'!$B$2:$I$8,7,FALSE)),0)</f>
        <v>0</v>
      </c>
      <c r="Z471" s="60">
        <f>IF($K471&lt;&gt;"N/A",$M471*(VLOOKUP($L471,'GPU Specs &amp; Ratios'!$B$2:$I$8,8,FALSE)),0)</f>
        <v>0</v>
      </c>
      <c r="AA471" s="60">
        <f>(C471/D471)*VLOOKUP($E471,'AWS Platforms Ratios'!$A$2:$O$25,15,FALSE)</f>
        <v>1.611111111</v>
      </c>
      <c r="AB471" s="60">
        <f t="shared" ref="AB471:AE471" si="471">O471+S471+W471+$AA471</f>
        <v>4.182777778</v>
      </c>
      <c r="AC471" s="60">
        <f t="shared" si="471"/>
        <v>6.785</v>
      </c>
      <c r="AD471" s="60">
        <f t="shared" si="471"/>
        <v>10.51638889</v>
      </c>
      <c r="AE471" s="60">
        <f t="shared" si="471"/>
        <v>14.22034722</v>
      </c>
      <c r="AF471" s="60">
        <f>IF(G471&gt;'Scope 3 Ratios'!$B$5,(G471-'Scope 3 Ratios'!$B$5)*('Scope 3 Ratios'!$B$6/'Scope 3 Ratios'!$B$5),0)</f>
        <v>332.856</v>
      </c>
      <c r="AG471" s="60">
        <f>J471*IF(I471="SSD",'Scope 3 Ratios'!$B$9,'Scope 3 Ratios'!$B$8)</f>
        <v>0</v>
      </c>
      <c r="AH471" s="60">
        <f>IF(K471&lt;&gt;"N/A",K471*'Scope 3 Ratios'!$B$10,0)</f>
        <v>0</v>
      </c>
      <c r="AI471" s="60">
        <f>(VLOOKUP($E471,'AWS Platforms Ratios'!$A$2:$O$25,3,FALSE)-1)*'Scope 3 Ratios'!$B$7</f>
        <v>100</v>
      </c>
      <c r="AJ471" s="60">
        <f>'Scope 3 Ratios'!$B$2+AF471+AG471+AH471+AI471</f>
        <v>1432.856</v>
      </c>
      <c r="AK471" s="60">
        <f>AJ471*'Scope 3 Ratios'!$B$4*(C471/D471)</f>
        <v>1.151665381</v>
      </c>
      <c r="AL471" s="61" t="s">
        <v>404</v>
      </c>
    </row>
    <row r="472" ht="15.0" customHeight="1">
      <c r="A472" s="56" t="s">
        <v>791</v>
      </c>
      <c r="B472" s="56" t="s">
        <v>264</v>
      </c>
      <c r="C472" s="56">
        <v>4.0</v>
      </c>
      <c r="D472" s="56">
        <f>VLOOKUP(E472,'AWS Platforms Ratios'!$A$2:$B$25,2,FALSE)</f>
        <v>72</v>
      </c>
      <c r="E472" s="57" t="s">
        <v>269</v>
      </c>
      <c r="F472" s="56">
        <v>16.0</v>
      </c>
      <c r="G472" s="56">
        <v>256.0</v>
      </c>
      <c r="H472" s="57" t="s">
        <v>71</v>
      </c>
      <c r="I472" s="56" t="s">
        <v>72</v>
      </c>
      <c r="J472" s="56">
        <v>0.0</v>
      </c>
      <c r="K472" s="58" t="s">
        <v>73</v>
      </c>
      <c r="L472" s="58" t="s">
        <v>73</v>
      </c>
      <c r="M472" s="58" t="s">
        <v>73</v>
      </c>
      <c r="N472" s="58" t="s">
        <v>73</v>
      </c>
      <c r="O472" s="59">
        <f>($C472/$D472)*VLOOKUP($E472,'AWS Platforms Ratios'!$A$2:$O$25,7,FALSE)</f>
        <v>1.943333333</v>
      </c>
      <c r="P472" s="59">
        <f>($C472/$D472)*VLOOKUP($E472,'AWS Platforms Ratios'!$A$2:$O$25,8,FALSE)</f>
        <v>5.547777778</v>
      </c>
      <c r="Q472" s="59">
        <f>($C472/$D472)*VLOOKUP($E472,'AWS Platforms Ratios'!$A$2:$O$25,9,FALSE)</f>
        <v>11.41055556</v>
      </c>
      <c r="R472" s="59">
        <f>($C472/$D472)*VLOOKUP($E472,'AWS Platforms Ratios'!$A$2:$O$25,10,FALSE)</f>
        <v>15.61847222</v>
      </c>
      <c r="S472" s="59">
        <f>$F472*VLOOKUP($E472,'AWS Platforms Ratios'!$A$2:$O$25,11,FALSE)</f>
        <v>3.2</v>
      </c>
      <c r="T472" s="59">
        <f>$F472*VLOOKUP($E472,'AWS Platforms Ratios'!$A$2:$O$25,12,FALSE)</f>
        <v>4.8</v>
      </c>
      <c r="U472" s="59">
        <f>$F472*VLOOKUP($E472,'AWS Platforms Ratios'!$A$2:$O$25,13,FALSE)</f>
        <v>6.4</v>
      </c>
      <c r="V472" s="59">
        <f>$F472*VLOOKUP($E472,'AWS Platforms Ratios'!$A$2:$O$25,14,FALSE)</f>
        <v>9.6</v>
      </c>
      <c r="W472" s="60">
        <f>IF($K472&lt;&gt;"N/A",$M472*(VLOOKUP($L472,'GPU Specs &amp; Ratios'!$B$2:$I$8,5,FALSE)),0)</f>
        <v>0</v>
      </c>
      <c r="X472" s="60">
        <f>IF($K472&lt;&gt;"N/A",$M472*(VLOOKUP($L472,'GPU Specs &amp; Ratios'!$B$2:$I$8,6,FALSE)),0)</f>
        <v>0</v>
      </c>
      <c r="Y472" s="60">
        <f>IF($K472&lt;&gt;"N/A",$M472*(VLOOKUP($L472,'GPU Specs &amp; Ratios'!$B$2:$I$8,7,FALSE)),0)</f>
        <v>0</v>
      </c>
      <c r="Z472" s="60">
        <f>IF($K472&lt;&gt;"N/A",$M472*(VLOOKUP($L472,'GPU Specs &amp; Ratios'!$B$2:$I$8,8,FALSE)),0)</f>
        <v>0</v>
      </c>
      <c r="AA472" s="60">
        <f>(C472/D472)*VLOOKUP($E472,'AWS Platforms Ratios'!$A$2:$O$25,15,FALSE)</f>
        <v>3.222222222</v>
      </c>
      <c r="AB472" s="60">
        <f t="shared" ref="AB472:AE472" si="472">O472+S472+W472+$AA472</f>
        <v>8.365555556</v>
      </c>
      <c r="AC472" s="60">
        <f t="shared" si="472"/>
        <v>13.57</v>
      </c>
      <c r="AD472" s="60">
        <f t="shared" si="472"/>
        <v>21.03277778</v>
      </c>
      <c r="AE472" s="60">
        <f t="shared" si="472"/>
        <v>28.44069444</v>
      </c>
      <c r="AF472" s="60">
        <f>IF(G472&gt;'Scope 3 Ratios'!$B$5,(G472-'Scope 3 Ratios'!$B$5)*('Scope 3 Ratios'!$B$6/'Scope 3 Ratios'!$B$5),0)</f>
        <v>332.856</v>
      </c>
      <c r="AG472" s="60">
        <f>J472*IF(I472="SSD",'Scope 3 Ratios'!$B$9,'Scope 3 Ratios'!$B$8)</f>
        <v>0</v>
      </c>
      <c r="AH472" s="60">
        <f>IF(K472&lt;&gt;"N/A",K472*'Scope 3 Ratios'!$B$10,0)</f>
        <v>0</v>
      </c>
      <c r="AI472" s="60">
        <f>(VLOOKUP($E472,'AWS Platforms Ratios'!$A$2:$O$25,3,FALSE)-1)*'Scope 3 Ratios'!$B$7</f>
        <v>100</v>
      </c>
      <c r="AJ472" s="60">
        <f>'Scope 3 Ratios'!$B$2+AF472+AG472+AH472+AI472</f>
        <v>1432.856</v>
      </c>
      <c r="AK472" s="60">
        <f>AJ472*'Scope 3 Ratios'!$B$4*(C472/D472)</f>
        <v>2.303330761</v>
      </c>
      <c r="AL472" s="61" t="s">
        <v>404</v>
      </c>
    </row>
    <row r="473" ht="15.0" customHeight="1">
      <c r="A473" s="56" t="s">
        <v>792</v>
      </c>
      <c r="B473" s="56" t="s">
        <v>264</v>
      </c>
      <c r="C473" s="56">
        <v>8.0</v>
      </c>
      <c r="D473" s="56">
        <f>VLOOKUP(E473,'AWS Platforms Ratios'!$A$2:$B$25,2,FALSE)</f>
        <v>72</v>
      </c>
      <c r="E473" s="57" t="s">
        <v>269</v>
      </c>
      <c r="F473" s="56">
        <v>32.0</v>
      </c>
      <c r="G473" s="56">
        <v>256.0</v>
      </c>
      <c r="H473" s="57" t="s">
        <v>71</v>
      </c>
      <c r="I473" s="56" t="s">
        <v>72</v>
      </c>
      <c r="J473" s="56">
        <v>0.0</v>
      </c>
      <c r="K473" s="58" t="s">
        <v>73</v>
      </c>
      <c r="L473" s="58" t="s">
        <v>73</v>
      </c>
      <c r="M473" s="58" t="s">
        <v>73</v>
      </c>
      <c r="N473" s="58" t="s">
        <v>73</v>
      </c>
      <c r="O473" s="59">
        <f>($C473/$D473)*VLOOKUP($E473,'AWS Platforms Ratios'!$A$2:$O$25,7,FALSE)</f>
        <v>3.886666667</v>
      </c>
      <c r="P473" s="59">
        <f>($C473/$D473)*VLOOKUP($E473,'AWS Platforms Ratios'!$A$2:$O$25,8,FALSE)</f>
        <v>11.09555556</v>
      </c>
      <c r="Q473" s="59">
        <f>($C473/$D473)*VLOOKUP($E473,'AWS Platforms Ratios'!$A$2:$O$25,9,FALSE)</f>
        <v>22.82111111</v>
      </c>
      <c r="R473" s="59">
        <f>($C473/$D473)*VLOOKUP($E473,'AWS Platforms Ratios'!$A$2:$O$25,10,FALSE)</f>
        <v>31.23694444</v>
      </c>
      <c r="S473" s="59">
        <f>$F473*VLOOKUP($E473,'AWS Platforms Ratios'!$A$2:$O$25,11,FALSE)</f>
        <v>6.4</v>
      </c>
      <c r="T473" s="59">
        <f>$F473*VLOOKUP($E473,'AWS Platforms Ratios'!$A$2:$O$25,12,FALSE)</f>
        <v>9.6</v>
      </c>
      <c r="U473" s="59">
        <f>$F473*VLOOKUP($E473,'AWS Platforms Ratios'!$A$2:$O$25,13,FALSE)</f>
        <v>12.8</v>
      </c>
      <c r="V473" s="59">
        <f>$F473*VLOOKUP($E473,'AWS Platforms Ratios'!$A$2:$O$25,14,FALSE)</f>
        <v>19.2</v>
      </c>
      <c r="W473" s="60">
        <f>IF($K473&lt;&gt;"N/A",$M473*(VLOOKUP($L473,'GPU Specs &amp; Ratios'!$B$2:$I$8,5,FALSE)),0)</f>
        <v>0</v>
      </c>
      <c r="X473" s="60">
        <f>IF($K473&lt;&gt;"N/A",$M473*(VLOOKUP($L473,'GPU Specs &amp; Ratios'!$B$2:$I$8,6,FALSE)),0)</f>
        <v>0</v>
      </c>
      <c r="Y473" s="60">
        <f>IF($K473&lt;&gt;"N/A",$M473*(VLOOKUP($L473,'GPU Specs &amp; Ratios'!$B$2:$I$8,7,FALSE)),0)</f>
        <v>0</v>
      </c>
      <c r="Z473" s="60">
        <f>IF($K473&lt;&gt;"N/A",$M473*(VLOOKUP($L473,'GPU Specs &amp; Ratios'!$B$2:$I$8,8,FALSE)),0)</f>
        <v>0</v>
      </c>
      <c r="AA473" s="60">
        <f>(C473/D473)*VLOOKUP($E473,'AWS Platforms Ratios'!$A$2:$O$25,15,FALSE)</f>
        <v>6.444444444</v>
      </c>
      <c r="AB473" s="60">
        <f t="shared" ref="AB473:AE473" si="473">O473+S473+W473+$AA473</f>
        <v>16.73111111</v>
      </c>
      <c r="AC473" s="60">
        <f t="shared" si="473"/>
        <v>27.14</v>
      </c>
      <c r="AD473" s="60">
        <f t="shared" si="473"/>
        <v>42.06555556</v>
      </c>
      <c r="AE473" s="60">
        <f t="shared" si="473"/>
        <v>56.88138889</v>
      </c>
      <c r="AF473" s="60">
        <f>IF(G473&gt;'Scope 3 Ratios'!$B$5,(G473-'Scope 3 Ratios'!$B$5)*('Scope 3 Ratios'!$B$6/'Scope 3 Ratios'!$B$5),0)</f>
        <v>332.856</v>
      </c>
      <c r="AG473" s="60">
        <f>J473*IF(I473="SSD",'Scope 3 Ratios'!$B$9,'Scope 3 Ratios'!$B$8)</f>
        <v>0</v>
      </c>
      <c r="AH473" s="60">
        <f>IF(K473&lt;&gt;"N/A",K473*'Scope 3 Ratios'!$B$10,0)</f>
        <v>0</v>
      </c>
      <c r="AI473" s="60">
        <f>(VLOOKUP($E473,'AWS Platforms Ratios'!$A$2:$O$25,3,FALSE)-1)*'Scope 3 Ratios'!$B$7</f>
        <v>100</v>
      </c>
      <c r="AJ473" s="60">
        <f>'Scope 3 Ratios'!$B$2+AF473+AG473+AH473+AI473</f>
        <v>1432.856</v>
      </c>
      <c r="AK473" s="60">
        <f>AJ473*'Scope 3 Ratios'!$B$4*(C473/D473)</f>
        <v>4.606661523</v>
      </c>
      <c r="AL473" s="61" t="s">
        <v>404</v>
      </c>
    </row>
    <row r="474" ht="15.0" customHeight="1">
      <c r="A474" s="56" t="s">
        <v>793</v>
      </c>
      <c r="B474" s="56" t="s">
        <v>264</v>
      </c>
      <c r="C474" s="56">
        <v>16.0</v>
      </c>
      <c r="D474" s="56">
        <f>VLOOKUP(E474,'AWS Platforms Ratios'!$A$2:$B$25,2,FALSE)</f>
        <v>72</v>
      </c>
      <c r="E474" s="57" t="s">
        <v>269</v>
      </c>
      <c r="F474" s="56">
        <v>64.0</v>
      </c>
      <c r="G474" s="56">
        <v>256.0</v>
      </c>
      <c r="H474" s="57" t="s">
        <v>71</v>
      </c>
      <c r="I474" s="56" t="s">
        <v>72</v>
      </c>
      <c r="J474" s="56">
        <v>0.0</v>
      </c>
      <c r="K474" s="58" t="s">
        <v>73</v>
      </c>
      <c r="L474" s="58" t="s">
        <v>73</v>
      </c>
      <c r="M474" s="58" t="s">
        <v>73</v>
      </c>
      <c r="N474" s="58" t="s">
        <v>73</v>
      </c>
      <c r="O474" s="59">
        <f>($C474/$D474)*VLOOKUP($E474,'AWS Platforms Ratios'!$A$2:$O$25,7,FALSE)</f>
        <v>7.773333333</v>
      </c>
      <c r="P474" s="59">
        <f>($C474/$D474)*VLOOKUP($E474,'AWS Platforms Ratios'!$A$2:$O$25,8,FALSE)</f>
        <v>22.19111111</v>
      </c>
      <c r="Q474" s="59">
        <f>($C474/$D474)*VLOOKUP($E474,'AWS Platforms Ratios'!$A$2:$O$25,9,FALSE)</f>
        <v>45.64222222</v>
      </c>
      <c r="R474" s="59">
        <f>($C474/$D474)*VLOOKUP($E474,'AWS Platforms Ratios'!$A$2:$O$25,10,FALSE)</f>
        <v>62.47388889</v>
      </c>
      <c r="S474" s="59">
        <f>$F474*VLOOKUP($E474,'AWS Platforms Ratios'!$A$2:$O$25,11,FALSE)</f>
        <v>12.8</v>
      </c>
      <c r="T474" s="59">
        <f>$F474*VLOOKUP($E474,'AWS Platforms Ratios'!$A$2:$O$25,12,FALSE)</f>
        <v>19.2</v>
      </c>
      <c r="U474" s="59">
        <f>$F474*VLOOKUP($E474,'AWS Platforms Ratios'!$A$2:$O$25,13,FALSE)</f>
        <v>25.6</v>
      </c>
      <c r="V474" s="59">
        <f>$F474*VLOOKUP($E474,'AWS Platforms Ratios'!$A$2:$O$25,14,FALSE)</f>
        <v>38.4</v>
      </c>
      <c r="W474" s="60">
        <f>IF($K474&lt;&gt;"N/A",$M474*(VLOOKUP($L474,'GPU Specs &amp; Ratios'!$B$2:$I$8,5,FALSE)),0)</f>
        <v>0</v>
      </c>
      <c r="X474" s="60">
        <f>IF($K474&lt;&gt;"N/A",$M474*(VLOOKUP($L474,'GPU Specs &amp; Ratios'!$B$2:$I$8,6,FALSE)),0)</f>
        <v>0</v>
      </c>
      <c r="Y474" s="60">
        <f>IF($K474&lt;&gt;"N/A",$M474*(VLOOKUP($L474,'GPU Specs &amp; Ratios'!$B$2:$I$8,7,FALSE)),0)</f>
        <v>0</v>
      </c>
      <c r="Z474" s="60">
        <f>IF($K474&lt;&gt;"N/A",$M474*(VLOOKUP($L474,'GPU Specs &amp; Ratios'!$B$2:$I$8,8,FALSE)),0)</f>
        <v>0</v>
      </c>
      <c r="AA474" s="60">
        <f>(C474/D474)*VLOOKUP($E474,'AWS Platforms Ratios'!$A$2:$O$25,15,FALSE)</f>
        <v>12.88888889</v>
      </c>
      <c r="AB474" s="60">
        <f t="shared" ref="AB474:AE474" si="474">O474+S474+W474+$AA474</f>
        <v>33.46222222</v>
      </c>
      <c r="AC474" s="60">
        <f t="shared" si="474"/>
        <v>54.28</v>
      </c>
      <c r="AD474" s="60">
        <f t="shared" si="474"/>
        <v>84.13111111</v>
      </c>
      <c r="AE474" s="60">
        <f t="shared" si="474"/>
        <v>113.7627778</v>
      </c>
      <c r="AF474" s="60">
        <f>IF(G474&gt;'Scope 3 Ratios'!$B$5,(G474-'Scope 3 Ratios'!$B$5)*('Scope 3 Ratios'!$B$6/'Scope 3 Ratios'!$B$5),0)</f>
        <v>332.856</v>
      </c>
      <c r="AG474" s="60">
        <f>J474*IF(I474="SSD",'Scope 3 Ratios'!$B$9,'Scope 3 Ratios'!$B$8)</f>
        <v>0</v>
      </c>
      <c r="AH474" s="60">
        <f>IF(K474&lt;&gt;"N/A",K474*'Scope 3 Ratios'!$B$10,0)</f>
        <v>0</v>
      </c>
      <c r="AI474" s="60">
        <f>(VLOOKUP($E474,'AWS Platforms Ratios'!$A$2:$O$25,3,FALSE)-1)*'Scope 3 Ratios'!$B$7</f>
        <v>100</v>
      </c>
      <c r="AJ474" s="60">
        <f>'Scope 3 Ratios'!$B$2+AF474+AG474+AH474+AI474</f>
        <v>1432.856</v>
      </c>
      <c r="AK474" s="60">
        <f>AJ474*'Scope 3 Ratios'!$B$4*(C474/D474)</f>
        <v>9.213323045</v>
      </c>
      <c r="AL474" s="61" t="s">
        <v>404</v>
      </c>
    </row>
    <row r="475" ht="15.0" customHeight="1">
      <c r="A475" s="56" t="s">
        <v>794</v>
      </c>
      <c r="B475" s="56" t="s">
        <v>264</v>
      </c>
      <c r="C475" s="56">
        <v>40.0</v>
      </c>
      <c r="D475" s="56">
        <f>VLOOKUP(E475,'AWS Platforms Ratios'!$A$2:$B$25,2,FALSE)</f>
        <v>48</v>
      </c>
      <c r="E475" s="57" t="s">
        <v>225</v>
      </c>
      <c r="F475" s="56">
        <v>160.0</v>
      </c>
      <c r="G475" s="56">
        <v>256.0</v>
      </c>
      <c r="H475" s="57" t="s">
        <v>71</v>
      </c>
      <c r="I475" s="56" t="s">
        <v>72</v>
      </c>
      <c r="J475" s="56">
        <v>0.0</v>
      </c>
      <c r="K475" s="58" t="s">
        <v>73</v>
      </c>
      <c r="L475" s="58" t="s">
        <v>73</v>
      </c>
      <c r="M475" s="58" t="s">
        <v>73</v>
      </c>
      <c r="N475" s="58" t="s">
        <v>73</v>
      </c>
      <c r="O475" s="59">
        <f>($C475/$D475)*VLOOKUP($E475,'AWS Platforms Ratios'!$A$2:$O$25,7,FALSE)</f>
        <v>24.12413793</v>
      </c>
      <c r="P475" s="59">
        <f>($C475/$D475)*VLOOKUP($E475,'AWS Platforms Ratios'!$A$2:$O$25,8,FALSE)</f>
        <v>68.86896552</v>
      </c>
      <c r="Q475" s="59">
        <f>($C475/$D475)*VLOOKUP($E475,'AWS Platforms Ratios'!$A$2:$O$25,9,FALSE)</f>
        <v>141.6482759</v>
      </c>
      <c r="R475" s="59">
        <f>($C475/$D475)*VLOOKUP($E475,'AWS Platforms Ratios'!$A$2:$O$25,10,FALSE)</f>
        <v>193.8844828</v>
      </c>
      <c r="S475" s="59">
        <f>$F475*VLOOKUP($E475,'AWS Platforms Ratios'!$A$2:$O$25,11,FALSE)</f>
        <v>32</v>
      </c>
      <c r="T475" s="59">
        <f>$F475*VLOOKUP($E475,'AWS Platforms Ratios'!$A$2:$O$25,12,FALSE)</f>
        <v>48</v>
      </c>
      <c r="U475" s="59">
        <f>$F475*VLOOKUP($E475,'AWS Platforms Ratios'!$A$2:$O$25,13,FALSE)</f>
        <v>64</v>
      </c>
      <c r="V475" s="59">
        <f>$F475*VLOOKUP($E475,'AWS Platforms Ratios'!$A$2:$O$25,14,FALSE)</f>
        <v>96</v>
      </c>
      <c r="W475" s="60">
        <f>IF($K475&lt;&gt;"N/A",$M475*(VLOOKUP($L475,'GPU Specs &amp; Ratios'!$B$2:$I$8,5,FALSE)),0)</f>
        <v>0</v>
      </c>
      <c r="X475" s="60">
        <f>IF($K475&lt;&gt;"N/A",$M475*(VLOOKUP($L475,'GPU Specs &amp; Ratios'!$B$2:$I$8,6,FALSE)),0)</f>
        <v>0</v>
      </c>
      <c r="Y475" s="60">
        <f>IF($K475&lt;&gt;"N/A",$M475*(VLOOKUP($L475,'GPU Specs &amp; Ratios'!$B$2:$I$8,7,FALSE)),0)</f>
        <v>0</v>
      </c>
      <c r="Z475" s="60">
        <f>IF($K475&lt;&gt;"N/A",$M475*(VLOOKUP($L475,'GPU Specs &amp; Ratios'!$B$2:$I$8,8,FALSE)),0)</f>
        <v>0</v>
      </c>
      <c r="AA475" s="60">
        <f>(C475/D475)*VLOOKUP($E475,'AWS Platforms Ratios'!$A$2:$O$25,15,FALSE)</f>
        <v>40</v>
      </c>
      <c r="AB475" s="60">
        <f t="shared" ref="AB475:AE475" si="475">O475+S475+W475+$AA475</f>
        <v>96.12413793</v>
      </c>
      <c r="AC475" s="60">
        <f t="shared" si="475"/>
        <v>156.8689655</v>
      </c>
      <c r="AD475" s="60">
        <f t="shared" si="475"/>
        <v>245.6482759</v>
      </c>
      <c r="AE475" s="60">
        <f t="shared" si="475"/>
        <v>329.8844828</v>
      </c>
      <c r="AF475" s="60">
        <f>IF(G475&gt;'Scope 3 Ratios'!$B$5,(G475-'Scope 3 Ratios'!$B$5)*('Scope 3 Ratios'!$B$6/'Scope 3 Ratios'!$B$5),0)</f>
        <v>332.856</v>
      </c>
      <c r="AG475" s="60">
        <f>J475*IF(I475="SSD",'Scope 3 Ratios'!$B$9,'Scope 3 Ratios'!$B$8)</f>
        <v>0</v>
      </c>
      <c r="AH475" s="60">
        <f>IF(K475&lt;&gt;"N/A",K475*'Scope 3 Ratios'!$B$10,0)</f>
        <v>0</v>
      </c>
      <c r="AI475" s="60">
        <f>(VLOOKUP($E475,'AWS Platforms Ratios'!$A$2:$O$25,3,FALSE)-1)*'Scope 3 Ratios'!$B$7</f>
        <v>100</v>
      </c>
      <c r="AJ475" s="60">
        <f>'Scope 3 Ratios'!$B$2+AF475+AG475+AH475+AI475</f>
        <v>1432.856</v>
      </c>
      <c r="AK475" s="60">
        <f>AJ475*'Scope 3 Ratios'!$B$4*(C475/D475)</f>
        <v>34.54996142</v>
      </c>
      <c r="AL475" s="61" t="s">
        <v>404</v>
      </c>
    </row>
    <row r="476" ht="15.0" customHeight="1">
      <c r="A476" s="56" t="s">
        <v>795</v>
      </c>
      <c r="B476" s="56" t="s">
        <v>395</v>
      </c>
      <c r="C476" s="56">
        <v>1.0</v>
      </c>
      <c r="D476" s="56">
        <f>VLOOKUP(E476,'AWS Platforms Ratios'!$A$2:$B$25,2,FALSE)</f>
        <v>32</v>
      </c>
      <c r="E476" s="57" t="s">
        <v>90</v>
      </c>
      <c r="F476" s="56">
        <v>3.75</v>
      </c>
      <c r="G476" s="56">
        <v>240.0</v>
      </c>
      <c r="H476" s="57" t="s">
        <v>396</v>
      </c>
      <c r="I476" s="56" t="s">
        <v>85</v>
      </c>
      <c r="J476" s="56">
        <v>2.0</v>
      </c>
      <c r="K476" s="58" t="s">
        <v>73</v>
      </c>
      <c r="L476" s="58" t="s">
        <v>73</v>
      </c>
      <c r="M476" s="58" t="s">
        <v>73</v>
      </c>
      <c r="N476" s="58" t="s">
        <v>73</v>
      </c>
      <c r="O476" s="59">
        <f>($C476/$D476)*VLOOKUP($E476,'AWS Platforms Ratios'!$A$2:$O$25,7,FALSE)</f>
        <v>0.8669612069</v>
      </c>
      <c r="P476" s="59">
        <f>($C476/$D476)*VLOOKUP($E476,'AWS Platforms Ratios'!$A$2:$O$25,8,FALSE)</f>
        <v>2.474978448</v>
      </c>
      <c r="Q476" s="59">
        <f>($C476/$D476)*VLOOKUP($E476,'AWS Platforms Ratios'!$A$2:$O$25,9,FALSE)</f>
        <v>5.090484914</v>
      </c>
      <c r="R476" s="59">
        <f>($C476/$D476)*VLOOKUP($E476,'AWS Platforms Ratios'!$A$2:$O$25,10,FALSE)</f>
        <v>6.967723599</v>
      </c>
      <c r="S476" s="59">
        <f>$F476*VLOOKUP($E476,'AWS Platforms Ratios'!$A$2:$O$25,11,FALSE)</f>
        <v>0.75</v>
      </c>
      <c r="T476" s="59">
        <f>$F476*VLOOKUP($E476,'AWS Platforms Ratios'!$A$2:$O$25,12,FALSE)</f>
        <v>1.125</v>
      </c>
      <c r="U476" s="59">
        <f>$F476*VLOOKUP($E476,'AWS Platforms Ratios'!$A$2:$O$25,13,FALSE)</f>
        <v>1.5</v>
      </c>
      <c r="V476" s="59">
        <f>$F476*VLOOKUP($E476,'AWS Platforms Ratios'!$A$2:$O$25,14,FALSE)</f>
        <v>2.25</v>
      </c>
      <c r="W476" s="60">
        <f>IF($K476&lt;&gt;"N/A",$M476*(VLOOKUP($L476,'GPU Specs &amp; Ratios'!$B$2:$I$8,5,FALSE)),0)</f>
        <v>0</v>
      </c>
      <c r="X476" s="60">
        <f>IF($K476&lt;&gt;"N/A",$M476*(VLOOKUP($L476,'GPU Specs &amp; Ratios'!$B$2:$I$8,6,FALSE)),0)</f>
        <v>0</v>
      </c>
      <c r="Y476" s="60">
        <f>IF($K476&lt;&gt;"N/A",$M476*(VLOOKUP($L476,'GPU Specs &amp; Ratios'!$B$2:$I$8,7,FALSE)),0)</f>
        <v>0</v>
      </c>
      <c r="Z476" s="60">
        <f>IF($K476&lt;&gt;"N/A",$M476*(VLOOKUP($L476,'GPU Specs &amp; Ratios'!$B$2:$I$8,8,FALSE)),0)</f>
        <v>0</v>
      </c>
      <c r="AA476" s="60">
        <f>(C476/D476)*VLOOKUP($E476,'AWS Platforms Ratios'!$A$2:$O$25,15,FALSE)</f>
        <v>1.4375</v>
      </c>
      <c r="AB476" s="60">
        <f t="shared" ref="AB476:AE476" si="476">O476+S476+W476+$AA476</f>
        <v>3.054461207</v>
      </c>
      <c r="AC476" s="60">
        <f t="shared" si="476"/>
        <v>5.037478448</v>
      </c>
      <c r="AD476" s="60">
        <f t="shared" si="476"/>
        <v>8.027984914</v>
      </c>
      <c r="AE476" s="60">
        <f t="shared" si="476"/>
        <v>10.6552236</v>
      </c>
      <c r="AF476" s="60">
        <f>IF(G476&gt;'Scope 3 Ratios'!$B$5,(G476-'Scope 3 Ratios'!$B$5)*('Scope 3 Ratios'!$B$6/'Scope 3 Ratios'!$B$5),0)</f>
        <v>310.6656</v>
      </c>
      <c r="AG476" s="60">
        <f>J476*IF(I476="SSD",'Scope 3 Ratios'!$B$9,'Scope 3 Ratios'!$B$8)</f>
        <v>200</v>
      </c>
      <c r="AH476" s="60">
        <f>IF(K476&lt;&gt;"N/A",K476*'Scope 3 Ratios'!$B$10,0)</f>
        <v>0</v>
      </c>
      <c r="AI476" s="60">
        <f>(VLOOKUP($E476,'AWS Platforms Ratios'!$A$2:$O$25,3,FALSE)-1)*'Scope 3 Ratios'!$B$7</f>
        <v>100</v>
      </c>
      <c r="AJ476" s="60">
        <f>'Scope 3 Ratios'!$B$2+AF476+AG476+AH476+AI476</f>
        <v>1610.6656</v>
      </c>
      <c r="AK476" s="60">
        <f>AJ476*'Scope 3 Ratios'!$B$4*(C476/D476)</f>
        <v>1.456403356</v>
      </c>
      <c r="AL476" s="61" t="s">
        <v>397</v>
      </c>
    </row>
    <row r="477" ht="15.0" customHeight="1">
      <c r="A477" s="56" t="s">
        <v>796</v>
      </c>
      <c r="B477" s="56" t="s">
        <v>395</v>
      </c>
      <c r="C477" s="56">
        <v>2.0</v>
      </c>
      <c r="D477" s="56">
        <f>VLOOKUP(E477,'AWS Platforms Ratios'!$A$2:$B$25,2,FALSE)</f>
        <v>32</v>
      </c>
      <c r="E477" s="57" t="s">
        <v>90</v>
      </c>
      <c r="F477" s="56">
        <v>7.5</v>
      </c>
      <c r="G477" s="56">
        <v>240.0</v>
      </c>
      <c r="H477" s="57" t="s">
        <v>399</v>
      </c>
      <c r="I477" s="56" t="s">
        <v>85</v>
      </c>
      <c r="J477" s="56">
        <v>2.0</v>
      </c>
      <c r="K477" s="58" t="s">
        <v>73</v>
      </c>
      <c r="L477" s="58" t="s">
        <v>73</v>
      </c>
      <c r="M477" s="58" t="s">
        <v>73</v>
      </c>
      <c r="N477" s="58" t="s">
        <v>73</v>
      </c>
      <c r="O477" s="59">
        <f>($C477/$D477)*VLOOKUP($E477,'AWS Platforms Ratios'!$A$2:$O$25,7,FALSE)</f>
        <v>1.733922414</v>
      </c>
      <c r="P477" s="59">
        <f>($C477/$D477)*VLOOKUP($E477,'AWS Platforms Ratios'!$A$2:$O$25,8,FALSE)</f>
        <v>4.949956897</v>
      </c>
      <c r="Q477" s="59">
        <f>($C477/$D477)*VLOOKUP($E477,'AWS Platforms Ratios'!$A$2:$O$25,9,FALSE)</f>
        <v>10.18096983</v>
      </c>
      <c r="R477" s="59">
        <f>($C477/$D477)*VLOOKUP($E477,'AWS Platforms Ratios'!$A$2:$O$25,10,FALSE)</f>
        <v>13.9354472</v>
      </c>
      <c r="S477" s="59">
        <f>$F477*VLOOKUP($E477,'AWS Platforms Ratios'!$A$2:$O$25,11,FALSE)</f>
        <v>1.5</v>
      </c>
      <c r="T477" s="59">
        <f>$F477*VLOOKUP($E477,'AWS Platforms Ratios'!$A$2:$O$25,12,FALSE)</f>
        <v>2.25</v>
      </c>
      <c r="U477" s="59">
        <f>$F477*VLOOKUP($E477,'AWS Platforms Ratios'!$A$2:$O$25,13,FALSE)</f>
        <v>3</v>
      </c>
      <c r="V477" s="59">
        <f>$F477*VLOOKUP($E477,'AWS Platforms Ratios'!$A$2:$O$25,14,FALSE)</f>
        <v>4.5</v>
      </c>
      <c r="W477" s="60">
        <f>IF($K477&lt;&gt;"N/A",$M477*(VLOOKUP($L477,'GPU Specs &amp; Ratios'!$B$2:$I$8,5,FALSE)),0)</f>
        <v>0</v>
      </c>
      <c r="X477" s="60">
        <f>IF($K477&lt;&gt;"N/A",$M477*(VLOOKUP($L477,'GPU Specs &amp; Ratios'!$B$2:$I$8,6,FALSE)),0)</f>
        <v>0</v>
      </c>
      <c r="Y477" s="60">
        <f>IF($K477&lt;&gt;"N/A",$M477*(VLOOKUP($L477,'GPU Specs &amp; Ratios'!$B$2:$I$8,7,FALSE)),0)</f>
        <v>0</v>
      </c>
      <c r="Z477" s="60">
        <f>IF($K477&lt;&gt;"N/A",$M477*(VLOOKUP($L477,'GPU Specs &amp; Ratios'!$B$2:$I$8,8,FALSE)),0)</f>
        <v>0</v>
      </c>
      <c r="AA477" s="60">
        <f>(C477/D477)*VLOOKUP($E477,'AWS Platforms Ratios'!$A$2:$O$25,15,FALSE)</f>
        <v>2.875</v>
      </c>
      <c r="AB477" s="60">
        <f t="shared" ref="AB477:AE477" si="477">O477+S477+W477+$AA477</f>
        <v>6.108922414</v>
      </c>
      <c r="AC477" s="60">
        <f t="shared" si="477"/>
        <v>10.0749569</v>
      </c>
      <c r="AD477" s="60">
        <f t="shared" si="477"/>
        <v>16.05596983</v>
      </c>
      <c r="AE477" s="60">
        <f t="shared" si="477"/>
        <v>21.3104472</v>
      </c>
      <c r="AF477" s="60">
        <f>IF(G477&gt;'Scope 3 Ratios'!$B$5,(G477-'Scope 3 Ratios'!$B$5)*('Scope 3 Ratios'!$B$6/'Scope 3 Ratios'!$B$5),0)</f>
        <v>310.6656</v>
      </c>
      <c r="AG477" s="60">
        <f>J477*IF(I477="SSD",'Scope 3 Ratios'!$B$9,'Scope 3 Ratios'!$B$8)</f>
        <v>200</v>
      </c>
      <c r="AH477" s="60">
        <f>IF(K477&lt;&gt;"N/A",K477*'Scope 3 Ratios'!$B$10,0)</f>
        <v>0</v>
      </c>
      <c r="AI477" s="60">
        <f>(VLOOKUP($E477,'AWS Platforms Ratios'!$A$2:$O$25,3,FALSE)-1)*'Scope 3 Ratios'!$B$7</f>
        <v>100</v>
      </c>
      <c r="AJ477" s="60">
        <f>'Scope 3 Ratios'!$B$2+AF477+AG477+AH477+AI477</f>
        <v>1610.6656</v>
      </c>
      <c r="AK477" s="60">
        <f>AJ477*'Scope 3 Ratios'!$B$4*(C477/D477)</f>
        <v>2.912806713</v>
      </c>
      <c r="AL477" s="61" t="s">
        <v>397</v>
      </c>
    </row>
    <row r="478" ht="15.0" customHeight="1">
      <c r="A478" s="56" t="s">
        <v>797</v>
      </c>
      <c r="B478" s="56" t="s">
        <v>401</v>
      </c>
      <c r="C478" s="56">
        <v>4.0</v>
      </c>
      <c r="D478" s="56">
        <f>VLOOKUP(E478,'AWS Platforms Ratios'!$A$2:$B$25,2,FALSE)</f>
        <v>32</v>
      </c>
      <c r="E478" s="57" t="s">
        <v>90</v>
      </c>
      <c r="F478" s="56">
        <v>15.0</v>
      </c>
      <c r="G478" s="56">
        <v>240.0</v>
      </c>
      <c r="H478" s="57" t="s">
        <v>103</v>
      </c>
      <c r="I478" s="56" t="s">
        <v>85</v>
      </c>
      <c r="J478" s="56">
        <v>2.0</v>
      </c>
      <c r="K478" s="58" t="s">
        <v>73</v>
      </c>
      <c r="L478" s="58" t="s">
        <v>73</v>
      </c>
      <c r="M478" s="58" t="s">
        <v>73</v>
      </c>
      <c r="N478" s="58" t="s">
        <v>73</v>
      </c>
      <c r="O478" s="59">
        <f>($C478/$D478)*VLOOKUP($E478,'AWS Platforms Ratios'!$A$2:$O$25,7,FALSE)</f>
        <v>3.467844828</v>
      </c>
      <c r="P478" s="59">
        <f>($C478/$D478)*VLOOKUP($E478,'AWS Platforms Ratios'!$A$2:$O$25,8,FALSE)</f>
        <v>9.899913793</v>
      </c>
      <c r="Q478" s="59">
        <f>($C478/$D478)*VLOOKUP($E478,'AWS Platforms Ratios'!$A$2:$O$25,9,FALSE)</f>
        <v>20.36193966</v>
      </c>
      <c r="R478" s="59">
        <f>($C478/$D478)*VLOOKUP($E478,'AWS Platforms Ratios'!$A$2:$O$25,10,FALSE)</f>
        <v>27.8708944</v>
      </c>
      <c r="S478" s="59">
        <f>$F478*VLOOKUP($E478,'AWS Platforms Ratios'!$A$2:$O$25,11,FALSE)</f>
        <v>3</v>
      </c>
      <c r="T478" s="59">
        <f>$F478*VLOOKUP($E478,'AWS Platforms Ratios'!$A$2:$O$25,12,FALSE)</f>
        <v>4.5</v>
      </c>
      <c r="U478" s="59">
        <f>$F478*VLOOKUP($E478,'AWS Platforms Ratios'!$A$2:$O$25,13,FALSE)</f>
        <v>6</v>
      </c>
      <c r="V478" s="59">
        <f>$F478*VLOOKUP($E478,'AWS Platforms Ratios'!$A$2:$O$25,14,FALSE)</f>
        <v>9</v>
      </c>
      <c r="W478" s="60">
        <f>IF($K478&lt;&gt;"N/A",$M478*(VLOOKUP($L478,'GPU Specs &amp; Ratios'!$B$2:$I$8,5,FALSE)),0)</f>
        <v>0</v>
      </c>
      <c r="X478" s="60">
        <f>IF($K478&lt;&gt;"N/A",$M478*(VLOOKUP($L478,'GPU Specs &amp; Ratios'!$B$2:$I$8,6,FALSE)),0)</f>
        <v>0</v>
      </c>
      <c r="Y478" s="60">
        <f>IF($K478&lt;&gt;"N/A",$M478*(VLOOKUP($L478,'GPU Specs &amp; Ratios'!$B$2:$I$8,7,FALSE)),0)</f>
        <v>0</v>
      </c>
      <c r="Z478" s="60">
        <f>IF($K478&lt;&gt;"N/A",$M478*(VLOOKUP($L478,'GPU Specs &amp; Ratios'!$B$2:$I$8,8,FALSE)),0)</f>
        <v>0</v>
      </c>
      <c r="AA478" s="60">
        <f>(C478/D478)*VLOOKUP($E478,'AWS Platforms Ratios'!$A$2:$O$25,15,FALSE)</f>
        <v>5.75</v>
      </c>
      <c r="AB478" s="60">
        <f t="shared" ref="AB478:AE478" si="478">O478+S478+W478+$AA478</f>
        <v>12.21784483</v>
      </c>
      <c r="AC478" s="60">
        <f t="shared" si="478"/>
        <v>20.14991379</v>
      </c>
      <c r="AD478" s="60">
        <f t="shared" si="478"/>
        <v>32.11193966</v>
      </c>
      <c r="AE478" s="60">
        <f t="shared" si="478"/>
        <v>42.6208944</v>
      </c>
      <c r="AF478" s="60">
        <f>IF(G478&gt;'Scope 3 Ratios'!$B$5,(G478-'Scope 3 Ratios'!$B$5)*('Scope 3 Ratios'!$B$6/'Scope 3 Ratios'!$B$5),0)</f>
        <v>310.6656</v>
      </c>
      <c r="AG478" s="60">
        <f>J478*IF(I478="SSD",'Scope 3 Ratios'!$B$9,'Scope 3 Ratios'!$B$8)</f>
        <v>200</v>
      </c>
      <c r="AH478" s="60">
        <f>IF(K478&lt;&gt;"N/A",K478*'Scope 3 Ratios'!$B$10,0)</f>
        <v>0</v>
      </c>
      <c r="AI478" s="60">
        <f>(VLOOKUP($E478,'AWS Platforms Ratios'!$A$2:$O$25,3,FALSE)-1)*'Scope 3 Ratios'!$B$7</f>
        <v>100</v>
      </c>
      <c r="AJ478" s="60">
        <f>'Scope 3 Ratios'!$B$2+AF478+AG478+AH478+AI478</f>
        <v>1610.6656</v>
      </c>
      <c r="AK478" s="60">
        <f>AJ478*'Scope 3 Ratios'!$B$4*(C478/D478)</f>
        <v>5.825613426</v>
      </c>
      <c r="AL478" s="61" t="s">
        <v>397</v>
      </c>
    </row>
    <row r="479" ht="15.0" customHeight="1">
      <c r="A479" s="56" t="s">
        <v>798</v>
      </c>
      <c r="B479" s="56" t="s">
        <v>401</v>
      </c>
      <c r="C479" s="56">
        <v>8.0</v>
      </c>
      <c r="D479" s="56">
        <f>VLOOKUP(E479,'AWS Platforms Ratios'!$A$2:$B$25,2,FALSE)</f>
        <v>32</v>
      </c>
      <c r="E479" s="57" t="s">
        <v>90</v>
      </c>
      <c r="F479" s="56">
        <v>30.0</v>
      </c>
      <c r="G479" s="56">
        <v>240.0</v>
      </c>
      <c r="H479" s="57" t="s">
        <v>105</v>
      </c>
      <c r="I479" s="56" t="s">
        <v>85</v>
      </c>
      <c r="J479" s="56">
        <v>2.0</v>
      </c>
      <c r="K479" s="58" t="s">
        <v>73</v>
      </c>
      <c r="L479" s="58" t="s">
        <v>73</v>
      </c>
      <c r="M479" s="58" t="s">
        <v>73</v>
      </c>
      <c r="N479" s="58" t="s">
        <v>73</v>
      </c>
      <c r="O479" s="59">
        <f>($C479/$D479)*VLOOKUP($E479,'AWS Platforms Ratios'!$A$2:$O$25,7,FALSE)</f>
        <v>6.935689655</v>
      </c>
      <c r="P479" s="59">
        <f>($C479/$D479)*VLOOKUP($E479,'AWS Platforms Ratios'!$A$2:$O$25,8,FALSE)</f>
        <v>19.79982759</v>
      </c>
      <c r="Q479" s="59">
        <f>($C479/$D479)*VLOOKUP($E479,'AWS Platforms Ratios'!$A$2:$O$25,9,FALSE)</f>
        <v>40.72387931</v>
      </c>
      <c r="R479" s="59">
        <f>($C479/$D479)*VLOOKUP($E479,'AWS Platforms Ratios'!$A$2:$O$25,10,FALSE)</f>
        <v>55.74178879</v>
      </c>
      <c r="S479" s="59">
        <f>$F479*VLOOKUP($E479,'AWS Platforms Ratios'!$A$2:$O$25,11,FALSE)</f>
        <v>6</v>
      </c>
      <c r="T479" s="59">
        <f>$F479*VLOOKUP($E479,'AWS Platforms Ratios'!$A$2:$O$25,12,FALSE)</f>
        <v>9</v>
      </c>
      <c r="U479" s="59">
        <f>$F479*VLOOKUP($E479,'AWS Platforms Ratios'!$A$2:$O$25,13,FALSE)</f>
        <v>12</v>
      </c>
      <c r="V479" s="59">
        <f>$F479*VLOOKUP($E479,'AWS Platforms Ratios'!$A$2:$O$25,14,FALSE)</f>
        <v>18</v>
      </c>
      <c r="W479" s="60">
        <f>IF($K479&lt;&gt;"N/A",$M479*(VLOOKUP($L479,'GPU Specs &amp; Ratios'!$B$2:$I$8,5,FALSE)),0)</f>
        <v>0</v>
      </c>
      <c r="X479" s="60">
        <f>IF($K479&lt;&gt;"N/A",$M479*(VLOOKUP($L479,'GPU Specs &amp; Ratios'!$B$2:$I$8,6,FALSE)),0)</f>
        <v>0</v>
      </c>
      <c r="Y479" s="60">
        <f>IF($K479&lt;&gt;"N/A",$M479*(VLOOKUP($L479,'GPU Specs &amp; Ratios'!$B$2:$I$8,7,FALSE)),0)</f>
        <v>0</v>
      </c>
      <c r="Z479" s="60">
        <f>IF($K479&lt;&gt;"N/A",$M479*(VLOOKUP($L479,'GPU Specs &amp; Ratios'!$B$2:$I$8,8,FALSE)),0)</f>
        <v>0</v>
      </c>
      <c r="AA479" s="60">
        <f>(C479/D479)*VLOOKUP($E479,'AWS Platforms Ratios'!$A$2:$O$25,15,FALSE)</f>
        <v>11.5</v>
      </c>
      <c r="AB479" s="60">
        <f t="shared" ref="AB479:AE479" si="479">O479+S479+W479+$AA479</f>
        <v>24.43568966</v>
      </c>
      <c r="AC479" s="60">
        <f t="shared" si="479"/>
        <v>40.29982759</v>
      </c>
      <c r="AD479" s="60">
        <f t="shared" si="479"/>
        <v>64.22387931</v>
      </c>
      <c r="AE479" s="60">
        <f t="shared" si="479"/>
        <v>85.24178879</v>
      </c>
      <c r="AF479" s="60">
        <f>IF(G479&gt;'Scope 3 Ratios'!$B$5,(G479-'Scope 3 Ratios'!$B$5)*('Scope 3 Ratios'!$B$6/'Scope 3 Ratios'!$B$5),0)</f>
        <v>310.6656</v>
      </c>
      <c r="AG479" s="60">
        <f>J479*IF(I479="SSD",'Scope 3 Ratios'!$B$9,'Scope 3 Ratios'!$B$8)</f>
        <v>200</v>
      </c>
      <c r="AH479" s="60">
        <f>IF(K479&lt;&gt;"N/A",K479*'Scope 3 Ratios'!$B$10,0)</f>
        <v>0</v>
      </c>
      <c r="AI479" s="60">
        <f>(VLOOKUP($E479,'AWS Platforms Ratios'!$A$2:$O$25,3,FALSE)-1)*'Scope 3 Ratios'!$B$7</f>
        <v>100</v>
      </c>
      <c r="AJ479" s="60">
        <f>'Scope 3 Ratios'!$B$2+AF479+AG479+AH479+AI479</f>
        <v>1610.6656</v>
      </c>
      <c r="AK479" s="60">
        <f>AJ479*'Scope 3 Ratios'!$B$4*(C479/D479)</f>
        <v>11.65122685</v>
      </c>
      <c r="AL479" s="61" t="s">
        <v>397</v>
      </c>
    </row>
    <row r="480" ht="15.0" customHeight="1">
      <c r="A480" s="56" t="s">
        <v>799</v>
      </c>
      <c r="B480" s="56" t="s">
        <v>119</v>
      </c>
      <c r="C480" s="56">
        <v>2.0</v>
      </c>
      <c r="D480" s="56">
        <f>VLOOKUP(E480,'AWS Platforms Ratios'!$A$2:$B$25,2,FALSE)</f>
        <v>72</v>
      </c>
      <c r="E480" s="57" t="s">
        <v>120</v>
      </c>
      <c r="F480" s="56">
        <v>4.0</v>
      </c>
      <c r="G480" s="56">
        <v>192.0</v>
      </c>
      <c r="H480" s="57" t="s">
        <v>71</v>
      </c>
      <c r="I480" s="56" t="s">
        <v>72</v>
      </c>
      <c r="J480" s="56">
        <v>0.0</v>
      </c>
      <c r="K480" s="58" t="s">
        <v>73</v>
      </c>
      <c r="L480" s="58" t="s">
        <v>73</v>
      </c>
      <c r="M480" s="58" t="s">
        <v>73</v>
      </c>
      <c r="N480" s="58" t="s">
        <v>73</v>
      </c>
      <c r="O480" s="59">
        <f>($C480/$D480)*VLOOKUP($E480,'AWS Platforms Ratios'!$A$2:$O$25,7,FALSE)</f>
        <v>1.407222222</v>
      </c>
      <c r="P480" s="59">
        <f>($C480/$D480)*VLOOKUP($E480,'AWS Platforms Ratios'!$A$2:$O$25,8,FALSE)</f>
        <v>3.745833333</v>
      </c>
      <c r="Q480" s="59">
        <f>($C480/$D480)*VLOOKUP($E480,'AWS Platforms Ratios'!$A$2:$O$25,9,FALSE)</f>
        <v>8.144722222</v>
      </c>
      <c r="R480" s="59">
        <f>($C480/$D480)*VLOOKUP($E480,'AWS Platforms Ratios'!$A$2:$O$25,10,FALSE)</f>
        <v>11.76888889</v>
      </c>
      <c r="S480" s="59">
        <f>$F480*VLOOKUP($E480,'AWS Platforms Ratios'!$A$2:$O$25,11,FALSE)</f>
        <v>0.7779166667</v>
      </c>
      <c r="T480" s="59">
        <f>$F480*VLOOKUP($E480,'AWS Platforms Ratios'!$A$2:$O$25,12,FALSE)</f>
        <v>1.405208333</v>
      </c>
      <c r="U480" s="59">
        <f>$F480*VLOOKUP($E480,'AWS Platforms Ratios'!$A$2:$O$25,13,FALSE)</f>
        <v>2.4675</v>
      </c>
      <c r="V480" s="59">
        <f>$F480*VLOOKUP($E480,'AWS Platforms Ratios'!$A$2:$O$25,14,FALSE)</f>
        <v>3.529791667</v>
      </c>
      <c r="W480" s="60">
        <f>IF($K480&lt;&gt;"N/A",$M480*(VLOOKUP($L480,'GPU Specs &amp; Ratios'!$B$2:$I$8,5,FALSE)),0)</f>
        <v>0</v>
      </c>
      <c r="X480" s="60">
        <f>IF($K480&lt;&gt;"N/A",$M480*(VLOOKUP($L480,'GPU Specs &amp; Ratios'!$B$2:$I$8,6,FALSE)),0)</f>
        <v>0</v>
      </c>
      <c r="Y480" s="60">
        <f>IF($K480&lt;&gt;"N/A",$M480*(VLOOKUP($L480,'GPU Specs &amp; Ratios'!$B$2:$I$8,7,FALSE)),0)</f>
        <v>0</v>
      </c>
      <c r="Z480" s="60">
        <f>IF($K480&lt;&gt;"N/A",$M480*(VLOOKUP($L480,'GPU Specs &amp; Ratios'!$B$2:$I$8,8,FALSE)),0)</f>
        <v>0</v>
      </c>
      <c r="AA480" s="60">
        <f>(C480/D480)*VLOOKUP($E480,'AWS Platforms Ratios'!$A$2:$O$25,15,FALSE)</f>
        <v>2.666666667</v>
      </c>
      <c r="AB480" s="60">
        <f t="shared" ref="AB480:AE480" si="480">O480+S480+W480+$AA480</f>
        <v>4.851805556</v>
      </c>
      <c r="AC480" s="60">
        <f t="shared" si="480"/>
        <v>7.817708333</v>
      </c>
      <c r="AD480" s="60">
        <f t="shared" si="480"/>
        <v>13.27888889</v>
      </c>
      <c r="AE480" s="60">
        <f t="shared" si="480"/>
        <v>17.96534722</v>
      </c>
      <c r="AF480" s="60">
        <f>IF(G480&gt;'Scope 3 Ratios'!$B$5,(G480-'Scope 3 Ratios'!$B$5)*('Scope 3 Ratios'!$B$6/'Scope 3 Ratios'!$B$5),0)</f>
        <v>244.0944</v>
      </c>
      <c r="AG480" s="60">
        <f>J480*IF(I480="SSD",'Scope 3 Ratios'!$B$9,'Scope 3 Ratios'!$B$8)</f>
        <v>0</v>
      </c>
      <c r="AH480" s="60">
        <f>IF(K480&lt;&gt;"N/A",K480*'Scope 3 Ratios'!$B$10,0)</f>
        <v>0</v>
      </c>
      <c r="AI480" s="60">
        <f>(VLOOKUP($E480,'AWS Platforms Ratios'!$A$2:$O$25,3,FALSE)-1)*'Scope 3 Ratios'!$B$7</f>
        <v>100</v>
      </c>
      <c r="AJ480" s="60">
        <f>'Scope 3 Ratios'!$B$2+AF480+AG480+AH480+AI480</f>
        <v>1344.0944</v>
      </c>
      <c r="AK480" s="60">
        <f>AJ480*'Scope 3 Ratios'!$B$4*(C480/D480)</f>
        <v>1.080322788</v>
      </c>
      <c r="AL480" s="61" t="s">
        <v>121</v>
      </c>
    </row>
    <row r="481" ht="15.0" customHeight="1">
      <c r="A481" s="56" t="s">
        <v>800</v>
      </c>
      <c r="B481" s="56" t="s">
        <v>119</v>
      </c>
      <c r="C481" s="56">
        <v>4.0</v>
      </c>
      <c r="D481" s="56">
        <f>VLOOKUP(E481,'AWS Platforms Ratios'!$A$2:$B$25,2,FALSE)</f>
        <v>72</v>
      </c>
      <c r="E481" s="57" t="s">
        <v>120</v>
      </c>
      <c r="F481" s="56">
        <v>8.0</v>
      </c>
      <c r="G481" s="56">
        <v>192.0</v>
      </c>
      <c r="H481" s="57" t="s">
        <v>71</v>
      </c>
      <c r="I481" s="56" t="s">
        <v>72</v>
      </c>
      <c r="J481" s="56">
        <v>0.0</v>
      </c>
      <c r="K481" s="58" t="s">
        <v>73</v>
      </c>
      <c r="L481" s="58" t="s">
        <v>73</v>
      </c>
      <c r="M481" s="58" t="s">
        <v>73</v>
      </c>
      <c r="N481" s="58" t="s">
        <v>73</v>
      </c>
      <c r="O481" s="59">
        <f>($C481/$D481)*VLOOKUP($E481,'AWS Platforms Ratios'!$A$2:$O$25,7,FALSE)</f>
        <v>2.814444444</v>
      </c>
      <c r="P481" s="59">
        <f>($C481/$D481)*VLOOKUP($E481,'AWS Platforms Ratios'!$A$2:$O$25,8,FALSE)</f>
        <v>7.491666667</v>
      </c>
      <c r="Q481" s="59">
        <f>($C481/$D481)*VLOOKUP($E481,'AWS Platforms Ratios'!$A$2:$O$25,9,FALSE)</f>
        <v>16.28944444</v>
      </c>
      <c r="R481" s="59">
        <f>($C481/$D481)*VLOOKUP($E481,'AWS Platforms Ratios'!$A$2:$O$25,10,FALSE)</f>
        <v>23.53777778</v>
      </c>
      <c r="S481" s="59">
        <f>$F481*VLOOKUP($E481,'AWS Platforms Ratios'!$A$2:$O$25,11,FALSE)</f>
        <v>1.555833333</v>
      </c>
      <c r="T481" s="59">
        <f>$F481*VLOOKUP($E481,'AWS Platforms Ratios'!$A$2:$O$25,12,FALSE)</f>
        <v>2.810416667</v>
      </c>
      <c r="U481" s="59">
        <f>$F481*VLOOKUP($E481,'AWS Platforms Ratios'!$A$2:$O$25,13,FALSE)</f>
        <v>4.935</v>
      </c>
      <c r="V481" s="59">
        <f>$F481*VLOOKUP($E481,'AWS Platforms Ratios'!$A$2:$O$25,14,FALSE)</f>
        <v>7.059583333</v>
      </c>
      <c r="W481" s="60">
        <f>IF($K481&lt;&gt;"N/A",$M481*(VLOOKUP($L481,'GPU Specs &amp; Ratios'!$B$2:$I$8,5,FALSE)),0)</f>
        <v>0</v>
      </c>
      <c r="X481" s="60">
        <f>IF($K481&lt;&gt;"N/A",$M481*(VLOOKUP($L481,'GPU Specs &amp; Ratios'!$B$2:$I$8,6,FALSE)),0)</f>
        <v>0</v>
      </c>
      <c r="Y481" s="60">
        <f>IF($K481&lt;&gt;"N/A",$M481*(VLOOKUP($L481,'GPU Specs &amp; Ratios'!$B$2:$I$8,7,FALSE)),0)</f>
        <v>0</v>
      </c>
      <c r="Z481" s="60">
        <f>IF($K481&lt;&gt;"N/A",$M481*(VLOOKUP($L481,'GPU Specs &amp; Ratios'!$B$2:$I$8,8,FALSE)),0)</f>
        <v>0</v>
      </c>
      <c r="AA481" s="60">
        <f>(C481/D481)*VLOOKUP($E481,'AWS Platforms Ratios'!$A$2:$O$25,15,FALSE)</f>
        <v>5.333333333</v>
      </c>
      <c r="AB481" s="60">
        <f t="shared" ref="AB481:AE481" si="481">O481+S481+W481+$AA481</f>
        <v>9.703611111</v>
      </c>
      <c r="AC481" s="60">
        <f t="shared" si="481"/>
        <v>15.63541667</v>
      </c>
      <c r="AD481" s="60">
        <f t="shared" si="481"/>
        <v>26.55777778</v>
      </c>
      <c r="AE481" s="60">
        <f t="shared" si="481"/>
        <v>35.93069444</v>
      </c>
      <c r="AF481" s="60">
        <f>IF(G481&gt;'Scope 3 Ratios'!$B$5,(G481-'Scope 3 Ratios'!$B$5)*('Scope 3 Ratios'!$B$6/'Scope 3 Ratios'!$B$5),0)</f>
        <v>244.0944</v>
      </c>
      <c r="AG481" s="60">
        <f>J481*IF(I481="SSD",'Scope 3 Ratios'!$B$9,'Scope 3 Ratios'!$B$8)</f>
        <v>0</v>
      </c>
      <c r="AH481" s="60">
        <f>IF(K481&lt;&gt;"N/A",K481*'Scope 3 Ratios'!$B$10,0)</f>
        <v>0</v>
      </c>
      <c r="AI481" s="60">
        <f>(VLOOKUP($E481,'AWS Platforms Ratios'!$A$2:$O$25,3,FALSE)-1)*'Scope 3 Ratios'!$B$7</f>
        <v>100</v>
      </c>
      <c r="AJ481" s="60">
        <f>'Scope 3 Ratios'!$B$2+AF481+AG481+AH481+AI481</f>
        <v>1344.0944</v>
      </c>
      <c r="AK481" s="60">
        <f>AJ481*'Scope 3 Ratios'!$B$4*(C481/D481)</f>
        <v>2.160645576</v>
      </c>
      <c r="AL481" s="61" t="s">
        <v>121</v>
      </c>
    </row>
    <row r="482" ht="15.0" customHeight="1">
      <c r="A482" s="56" t="s">
        <v>801</v>
      </c>
      <c r="B482" s="56" t="s">
        <v>119</v>
      </c>
      <c r="C482" s="56">
        <v>8.0</v>
      </c>
      <c r="D482" s="56">
        <f>VLOOKUP(E482,'AWS Platforms Ratios'!$A$2:$B$25,2,FALSE)</f>
        <v>72</v>
      </c>
      <c r="E482" s="57" t="s">
        <v>120</v>
      </c>
      <c r="F482" s="56">
        <v>16.0</v>
      </c>
      <c r="G482" s="56">
        <v>192.0</v>
      </c>
      <c r="H482" s="57" t="s">
        <v>71</v>
      </c>
      <c r="I482" s="56" t="s">
        <v>72</v>
      </c>
      <c r="J482" s="56">
        <v>0.0</v>
      </c>
      <c r="K482" s="58" t="s">
        <v>73</v>
      </c>
      <c r="L482" s="58" t="s">
        <v>73</v>
      </c>
      <c r="M482" s="58" t="s">
        <v>73</v>
      </c>
      <c r="N482" s="58" t="s">
        <v>73</v>
      </c>
      <c r="O482" s="59">
        <f>($C482/$D482)*VLOOKUP($E482,'AWS Platforms Ratios'!$A$2:$O$25,7,FALSE)</f>
        <v>5.628888889</v>
      </c>
      <c r="P482" s="59">
        <f>($C482/$D482)*VLOOKUP($E482,'AWS Platforms Ratios'!$A$2:$O$25,8,FALSE)</f>
        <v>14.98333333</v>
      </c>
      <c r="Q482" s="59">
        <f>($C482/$D482)*VLOOKUP($E482,'AWS Platforms Ratios'!$A$2:$O$25,9,FALSE)</f>
        <v>32.57888889</v>
      </c>
      <c r="R482" s="59">
        <f>($C482/$D482)*VLOOKUP($E482,'AWS Platforms Ratios'!$A$2:$O$25,10,FALSE)</f>
        <v>47.07555556</v>
      </c>
      <c r="S482" s="59">
        <f>$F482*VLOOKUP($E482,'AWS Platforms Ratios'!$A$2:$O$25,11,FALSE)</f>
        <v>3.111666667</v>
      </c>
      <c r="T482" s="59">
        <f>$F482*VLOOKUP($E482,'AWS Platforms Ratios'!$A$2:$O$25,12,FALSE)</f>
        <v>5.620833333</v>
      </c>
      <c r="U482" s="59">
        <f>$F482*VLOOKUP($E482,'AWS Platforms Ratios'!$A$2:$O$25,13,FALSE)</f>
        <v>9.87</v>
      </c>
      <c r="V482" s="59">
        <f>$F482*VLOOKUP($E482,'AWS Platforms Ratios'!$A$2:$O$25,14,FALSE)</f>
        <v>14.11916667</v>
      </c>
      <c r="W482" s="60">
        <f>IF($K482&lt;&gt;"N/A",$M482*(VLOOKUP($L482,'GPU Specs &amp; Ratios'!$B$2:$I$8,5,FALSE)),0)</f>
        <v>0</v>
      </c>
      <c r="X482" s="60">
        <f>IF($K482&lt;&gt;"N/A",$M482*(VLOOKUP($L482,'GPU Specs &amp; Ratios'!$B$2:$I$8,6,FALSE)),0)</f>
        <v>0</v>
      </c>
      <c r="Y482" s="60">
        <f>IF($K482&lt;&gt;"N/A",$M482*(VLOOKUP($L482,'GPU Specs &amp; Ratios'!$B$2:$I$8,7,FALSE)),0)</f>
        <v>0</v>
      </c>
      <c r="Z482" s="60">
        <f>IF($K482&lt;&gt;"N/A",$M482*(VLOOKUP($L482,'GPU Specs &amp; Ratios'!$B$2:$I$8,8,FALSE)),0)</f>
        <v>0</v>
      </c>
      <c r="AA482" s="60">
        <f>(C482/D482)*VLOOKUP($E482,'AWS Platforms Ratios'!$A$2:$O$25,15,FALSE)</f>
        <v>10.66666667</v>
      </c>
      <c r="AB482" s="60">
        <f t="shared" ref="AB482:AE482" si="482">O482+S482+W482+$AA482</f>
        <v>19.40722222</v>
      </c>
      <c r="AC482" s="60">
        <f t="shared" si="482"/>
        <v>31.27083333</v>
      </c>
      <c r="AD482" s="60">
        <f t="shared" si="482"/>
        <v>53.11555556</v>
      </c>
      <c r="AE482" s="60">
        <f t="shared" si="482"/>
        <v>71.86138889</v>
      </c>
      <c r="AF482" s="60">
        <f>IF(G482&gt;'Scope 3 Ratios'!$B$5,(G482-'Scope 3 Ratios'!$B$5)*('Scope 3 Ratios'!$B$6/'Scope 3 Ratios'!$B$5),0)</f>
        <v>244.0944</v>
      </c>
      <c r="AG482" s="60">
        <f>J482*IF(I482="SSD",'Scope 3 Ratios'!$B$9,'Scope 3 Ratios'!$B$8)</f>
        <v>0</v>
      </c>
      <c r="AH482" s="60">
        <f>IF(K482&lt;&gt;"N/A",K482*'Scope 3 Ratios'!$B$10,0)</f>
        <v>0</v>
      </c>
      <c r="AI482" s="60">
        <f>(VLOOKUP($E482,'AWS Platforms Ratios'!$A$2:$O$25,3,FALSE)-1)*'Scope 3 Ratios'!$B$7</f>
        <v>100</v>
      </c>
      <c r="AJ482" s="60">
        <f>'Scope 3 Ratios'!$B$2+AF482+AG482+AH482+AI482</f>
        <v>1344.0944</v>
      </c>
      <c r="AK482" s="60">
        <f>AJ482*'Scope 3 Ratios'!$B$4*(C482/D482)</f>
        <v>4.321291152</v>
      </c>
      <c r="AL482" s="61" t="s">
        <v>121</v>
      </c>
    </row>
    <row r="483" ht="15.0" customHeight="1">
      <c r="A483" s="56" t="s">
        <v>802</v>
      </c>
      <c r="B483" s="56" t="s">
        <v>119</v>
      </c>
      <c r="C483" s="56">
        <v>16.0</v>
      </c>
      <c r="D483" s="56">
        <f>VLOOKUP(E483,'AWS Platforms Ratios'!$A$2:$B$25,2,FALSE)</f>
        <v>72</v>
      </c>
      <c r="E483" s="57" t="s">
        <v>120</v>
      </c>
      <c r="F483" s="56">
        <v>32.0</v>
      </c>
      <c r="G483" s="56">
        <v>192.0</v>
      </c>
      <c r="H483" s="57" t="s">
        <v>71</v>
      </c>
      <c r="I483" s="56" t="s">
        <v>72</v>
      </c>
      <c r="J483" s="56">
        <v>0.0</v>
      </c>
      <c r="K483" s="58" t="s">
        <v>73</v>
      </c>
      <c r="L483" s="58" t="s">
        <v>73</v>
      </c>
      <c r="M483" s="58" t="s">
        <v>73</v>
      </c>
      <c r="N483" s="58" t="s">
        <v>73</v>
      </c>
      <c r="O483" s="59">
        <f>($C483/$D483)*VLOOKUP($E483,'AWS Platforms Ratios'!$A$2:$O$25,7,FALSE)</f>
        <v>11.25777778</v>
      </c>
      <c r="P483" s="59">
        <f>($C483/$D483)*VLOOKUP($E483,'AWS Platforms Ratios'!$A$2:$O$25,8,FALSE)</f>
        <v>29.96666667</v>
      </c>
      <c r="Q483" s="59">
        <f>($C483/$D483)*VLOOKUP($E483,'AWS Platforms Ratios'!$A$2:$O$25,9,FALSE)</f>
        <v>65.15777778</v>
      </c>
      <c r="R483" s="59">
        <f>($C483/$D483)*VLOOKUP($E483,'AWS Platforms Ratios'!$A$2:$O$25,10,FALSE)</f>
        <v>94.15111111</v>
      </c>
      <c r="S483" s="59">
        <f>$F483*VLOOKUP($E483,'AWS Platforms Ratios'!$A$2:$O$25,11,FALSE)</f>
        <v>6.223333333</v>
      </c>
      <c r="T483" s="59">
        <f>$F483*VLOOKUP($E483,'AWS Platforms Ratios'!$A$2:$O$25,12,FALSE)</f>
        <v>11.24166667</v>
      </c>
      <c r="U483" s="59">
        <f>$F483*VLOOKUP($E483,'AWS Platforms Ratios'!$A$2:$O$25,13,FALSE)</f>
        <v>19.74</v>
      </c>
      <c r="V483" s="59">
        <f>$F483*VLOOKUP($E483,'AWS Platforms Ratios'!$A$2:$O$25,14,FALSE)</f>
        <v>28.23833333</v>
      </c>
      <c r="W483" s="60">
        <f>IF($K483&lt;&gt;"N/A",$M483*(VLOOKUP($L483,'GPU Specs &amp; Ratios'!$B$2:$I$8,5,FALSE)),0)</f>
        <v>0</v>
      </c>
      <c r="X483" s="60">
        <f>IF($K483&lt;&gt;"N/A",$M483*(VLOOKUP($L483,'GPU Specs &amp; Ratios'!$B$2:$I$8,6,FALSE)),0)</f>
        <v>0</v>
      </c>
      <c r="Y483" s="60">
        <f>IF($K483&lt;&gt;"N/A",$M483*(VLOOKUP($L483,'GPU Specs &amp; Ratios'!$B$2:$I$8,7,FALSE)),0)</f>
        <v>0</v>
      </c>
      <c r="Z483" s="60">
        <f>IF($K483&lt;&gt;"N/A",$M483*(VLOOKUP($L483,'GPU Specs &amp; Ratios'!$B$2:$I$8,8,FALSE)),0)</f>
        <v>0</v>
      </c>
      <c r="AA483" s="60">
        <f>(C483/D483)*VLOOKUP($E483,'AWS Platforms Ratios'!$A$2:$O$25,15,FALSE)</f>
        <v>21.33333333</v>
      </c>
      <c r="AB483" s="60">
        <f t="shared" ref="AB483:AE483" si="483">O483+S483+W483+$AA483</f>
        <v>38.81444444</v>
      </c>
      <c r="AC483" s="60">
        <f t="shared" si="483"/>
        <v>62.54166667</v>
      </c>
      <c r="AD483" s="60">
        <f t="shared" si="483"/>
        <v>106.2311111</v>
      </c>
      <c r="AE483" s="60">
        <f t="shared" si="483"/>
        <v>143.7227778</v>
      </c>
      <c r="AF483" s="60">
        <f>IF(G483&gt;'Scope 3 Ratios'!$B$5,(G483-'Scope 3 Ratios'!$B$5)*('Scope 3 Ratios'!$B$6/'Scope 3 Ratios'!$B$5),0)</f>
        <v>244.0944</v>
      </c>
      <c r="AG483" s="60">
        <f>J483*IF(I483="SSD",'Scope 3 Ratios'!$B$9,'Scope 3 Ratios'!$B$8)</f>
        <v>0</v>
      </c>
      <c r="AH483" s="60">
        <f>IF(K483&lt;&gt;"N/A",K483*'Scope 3 Ratios'!$B$10,0)</f>
        <v>0</v>
      </c>
      <c r="AI483" s="60">
        <f>(VLOOKUP($E483,'AWS Platforms Ratios'!$A$2:$O$25,3,FALSE)-1)*'Scope 3 Ratios'!$B$7</f>
        <v>100</v>
      </c>
      <c r="AJ483" s="60">
        <f>'Scope 3 Ratios'!$B$2+AF483+AG483+AH483+AI483</f>
        <v>1344.0944</v>
      </c>
      <c r="AK483" s="60">
        <f>AJ483*'Scope 3 Ratios'!$B$4*(C483/D483)</f>
        <v>8.642582305</v>
      </c>
      <c r="AL483" s="61" t="s">
        <v>121</v>
      </c>
    </row>
    <row r="484" ht="15.0" customHeight="1">
      <c r="A484" s="56" t="s">
        <v>803</v>
      </c>
      <c r="B484" s="56" t="s">
        <v>126</v>
      </c>
      <c r="C484" s="56">
        <v>36.0</v>
      </c>
      <c r="D484" s="56">
        <f>VLOOKUP(E484,'AWS Platforms Ratios'!$A$2:$B$25,2,FALSE)</f>
        <v>72</v>
      </c>
      <c r="E484" s="57" t="s">
        <v>120</v>
      </c>
      <c r="F484" s="56">
        <v>72.0</v>
      </c>
      <c r="G484" s="56">
        <v>192.0</v>
      </c>
      <c r="H484" s="57" t="s">
        <v>71</v>
      </c>
      <c r="I484" s="56" t="s">
        <v>72</v>
      </c>
      <c r="J484" s="56">
        <v>0.0</v>
      </c>
      <c r="K484" s="58" t="s">
        <v>73</v>
      </c>
      <c r="L484" s="58" t="s">
        <v>73</v>
      </c>
      <c r="M484" s="58" t="s">
        <v>73</v>
      </c>
      <c r="N484" s="58" t="s">
        <v>73</v>
      </c>
      <c r="O484" s="59">
        <f>($C484/$D484)*VLOOKUP($E484,'AWS Platforms Ratios'!$A$2:$O$25,7,FALSE)</f>
        <v>25.33</v>
      </c>
      <c r="P484" s="59">
        <f>($C484/$D484)*VLOOKUP($E484,'AWS Platforms Ratios'!$A$2:$O$25,8,FALSE)</f>
        <v>67.425</v>
      </c>
      <c r="Q484" s="59">
        <f>($C484/$D484)*VLOOKUP($E484,'AWS Platforms Ratios'!$A$2:$O$25,9,FALSE)</f>
        <v>146.605</v>
      </c>
      <c r="R484" s="59">
        <f>($C484/$D484)*VLOOKUP($E484,'AWS Platforms Ratios'!$A$2:$O$25,10,FALSE)</f>
        <v>211.84</v>
      </c>
      <c r="S484" s="59">
        <f>$F484*VLOOKUP($E484,'AWS Platforms Ratios'!$A$2:$O$25,11,FALSE)</f>
        <v>14.0025</v>
      </c>
      <c r="T484" s="59">
        <f>$F484*VLOOKUP($E484,'AWS Platforms Ratios'!$A$2:$O$25,12,FALSE)</f>
        <v>25.29375</v>
      </c>
      <c r="U484" s="59">
        <f>$F484*VLOOKUP($E484,'AWS Platforms Ratios'!$A$2:$O$25,13,FALSE)</f>
        <v>44.415</v>
      </c>
      <c r="V484" s="59">
        <f>$F484*VLOOKUP($E484,'AWS Platforms Ratios'!$A$2:$O$25,14,FALSE)</f>
        <v>63.53625</v>
      </c>
      <c r="W484" s="60">
        <f>IF($K484&lt;&gt;"N/A",$M484*(VLOOKUP($L484,'GPU Specs &amp; Ratios'!$B$2:$I$8,5,FALSE)),0)</f>
        <v>0</v>
      </c>
      <c r="X484" s="60">
        <f>IF($K484&lt;&gt;"N/A",$M484*(VLOOKUP($L484,'GPU Specs &amp; Ratios'!$B$2:$I$8,6,FALSE)),0)</f>
        <v>0</v>
      </c>
      <c r="Y484" s="60">
        <f>IF($K484&lt;&gt;"N/A",$M484*(VLOOKUP($L484,'GPU Specs &amp; Ratios'!$B$2:$I$8,7,FALSE)),0)</f>
        <v>0</v>
      </c>
      <c r="Z484" s="60">
        <f>IF($K484&lt;&gt;"N/A",$M484*(VLOOKUP($L484,'GPU Specs &amp; Ratios'!$B$2:$I$8,8,FALSE)),0)</f>
        <v>0</v>
      </c>
      <c r="AA484" s="60">
        <f>(C484/D484)*VLOOKUP($E484,'AWS Platforms Ratios'!$A$2:$O$25,15,FALSE)</f>
        <v>48</v>
      </c>
      <c r="AB484" s="60">
        <f t="shared" ref="AB484:AE484" si="484">O484+S484+W484+$AA484</f>
        <v>87.3325</v>
      </c>
      <c r="AC484" s="60">
        <f t="shared" si="484"/>
        <v>140.71875</v>
      </c>
      <c r="AD484" s="60">
        <f t="shared" si="484"/>
        <v>239.02</v>
      </c>
      <c r="AE484" s="60">
        <f t="shared" si="484"/>
        <v>323.37625</v>
      </c>
      <c r="AF484" s="60">
        <f>IF(G484&gt;'Scope 3 Ratios'!$B$5,(G484-'Scope 3 Ratios'!$B$5)*('Scope 3 Ratios'!$B$6/'Scope 3 Ratios'!$B$5),0)</f>
        <v>244.0944</v>
      </c>
      <c r="AG484" s="60">
        <f>J484*IF(I484="SSD",'Scope 3 Ratios'!$B$9,'Scope 3 Ratios'!$B$8)</f>
        <v>0</v>
      </c>
      <c r="AH484" s="60">
        <f>IF(K484&lt;&gt;"N/A",K484*'Scope 3 Ratios'!$B$10,0)</f>
        <v>0</v>
      </c>
      <c r="AI484" s="60">
        <f>(VLOOKUP($E484,'AWS Platforms Ratios'!$A$2:$O$25,3,FALSE)-1)*'Scope 3 Ratios'!$B$7</f>
        <v>100</v>
      </c>
      <c r="AJ484" s="60">
        <f>'Scope 3 Ratios'!$B$2+AF484+AG484+AH484+AI484</f>
        <v>1344.0944</v>
      </c>
      <c r="AK484" s="60">
        <f>AJ484*'Scope 3 Ratios'!$B$4*(C484/D484)</f>
        <v>19.44581019</v>
      </c>
      <c r="AL484" s="61" t="s">
        <v>121</v>
      </c>
    </row>
    <row r="485" ht="15.0" customHeight="1">
      <c r="A485" s="56" t="s">
        <v>804</v>
      </c>
      <c r="B485" s="56" t="s">
        <v>126</v>
      </c>
      <c r="C485" s="56">
        <v>72.0</v>
      </c>
      <c r="D485" s="56">
        <f>VLOOKUP(E485,'AWS Platforms Ratios'!$A$2:$B$25,2,FALSE)</f>
        <v>72</v>
      </c>
      <c r="E485" s="57" t="s">
        <v>120</v>
      </c>
      <c r="F485" s="56">
        <v>144.0</v>
      </c>
      <c r="G485" s="56">
        <v>192.0</v>
      </c>
      <c r="H485" s="57" t="s">
        <v>71</v>
      </c>
      <c r="I485" s="56" t="s">
        <v>72</v>
      </c>
      <c r="J485" s="56">
        <v>0.0</v>
      </c>
      <c r="K485" s="58" t="s">
        <v>73</v>
      </c>
      <c r="L485" s="58" t="s">
        <v>73</v>
      </c>
      <c r="M485" s="58" t="s">
        <v>73</v>
      </c>
      <c r="N485" s="58" t="s">
        <v>73</v>
      </c>
      <c r="O485" s="59">
        <f>($C485/$D485)*VLOOKUP($E485,'AWS Platforms Ratios'!$A$2:$O$25,7,FALSE)</f>
        <v>50.66</v>
      </c>
      <c r="P485" s="59">
        <f>($C485/$D485)*VLOOKUP($E485,'AWS Platforms Ratios'!$A$2:$O$25,8,FALSE)</f>
        <v>134.85</v>
      </c>
      <c r="Q485" s="59">
        <f>($C485/$D485)*VLOOKUP($E485,'AWS Platforms Ratios'!$A$2:$O$25,9,FALSE)</f>
        <v>293.21</v>
      </c>
      <c r="R485" s="59">
        <f>($C485/$D485)*VLOOKUP($E485,'AWS Platforms Ratios'!$A$2:$O$25,10,FALSE)</f>
        <v>423.68</v>
      </c>
      <c r="S485" s="59">
        <f>$F485*VLOOKUP($E485,'AWS Platforms Ratios'!$A$2:$O$25,11,FALSE)</f>
        <v>28.005</v>
      </c>
      <c r="T485" s="59">
        <f>$F485*VLOOKUP($E485,'AWS Platforms Ratios'!$A$2:$O$25,12,FALSE)</f>
        <v>50.5875</v>
      </c>
      <c r="U485" s="59">
        <f>$F485*VLOOKUP($E485,'AWS Platforms Ratios'!$A$2:$O$25,13,FALSE)</f>
        <v>88.83</v>
      </c>
      <c r="V485" s="59">
        <f>$F485*VLOOKUP($E485,'AWS Platforms Ratios'!$A$2:$O$25,14,FALSE)</f>
        <v>127.0725</v>
      </c>
      <c r="W485" s="60">
        <f>IF($K485&lt;&gt;"N/A",$M485*(VLOOKUP($L485,'GPU Specs &amp; Ratios'!$B$2:$I$8,5,FALSE)),0)</f>
        <v>0</v>
      </c>
      <c r="X485" s="60">
        <f>IF($K485&lt;&gt;"N/A",$M485*(VLOOKUP($L485,'GPU Specs &amp; Ratios'!$B$2:$I$8,6,FALSE)),0)</f>
        <v>0</v>
      </c>
      <c r="Y485" s="60">
        <f>IF($K485&lt;&gt;"N/A",$M485*(VLOOKUP($L485,'GPU Specs &amp; Ratios'!$B$2:$I$8,7,FALSE)),0)</f>
        <v>0</v>
      </c>
      <c r="Z485" s="60">
        <f>IF($K485&lt;&gt;"N/A",$M485*(VLOOKUP($L485,'GPU Specs &amp; Ratios'!$B$2:$I$8,8,FALSE)),0)</f>
        <v>0</v>
      </c>
      <c r="AA485" s="60">
        <f>(C485/D485)*VLOOKUP($E485,'AWS Platforms Ratios'!$A$2:$O$25,15,FALSE)</f>
        <v>96</v>
      </c>
      <c r="AB485" s="60">
        <f t="shared" ref="AB485:AE485" si="485">O485+S485+W485+$AA485</f>
        <v>174.665</v>
      </c>
      <c r="AC485" s="60">
        <f t="shared" si="485"/>
        <v>281.4375</v>
      </c>
      <c r="AD485" s="60">
        <f t="shared" si="485"/>
        <v>478.04</v>
      </c>
      <c r="AE485" s="60">
        <f t="shared" si="485"/>
        <v>646.7525</v>
      </c>
      <c r="AF485" s="60">
        <f>IF(G485&gt;'Scope 3 Ratios'!$B$5,(G485-'Scope 3 Ratios'!$B$5)*('Scope 3 Ratios'!$B$6/'Scope 3 Ratios'!$B$5),0)</f>
        <v>244.0944</v>
      </c>
      <c r="AG485" s="60">
        <f>J485*IF(I485="SSD",'Scope 3 Ratios'!$B$9,'Scope 3 Ratios'!$B$8)</f>
        <v>0</v>
      </c>
      <c r="AH485" s="60">
        <f>IF(K485&lt;&gt;"N/A",K485*'Scope 3 Ratios'!$B$10,0)</f>
        <v>0</v>
      </c>
      <c r="AI485" s="60">
        <f>(VLOOKUP($E485,'AWS Platforms Ratios'!$A$2:$O$25,3,FALSE)-1)*'Scope 3 Ratios'!$B$7</f>
        <v>100</v>
      </c>
      <c r="AJ485" s="60">
        <f>'Scope 3 Ratios'!$B$2+AF485+AG485+AH485+AI485</f>
        <v>1344.0944</v>
      </c>
      <c r="AK485" s="60">
        <f>AJ485*'Scope 3 Ratios'!$B$4*(C485/D485)</f>
        <v>38.89162037</v>
      </c>
      <c r="AL485" s="61" t="s">
        <v>121</v>
      </c>
    </row>
    <row r="486" ht="15.0" customHeight="1">
      <c r="A486" s="56" t="s">
        <v>805</v>
      </c>
      <c r="B486" s="56" t="s">
        <v>111</v>
      </c>
      <c r="C486" s="56">
        <v>2.0</v>
      </c>
      <c r="D486" s="56">
        <f>VLOOKUP(E486,'AWS Platforms Ratios'!$A$2:$B$25,2,FALSE)</f>
        <v>40</v>
      </c>
      <c r="E486" s="57" t="s">
        <v>112</v>
      </c>
      <c r="F486" s="56">
        <v>3.75</v>
      </c>
      <c r="G486" s="56">
        <v>60.0</v>
      </c>
      <c r="H486" s="57" t="s">
        <v>71</v>
      </c>
      <c r="I486" s="56" t="s">
        <v>72</v>
      </c>
      <c r="J486" s="56">
        <v>0.0</v>
      </c>
      <c r="K486" s="58" t="s">
        <v>73</v>
      </c>
      <c r="L486" s="58" t="s">
        <v>73</v>
      </c>
      <c r="M486" s="58" t="s">
        <v>73</v>
      </c>
      <c r="N486" s="58" t="s">
        <v>73</v>
      </c>
      <c r="O486" s="59">
        <f>($C486/$D486)*VLOOKUP($E486,'AWS Platforms Ratios'!$A$2:$O$25,7,FALSE)</f>
        <v>1.62837931</v>
      </c>
      <c r="P486" s="59">
        <f>($C486/$D486)*VLOOKUP($E486,'AWS Platforms Ratios'!$A$2:$O$25,8,FALSE)</f>
        <v>4.648655172</v>
      </c>
      <c r="Q486" s="59">
        <f>($C486/$D486)*VLOOKUP($E486,'AWS Platforms Ratios'!$A$2:$O$25,9,FALSE)</f>
        <v>9.561258621</v>
      </c>
      <c r="R486" s="59">
        <f>($C486/$D486)*VLOOKUP($E486,'AWS Platforms Ratios'!$A$2:$O$25,10,FALSE)</f>
        <v>13.08720259</v>
      </c>
      <c r="S486" s="59">
        <f>$F486*VLOOKUP($E486,'AWS Platforms Ratios'!$A$2:$O$25,11,FALSE)</f>
        <v>0.75</v>
      </c>
      <c r="T486" s="59">
        <f>$F486*VLOOKUP($E486,'AWS Platforms Ratios'!$A$2:$O$25,12,FALSE)</f>
        <v>1.125</v>
      </c>
      <c r="U486" s="59">
        <f>$F486*VLOOKUP($E486,'AWS Platforms Ratios'!$A$2:$O$25,13,FALSE)</f>
        <v>1.5</v>
      </c>
      <c r="V486" s="59">
        <f>$F486*VLOOKUP($E486,'AWS Platforms Ratios'!$A$2:$O$25,14,FALSE)</f>
        <v>2.25</v>
      </c>
      <c r="W486" s="60">
        <f>IF($K486&lt;&gt;"N/A",$M486*(VLOOKUP($L486,'GPU Specs &amp; Ratios'!$B$2:$I$8,5,FALSE)),0)</f>
        <v>0</v>
      </c>
      <c r="X486" s="60">
        <f>IF($K486&lt;&gt;"N/A",$M486*(VLOOKUP($L486,'GPU Specs &amp; Ratios'!$B$2:$I$8,6,FALSE)),0)</f>
        <v>0</v>
      </c>
      <c r="Y486" s="60">
        <f>IF($K486&lt;&gt;"N/A",$M486*(VLOOKUP($L486,'GPU Specs &amp; Ratios'!$B$2:$I$8,7,FALSE)),0)</f>
        <v>0</v>
      </c>
      <c r="Z486" s="60">
        <f>IF($K486&lt;&gt;"N/A",$M486*(VLOOKUP($L486,'GPU Specs &amp; Ratios'!$B$2:$I$8,8,FALSE)),0)</f>
        <v>0</v>
      </c>
      <c r="AA486" s="60">
        <f>(C486/D486)*VLOOKUP($E486,'AWS Platforms Ratios'!$A$2:$O$25,15,FALSE)</f>
        <v>2.7</v>
      </c>
      <c r="AB486" s="60">
        <f t="shared" ref="AB486:AE486" si="486">O486+S486+W486+$AA486</f>
        <v>5.07837931</v>
      </c>
      <c r="AC486" s="60">
        <f t="shared" si="486"/>
        <v>8.473655172</v>
      </c>
      <c r="AD486" s="60">
        <f t="shared" si="486"/>
        <v>13.76125862</v>
      </c>
      <c r="AE486" s="60">
        <f t="shared" si="486"/>
        <v>18.03720259</v>
      </c>
      <c r="AF486" s="60">
        <f>IF(G486&gt;'Scope 3 Ratios'!$B$5,(G486-'Scope 3 Ratios'!$B$5)*('Scope 3 Ratios'!$B$6/'Scope 3 Ratios'!$B$5),0)</f>
        <v>61.0236</v>
      </c>
      <c r="AG486" s="60">
        <f>J486*IF(I486="SSD",'Scope 3 Ratios'!$B$9,'Scope 3 Ratios'!$B$8)</f>
        <v>0</v>
      </c>
      <c r="AH486" s="60">
        <f>IF(K486&lt;&gt;"N/A",K486*'Scope 3 Ratios'!$B$10,0)</f>
        <v>0</v>
      </c>
      <c r="AI486" s="60">
        <f>(VLOOKUP($E486,'AWS Platforms Ratios'!$A$2:$O$25,3,FALSE)-1)*'Scope 3 Ratios'!$B$7</f>
        <v>100</v>
      </c>
      <c r="AJ486" s="60">
        <f>'Scope 3 Ratios'!$B$2+AF486+AG486+AH486+AI486</f>
        <v>1161.0236</v>
      </c>
      <c r="AK486" s="60">
        <f>AJ486*'Scope 3 Ratios'!$B$4*(C486/D486)</f>
        <v>1.679721644</v>
      </c>
      <c r="AL486" s="61" t="s">
        <v>113</v>
      </c>
    </row>
    <row r="487" ht="15.0" customHeight="1">
      <c r="A487" s="56" t="s">
        <v>806</v>
      </c>
      <c r="B487" s="56" t="s">
        <v>111</v>
      </c>
      <c r="C487" s="56">
        <v>4.0</v>
      </c>
      <c r="D487" s="56">
        <f>VLOOKUP(E487,'AWS Platforms Ratios'!$A$2:$B$25,2,FALSE)</f>
        <v>40</v>
      </c>
      <c r="E487" s="57" t="s">
        <v>112</v>
      </c>
      <c r="F487" s="56">
        <v>7.5</v>
      </c>
      <c r="G487" s="56">
        <v>60.0</v>
      </c>
      <c r="H487" s="57" t="s">
        <v>71</v>
      </c>
      <c r="I487" s="56" t="s">
        <v>72</v>
      </c>
      <c r="J487" s="56">
        <v>0.0</v>
      </c>
      <c r="K487" s="58" t="s">
        <v>73</v>
      </c>
      <c r="L487" s="58" t="s">
        <v>73</v>
      </c>
      <c r="M487" s="58" t="s">
        <v>73</v>
      </c>
      <c r="N487" s="58" t="s">
        <v>73</v>
      </c>
      <c r="O487" s="59">
        <f>($C487/$D487)*VLOOKUP($E487,'AWS Platforms Ratios'!$A$2:$O$25,7,FALSE)</f>
        <v>3.256758621</v>
      </c>
      <c r="P487" s="59">
        <f>($C487/$D487)*VLOOKUP($E487,'AWS Platforms Ratios'!$A$2:$O$25,8,FALSE)</f>
        <v>9.297310345</v>
      </c>
      <c r="Q487" s="59">
        <f>($C487/$D487)*VLOOKUP($E487,'AWS Platforms Ratios'!$A$2:$O$25,9,FALSE)</f>
        <v>19.12251724</v>
      </c>
      <c r="R487" s="59">
        <f>($C487/$D487)*VLOOKUP($E487,'AWS Platforms Ratios'!$A$2:$O$25,10,FALSE)</f>
        <v>26.17440517</v>
      </c>
      <c r="S487" s="59">
        <f>$F487*VLOOKUP($E487,'AWS Platforms Ratios'!$A$2:$O$25,11,FALSE)</f>
        <v>1.5</v>
      </c>
      <c r="T487" s="59">
        <f>$F487*VLOOKUP($E487,'AWS Platforms Ratios'!$A$2:$O$25,12,FALSE)</f>
        <v>2.25</v>
      </c>
      <c r="U487" s="59">
        <f>$F487*VLOOKUP($E487,'AWS Platforms Ratios'!$A$2:$O$25,13,FALSE)</f>
        <v>3</v>
      </c>
      <c r="V487" s="59">
        <f>$F487*VLOOKUP($E487,'AWS Platforms Ratios'!$A$2:$O$25,14,FALSE)</f>
        <v>4.5</v>
      </c>
      <c r="W487" s="60">
        <f>IF($K487&lt;&gt;"N/A",$M487*(VLOOKUP($L487,'GPU Specs &amp; Ratios'!$B$2:$I$8,5,FALSE)),0)</f>
        <v>0</v>
      </c>
      <c r="X487" s="60">
        <f>IF($K487&lt;&gt;"N/A",$M487*(VLOOKUP($L487,'GPU Specs &amp; Ratios'!$B$2:$I$8,6,FALSE)),0)</f>
        <v>0</v>
      </c>
      <c r="Y487" s="60">
        <f>IF($K487&lt;&gt;"N/A",$M487*(VLOOKUP($L487,'GPU Specs &amp; Ratios'!$B$2:$I$8,7,FALSE)),0)</f>
        <v>0</v>
      </c>
      <c r="Z487" s="60">
        <f>IF($K487&lt;&gt;"N/A",$M487*(VLOOKUP($L487,'GPU Specs &amp; Ratios'!$B$2:$I$8,8,FALSE)),0)</f>
        <v>0</v>
      </c>
      <c r="AA487" s="60">
        <f>(C487/D487)*VLOOKUP($E487,'AWS Platforms Ratios'!$A$2:$O$25,15,FALSE)</f>
        <v>5.4</v>
      </c>
      <c r="AB487" s="60">
        <f t="shared" ref="AB487:AE487" si="487">O487+S487+W487+$AA487</f>
        <v>10.15675862</v>
      </c>
      <c r="AC487" s="60">
        <f t="shared" si="487"/>
        <v>16.94731034</v>
      </c>
      <c r="AD487" s="60">
        <f t="shared" si="487"/>
        <v>27.52251724</v>
      </c>
      <c r="AE487" s="60">
        <f t="shared" si="487"/>
        <v>36.07440517</v>
      </c>
      <c r="AF487" s="60">
        <f>IF(G487&gt;'Scope 3 Ratios'!$B$5,(G487-'Scope 3 Ratios'!$B$5)*('Scope 3 Ratios'!$B$6/'Scope 3 Ratios'!$B$5),0)</f>
        <v>61.0236</v>
      </c>
      <c r="AG487" s="60">
        <f>J487*IF(I487="SSD",'Scope 3 Ratios'!$B$9,'Scope 3 Ratios'!$B$8)</f>
        <v>0</v>
      </c>
      <c r="AH487" s="60">
        <f>IF(K487&lt;&gt;"N/A",K487*'Scope 3 Ratios'!$B$10,0)</f>
        <v>0</v>
      </c>
      <c r="AI487" s="60">
        <f>(VLOOKUP($E487,'AWS Platforms Ratios'!$A$2:$O$25,3,FALSE)-1)*'Scope 3 Ratios'!$B$7</f>
        <v>100</v>
      </c>
      <c r="AJ487" s="60">
        <f>'Scope 3 Ratios'!$B$2+AF487+AG487+AH487+AI487</f>
        <v>1161.0236</v>
      </c>
      <c r="AK487" s="60">
        <f>AJ487*'Scope 3 Ratios'!$B$4*(C487/D487)</f>
        <v>3.359443287</v>
      </c>
      <c r="AL487" s="61" t="s">
        <v>113</v>
      </c>
    </row>
    <row r="488" ht="15.0" customHeight="1">
      <c r="A488" s="56" t="s">
        <v>807</v>
      </c>
      <c r="B488" s="56" t="s">
        <v>111</v>
      </c>
      <c r="C488" s="56">
        <v>8.0</v>
      </c>
      <c r="D488" s="56">
        <f>VLOOKUP(E488,'AWS Platforms Ratios'!$A$2:$B$25,2,FALSE)</f>
        <v>40</v>
      </c>
      <c r="E488" s="57" t="s">
        <v>112</v>
      </c>
      <c r="F488" s="56">
        <v>15.0</v>
      </c>
      <c r="G488" s="56">
        <v>60.0</v>
      </c>
      <c r="H488" s="57" t="s">
        <v>71</v>
      </c>
      <c r="I488" s="56" t="s">
        <v>72</v>
      </c>
      <c r="J488" s="56">
        <v>0.0</v>
      </c>
      <c r="K488" s="58" t="s">
        <v>73</v>
      </c>
      <c r="L488" s="58" t="s">
        <v>73</v>
      </c>
      <c r="M488" s="58" t="s">
        <v>73</v>
      </c>
      <c r="N488" s="58" t="s">
        <v>73</v>
      </c>
      <c r="O488" s="59">
        <f>($C488/$D488)*VLOOKUP($E488,'AWS Platforms Ratios'!$A$2:$O$25,7,FALSE)</f>
        <v>6.513517241</v>
      </c>
      <c r="P488" s="59">
        <f>($C488/$D488)*VLOOKUP($E488,'AWS Platforms Ratios'!$A$2:$O$25,8,FALSE)</f>
        <v>18.59462069</v>
      </c>
      <c r="Q488" s="59">
        <f>($C488/$D488)*VLOOKUP($E488,'AWS Platforms Ratios'!$A$2:$O$25,9,FALSE)</f>
        <v>38.24503448</v>
      </c>
      <c r="R488" s="59">
        <f>($C488/$D488)*VLOOKUP($E488,'AWS Platforms Ratios'!$A$2:$O$25,10,FALSE)</f>
        <v>52.34881034</v>
      </c>
      <c r="S488" s="59">
        <f>$F488*VLOOKUP($E488,'AWS Platforms Ratios'!$A$2:$O$25,11,FALSE)</f>
        <v>3</v>
      </c>
      <c r="T488" s="59">
        <f>$F488*VLOOKUP($E488,'AWS Platforms Ratios'!$A$2:$O$25,12,FALSE)</f>
        <v>4.5</v>
      </c>
      <c r="U488" s="59">
        <f>$F488*VLOOKUP($E488,'AWS Platforms Ratios'!$A$2:$O$25,13,FALSE)</f>
        <v>6</v>
      </c>
      <c r="V488" s="59">
        <f>$F488*VLOOKUP($E488,'AWS Platforms Ratios'!$A$2:$O$25,14,FALSE)</f>
        <v>9</v>
      </c>
      <c r="W488" s="60">
        <f>IF($K488&lt;&gt;"N/A",$M488*(VLOOKUP($L488,'GPU Specs &amp; Ratios'!$B$2:$I$8,5,FALSE)),0)</f>
        <v>0</v>
      </c>
      <c r="X488" s="60">
        <f>IF($K488&lt;&gt;"N/A",$M488*(VLOOKUP($L488,'GPU Specs &amp; Ratios'!$B$2:$I$8,6,FALSE)),0)</f>
        <v>0</v>
      </c>
      <c r="Y488" s="60">
        <f>IF($K488&lt;&gt;"N/A",$M488*(VLOOKUP($L488,'GPU Specs &amp; Ratios'!$B$2:$I$8,7,FALSE)),0)</f>
        <v>0</v>
      </c>
      <c r="Z488" s="60">
        <f>IF($K488&lt;&gt;"N/A",$M488*(VLOOKUP($L488,'GPU Specs &amp; Ratios'!$B$2:$I$8,8,FALSE)),0)</f>
        <v>0</v>
      </c>
      <c r="AA488" s="60">
        <f>(C488/D488)*VLOOKUP($E488,'AWS Platforms Ratios'!$A$2:$O$25,15,FALSE)</f>
        <v>10.8</v>
      </c>
      <c r="AB488" s="60">
        <f t="shared" ref="AB488:AE488" si="488">O488+S488+W488+$AA488</f>
        <v>20.31351724</v>
      </c>
      <c r="AC488" s="60">
        <f t="shared" si="488"/>
        <v>33.89462069</v>
      </c>
      <c r="AD488" s="60">
        <f t="shared" si="488"/>
        <v>55.04503448</v>
      </c>
      <c r="AE488" s="60">
        <f t="shared" si="488"/>
        <v>72.14881034</v>
      </c>
      <c r="AF488" s="60">
        <f>IF(G488&gt;'Scope 3 Ratios'!$B$5,(G488-'Scope 3 Ratios'!$B$5)*('Scope 3 Ratios'!$B$6/'Scope 3 Ratios'!$B$5),0)</f>
        <v>61.0236</v>
      </c>
      <c r="AG488" s="60">
        <f>J488*IF(I488="SSD",'Scope 3 Ratios'!$B$9,'Scope 3 Ratios'!$B$8)</f>
        <v>0</v>
      </c>
      <c r="AH488" s="60">
        <f>IF(K488&lt;&gt;"N/A",K488*'Scope 3 Ratios'!$B$10,0)</f>
        <v>0</v>
      </c>
      <c r="AI488" s="60">
        <f>(VLOOKUP($E488,'AWS Platforms Ratios'!$A$2:$O$25,3,FALSE)-1)*'Scope 3 Ratios'!$B$7</f>
        <v>100</v>
      </c>
      <c r="AJ488" s="60">
        <f>'Scope 3 Ratios'!$B$2+AF488+AG488+AH488+AI488</f>
        <v>1161.0236</v>
      </c>
      <c r="AK488" s="60">
        <f>AJ488*'Scope 3 Ratios'!$B$4*(C488/D488)</f>
        <v>6.718886574</v>
      </c>
      <c r="AL488" s="61" t="s">
        <v>113</v>
      </c>
    </row>
    <row r="489" ht="15.0" customHeight="1">
      <c r="A489" s="56" t="s">
        <v>808</v>
      </c>
      <c r="B489" s="56" t="s">
        <v>111</v>
      </c>
      <c r="C489" s="56">
        <v>16.0</v>
      </c>
      <c r="D489" s="56">
        <f>VLOOKUP(E489,'AWS Platforms Ratios'!$A$2:$B$25,2,FALSE)</f>
        <v>40</v>
      </c>
      <c r="E489" s="57" t="s">
        <v>112</v>
      </c>
      <c r="F489" s="56">
        <v>30.0</v>
      </c>
      <c r="G489" s="56">
        <v>60.0</v>
      </c>
      <c r="H489" s="57" t="s">
        <v>71</v>
      </c>
      <c r="I489" s="56" t="s">
        <v>72</v>
      </c>
      <c r="J489" s="56">
        <v>0.0</v>
      </c>
      <c r="K489" s="58" t="s">
        <v>73</v>
      </c>
      <c r="L489" s="58" t="s">
        <v>73</v>
      </c>
      <c r="M489" s="58" t="s">
        <v>73</v>
      </c>
      <c r="N489" s="58" t="s">
        <v>73</v>
      </c>
      <c r="O489" s="59">
        <f>($C489/$D489)*VLOOKUP($E489,'AWS Platforms Ratios'!$A$2:$O$25,7,FALSE)</f>
        <v>13.02703448</v>
      </c>
      <c r="P489" s="59">
        <f>($C489/$D489)*VLOOKUP($E489,'AWS Platforms Ratios'!$A$2:$O$25,8,FALSE)</f>
        <v>37.18924138</v>
      </c>
      <c r="Q489" s="59">
        <f>($C489/$D489)*VLOOKUP($E489,'AWS Platforms Ratios'!$A$2:$O$25,9,FALSE)</f>
        <v>76.49006897</v>
      </c>
      <c r="R489" s="59">
        <f>($C489/$D489)*VLOOKUP($E489,'AWS Platforms Ratios'!$A$2:$O$25,10,FALSE)</f>
        <v>104.6976207</v>
      </c>
      <c r="S489" s="59">
        <f>$F489*VLOOKUP($E489,'AWS Platforms Ratios'!$A$2:$O$25,11,FALSE)</f>
        <v>6</v>
      </c>
      <c r="T489" s="59">
        <f>$F489*VLOOKUP($E489,'AWS Platforms Ratios'!$A$2:$O$25,12,FALSE)</f>
        <v>9</v>
      </c>
      <c r="U489" s="59">
        <f>$F489*VLOOKUP($E489,'AWS Platforms Ratios'!$A$2:$O$25,13,FALSE)</f>
        <v>12</v>
      </c>
      <c r="V489" s="59">
        <f>$F489*VLOOKUP($E489,'AWS Platforms Ratios'!$A$2:$O$25,14,FALSE)</f>
        <v>18</v>
      </c>
      <c r="W489" s="60">
        <f>IF($K489&lt;&gt;"N/A",$M489*(VLOOKUP($L489,'GPU Specs &amp; Ratios'!$B$2:$I$8,5,FALSE)),0)</f>
        <v>0</v>
      </c>
      <c r="X489" s="60">
        <f>IF($K489&lt;&gt;"N/A",$M489*(VLOOKUP($L489,'GPU Specs &amp; Ratios'!$B$2:$I$8,6,FALSE)),0)</f>
        <v>0</v>
      </c>
      <c r="Y489" s="60">
        <f>IF($K489&lt;&gt;"N/A",$M489*(VLOOKUP($L489,'GPU Specs &amp; Ratios'!$B$2:$I$8,7,FALSE)),0)</f>
        <v>0</v>
      </c>
      <c r="Z489" s="60">
        <f>IF($K489&lt;&gt;"N/A",$M489*(VLOOKUP($L489,'GPU Specs &amp; Ratios'!$B$2:$I$8,8,FALSE)),0)</f>
        <v>0</v>
      </c>
      <c r="AA489" s="60">
        <f>(C489/D489)*VLOOKUP($E489,'AWS Platforms Ratios'!$A$2:$O$25,15,FALSE)</f>
        <v>21.6</v>
      </c>
      <c r="AB489" s="60">
        <f t="shared" ref="AB489:AE489" si="489">O489+S489+W489+$AA489</f>
        <v>40.62703448</v>
      </c>
      <c r="AC489" s="60">
        <f t="shared" si="489"/>
        <v>67.78924138</v>
      </c>
      <c r="AD489" s="60">
        <f t="shared" si="489"/>
        <v>110.090069</v>
      </c>
      <c r="AE489" s="60">
        <f t="shared" si="489"/>
        <v>144.2976207</v>
      </c>
      <c r="AF489" s="60">
        <f>IF(G489&gt;'Scope 3 Ratios'!$B$5,(G489-'Scope 3 Ratios'!$B$5)*('Scope 3 Ratios'!$B$6/'Scope 3 Ratios'!$B$5),0)</f>
        <v>61.0236</v>
      </c>
      <c r="AG489" s="60">
        <f>J489*IF(I489="SSD",'Scope 3 Ratios'!$B$9,'Scope 3 Ratios'!$B$8)</f>
        <v>0</v>
      </c>
      <c r="AH489" s="60">
        <f>IF(K489&lt;&gt;"N/A",K489*'Scope 3 Ratios'!$B$10,0)</f>
        <v>0</v>
      </c>
      <c r="AI489" s="60">
        <f>(VLOOKUP($E489,'AWS Platforms Ratios'!$A$2:$O$25,3,FALSE)-1)*'Scope 3 Ratios'!$B$7</f>
        <v>100</v>
      </c>
      <c r="AJ489" s="60">
        <f>'Scope 3 Ratios'!$B$2+AF489+AG489+AH489+AI489</f>
        <v>1161.0236</v>
      </c>
      <c r="AK489" s="60">
        <f>AJ489*'Scope 3 Ratios'!$B$4*(C489/D489)</f>
        <v>13.43777315</v>
      </c>
      <c r="AL489" s="61" t="s">
        <v>113</v>
      </c>
    </row>
    <row r="490" ht="15.0" customHeight="1">
      <c r="A490" s="56" t="s">
        <v>809</v>
      </c>
      <c r="B490" s="56" t="s">
        <v>111</v>
      </c>
      <c r="C490" s="56">
        <v>36.0</v>
      </c>
      <c r="D490" s="56">
        <f>VLOOKUP(E490,'AWS Platforms Ratios'!$A$2:$B$25,2,FALSE)</f>
        <v>40</v>
      </c>
      <c r="E490" s="57" t="s">
        <v>112</v>
      </c>
      <c r="F490" s="56">
        <v>60.0</v>
      </c>
      <c r="G490" s="56">
        <v>60.0</v>
      </c>
      <c r="H490" s="57" t="s">
        <v>71</v>
      </c>
      <c r="I490" s="56" t="s">
        <v>72</v>
      </c>
      <c r="J490" s="56">
        <v>0.0</v>
      </c>
      <c r="K490" s="58" t="s">
        <v>73</v>
      </c>
      <c r="L490" s="58" t="s">
        <v>73</v>
      </c>
      <c r="M490" s="58" t="s">
        <v>73</v>
      </c>
      <c r="N490" s="58" t="s">
        <v>73</v>
      </c>
      <c r="O490" s="59">
        <f>($C490/$D490)*VLOOKUP($E490,'AWS Platforms Ratios'!$A$2:$O$25,7,FALSE)</f>
        <v>29.31082759</v>
      </c>
      <c r="P490" s="59">
        <f>($C490/$D490)*VLOOKUP($E490,'AWS Platforms Ratios'!$A$2:$O$25,8,FALSE)</f>
        <v>83.6757931</v>
      </c>
      <c r="Q490" s="59">
        <f>($C490/$D490)*VLOOKUP($E490,'AWS Platforms Ratios'!$A$2:$O$25,9,FALSE)</f>
        <v>172.1026552</v>
      </c>
      <c r="R490" s="59">
        <f>($C490/$D490)*VLOOKUP($E490,'AWS Platforms Ratios'!$A$2:$O$25,10,FALSE)</f>
        <v>235.5696466</v>
      </c>
      <c r="S490" s="59">
        <f>$F490*VLOOKUP($E490,'AWS Platforms Ratios'!$A$2:$O$25,11,FALSE)</f>
        <v>12</v>
      </c>
      <c r="T490" s="59">
        <f>$F490*VLOOKUP($E490,'AWS Platforms Ratios'!$A$2:$O$25,12,FALSE)</f>
        <v>18</v>
      </c>
      <c r="U490" s="59">
        <f>$F490*VLOOKUP($E490,'AWS Platforms Ratios'!$A$2:$O$25,13,FALSE)</f>
        <v>24</v>
      </c>
      <c r="V490" s="59">
        <f>$F490*VLOOKUP($E490,'AWS Platforms Ratios'!$A$2:$O$25,14,FALSE)</f>
        <v>36</v>
      </c>
      <c r="W490" s="60">
        <f>IF($K490&lt;&gt;"N/A",$M490*(VLOOKUP($L490,'GPU Specs &amp; Ratios'!$B$2:$I$8,5,FALSE)),0)</f>
        <v>0</v>
      </c>
      <c r="X490" s="60">
        <f>IF($K490&lt;&gt;"N/A",$M490*(VLOOKUP($L490,'GPU Specs &amp; Ratios'!$B$2:$I$8,6,FALSE)),0)</f>
        <v>0</v>
      </c>
      <c r="Y490" s="60">
        <f>IF($K490&lt;&gt;"N/A",$M490*(VLOOKUP($L490,'GPU Specs &amp; Ratios'!$B$2:$I$8,7,FALSE)),0)</f>
        <v>0</v>
      </c>
      <c r="Z490" s="60">
        <f>IF($K490&lt;&gt;"N/A",$M490*(VLOOKUP($L490,'GPU Specs &amp; Ratios'!$B$2:$I$8,8,FALSE)),0)</f>
        <v>0</v>
      </c>
      <c r="AA490" s="60">
        <f>(C490/D490)*VLOOKUP($E490,'AWS Platforms Ratios'!$A$2:$O$25,15,FALSE)</f>
        <v>48.6</v>
      </c>
      <c r="AB490" s="60">
        <f t="shared" ref="AB490:AE490" si="490">O490+S490+W490+$AA490</f>
        <v>89.91082759</v>
      </c>
      <c r="AC490" s="60">
        <f t="shared" si="490"/>
        <v>150.2757931</v>
      </c>
      <c r="AD490" s="60">
        <f t="shared" si="490"/>
        <v>244.7026552</v>
      </c>
      <c r="AE490" s="60">
        <f t="shared" si="490"/>
        <v>320.1696466</v>
      </c>
      <c r="AF490" s="60">
        <f>IF(G490&gt;'Scope 3 Ratios'!$B$5,(G490-'Scope 3 Ratios'!$B$5)*('Scope 3 Ratios'!$B$6/'Scope 3 Ratios'!$B$5),0)</f>
        <v>61.0236</v>
      </c>
      <c r="AG490" s="60">
        <f>J490*IF(I490="SSD",'Scope 3 Ratios'!$B$9,'Scope 3 Ratios'!$B$8)</f>
        <v>0</v>
      </c>
      <c r="AH490" s="60">
        <f>IF(K490&lt;&gt;"N/A",K490*'Scope 3 Ratios'!$B$10,0)</f>
        <v>0</v>
      </c>
      <c r="AI490" s="60">
        <f>(VLOOKUP($E490,'AWS Platforms Ratios'!$A$2:$O$25,3,FALSE)-1)*'Scope 3 Ratios'!$B$7</f>
        <v>100</v>
      </c>
      <c r="AJ490" s="60">
        <f>'Scope 3 Ratios'!$B$2+AF490+AG490+AH490+AI490</f>
        <v>1161.0236</v>
      </c>
      <c r="AK490" s="60">
        <f>AJ490*'Scope 3 Ratios'!$B$4*(C490/D490)</f>
        <v>30.23498958</v>
      </c>
      <c r="AL490" s="61" t="s">
        <v>113</v>
      </c>
    </row>
    <row r="491" ht="15.0" customHeight="1">
      <c r="A491" s="56" t="s">
        <v>810</v>
      </c>
      <c r="B491" s="56" t="s">
        <v>556</v>
      </c>
      <c r="C491" s="56">
        <v>2.0</v>
      </c>
      <c r="D491" s="56">
        <f>VLOOKUP(E491,'AWS Platforms Ratios'!$A$2:$B$25,2,FALSE)</f>
        <v>96</v>
      </c>
      <c r="E491" s="57" t="s">
        <v>350</v>
      </c>
      <c r="F491" s="56">
        <v>16.0</v>
      </c>
      <c r="G491" s="56">
        <v>768.0</v>
      </c>
      <c r="H491" s="57" t="s">
        <v>71</v>
      </c>
      <c r="I491" s="56" t="s">
        <v>72</v>
      </c>
      <c r="J491" s="56">
        <v>0.0</v>
      </c>
      <c r="K491" s="58" t="s">
        <v>73</v>
      </c>
      <c r="L491" s="58" t="s">
        <v>73</v>
      </c>
      <c r="M491" s="58" t="s">
        <v>73</v>
      </c>
      <c r="N491" s="58" t="s">
        <v>73</v>
      </c>
      <c r="O491" s="59">
        <f>($C491/$D491)*VLOOKUP($E491,'AWS Platforms Ratios'!$A$2:$O$25,7,FALSE)</f>
        <v>1.205833333</v>
      </c>
      <c r="P491" s="59">
        <f>($C491/$D491)*VLOOKUP($E491,'AWS Platforms Ratios'!$A$2:$O$25,8,FALSE)</f>
        <v>3.054791667</v>
      </c>
      <c r="Q491" s="59">
        <f>($C491/$D491)*VLOOKUP($E491,'AWS Platforms Ratios'!$A$2:$O$25,9,FALSE)</f>
        <v>7.160416667</v>
      </c>
      <c r="R491" s="59">
        <f>($C491/$D491)*VLOOKUP($E491,'AWS Platforms Ratios'!$A$2:$O$25,10,FALSE)</f>
        <v>9.9578125</v>
      </c>
      <c r="S491" s="59">
        <f>$F491*VLOOKUP($E491,'AWS Platforms Ratios'!$A$2:$O$25,11,FALSE)</f>
        <v>2.40875</v>
      </c>
      <c r="T491" s="59">
        <f>$F491*VLOOKUP($E491,'AWS Platforms Ratios'!$A$2:$O$25,12,FALSE)</f>
        <v>3.849583333</v>
      </c>
      <c r="U491" s="59">
        <f>$F491*VLOOKUP($E491,'AWS Platforms Ratios'!$A$2:$O$25,13,FALSE)</f>
        <v>9.920833333</v>
      </c>
      <c r="V491" s="59">
        <f>$F491*VLOOKUP($E491,'AWS Platforms Ratios'!$A$2:$O$25,14,FALSE)</f>
        <v>15.99208333</v>
      </c>
      <c r="W491" s="60">
        <f>IF($K491&lt;&gt;"N/A",$M491*(VLOOKUP($L491,'GPU Specs &amp; Ratios'!$B$2:$I$8,5,FALSE)),0)</f>
        <v>0</v>
      </c>
      <c r="X491" s="60">
        <f>IF($K491&lt;&gt;"N/A",$M491*(VLOOKUP($L491,'GPU Specs &amp; Ratios'!$B$2:$I$8,6,FALSE)),0)</f>
        <v>0</v>
      </c>
      <c r="Y491" s="60">
        <f>IF($K491&lt;&gt;"N/A",$M491*(VLOOKUP($L491,'GPU Specs &amp; Ratios'!$B$2:$I$8,7,FALSE)),0)</f>
        <v>0</v>
      </c>
      <c r="Z491" s="60">
        <f>IF($K491&lt;&gt;"N/A",$M491*(VLOOKUP($L491,'GPU Specs &amp; Ratios'!$B$2:$I$8,8,FALSE)),0)</f>
        <v>0</v>
      </c>
      <c r="AA491" s="60">
        <f>(C491/D491)*VLOOKUP($E491,'AWS Platforms Ratios'!$A$2:$O$25,15,FALSE)</f>
        <v>2</v>
      </c>
      <c r="AB491" s="60">
        <f t="shared" ref="AB491:AE491" si="491">O491+S491+W491+$AA491</f>
        <v>5.614583333</v>
      </c>
      <c r="AC491" s="60">
        <f t="shared" si="491"/>
        <v>8.904375</v>
      </c>
      <c r="AD491" s="60">
        <f t="shared" si="491"/>
        <v>19.08125</v>
      </c>
      <c r="AE491" s="60">
        <f t="shared" si="491"/>
        <v>27.94989583</v>
      </c>
      <c r="AF491" s="60">
        <f>IF(G491&gt;'Scope 3 Ratios'!$B$5,(G491-'Scope 3 Ratios'!$B$5)*('Scope 3 Ratios'!$B$6/'Scope 3 Ratios'!$B$5),0)</f>
        <v>1042.9488</v>
      </c>
      <c r="AG491" s="60">
        <f>J491*IF(I491="SSD",'Scope 3 Ratios'!$B$9,'Scope 3 Ratios'!$B$8)</f>
        <v>0</v>
      </c>
      <c r="AH491" s="60">
        <f>IF(K491&lt;&gt;"N/A",K491*'Scope 3 Ratios'!$B$10,0)</f>
        <v>0</v>
      </c>
      <c r="AI491" s="60">
        <f>(VLOOKUP($E491,'AWS Platforms Ratios'!$A$2:$O$25,3,FALSE)-1)*'Scope 3 Ratios'!$B$7</f>
        <v>100</v>
      </c>
      <c r="AJ491" s="60">
        <f>'Scope 3 Ratios'!$B$2+AF491+AG491+AH491+AI491</f>
        <v>2142.9488</v>
      </c>
      <c r="AK491" s="60">
        <f>AJ491*'Scope 3 Ratios'!$B$4*(C491/D491)</f>
        <v>1.291804591</v>
      </c>
      <c r="AL491" s="61" t="s">
        <v>557</v>
      </c>
    </row>
    <row r="492" ht="15.0" customHeight="1">
      <c r="A492" s="56" t="s">
        <v>811</v>
      </c>
      <c r="B492" s="56" t="s">
        <v>556</v>
      </c>
      <c r="C492" s="56">
        <v>4.0</v>
      </c>
      <c r="D492" s="56">
        <f>VLOOKUP(E492,'AWS Platforms Ratios'!$A$2:$B$25,2,FALSE)</f>
        <v>96</v>
      </c>
      <c r="E492" s="57" t="s">
        <v>350</v>
      </c>
      <c r="F492" s="56">
        <v>32.0</v>
      </c>
      <c r="G492" s="56">
        <v>768.0</v>
      </c>
      <c r="H492" s="57" t="s">
        <v>71</v>
      </c>
      <c r="I492" s="56" t="s">
        <v>72</v>
      </c>
      <c r="J492" s="56">
        <v>0.0</v>
      </c>
      <c r="K492" s="58" t="s">
        <v>73</v>
      </c>
      <c r="L492" s="58" t="s">
        <v>73</v>
      </c>
      <c r="M492" s="58" t="s">
        <v>73</v>
      </c>
      <c r="N492" s="58" t="s">
        <v>73</v>
      </c>
      <c r="O492" s="59">
        <f>($C492/$D492)*VLOOKUP($E492,'AWS Platforms Ratios'!$A$2:$O$25,7,FALSE)</f>
        <v>2.411666667</v>
      </c>
      <c r="P492" s="59">
        <f>($C492/$D492)*VLOOKUP($E492,'AWS Platforms Ratios'!$A$2:$O$25,8,FALSE)</f>
        <v>6.109583333</v>
      </c>
      <c r="Q492" s="59">
        <f>($C492/$D492)*VLOOKUP($E492,'AWS Platforms Ratios'!$A$2:$O$25,9,FALSE)</f>
        <v>14.32083333</v>
      </c>
      <c r="R492" s="59">
        <f>($C492/$D492)*VLOOKUP($E492,'AWS Platforms Ratios'!$A$2:$O$25,10,FALSE)</f>
        <v>19.915625</v>
      </c>
      <c r="S492" s="59">
        <f>$F492*VLOOKUP($E492,'AWS Platforms Ratios'!$A$2:$O$25,11,FALSE)</f>
        <v>4.8175</v>
      </c>
      <c r="T492" s="59">
        <f>$F492*VLOOKUP($E492,'AWS Platforms Ratios'!$A$2:$O$25,12,FALSE)</f>
        <v>7.699166667</v>
      </c>
      <c r="U492" s="59">
        <f>$F492*VLOOKUP($E492,'AWS Platforms Ratios'!$A$2:$O$25,13,FALSE)</f>
        <v>19.84166667</v>
      </c>
      <c r="V492" s="59">
        <f>$F492*VLOOKUP($E492,'AWS Platforms Ratios'!$A$2:$O$25,14,FALSE)</f>
        <v>31.98416667</v>
      </c>
      <c r="W492" s="60">
        <f>IF($K492&lt;&gt;"N/A",$M492*(VLOOKUP($L492,'GPU Specs &amp; Ratios'!$B$2:$I$8,5,FALSE)),0)</f>
        <v>0</v>
      </c>
      <c r="X492" s="60">
        <f>IF($K492&lt;&gt;"N/A",$M492*(VLOOKUP($L492,'GPU Specs &amp; Ratios'!$B$2:$I$8,6,FALSE)),0)</f>
        <v>0</v>
      </c>
      <c r="Y492" s="60">
        <f>IF($K492&lt;&gt;"N/A",$M492*(VLOOKUP($L492,'GPU Specs &amp; Ratios'!$B$2:$I$8,7,FALSE)),0)</f>
        <v>0</v>
      </c>
      <c r="Z492" s="60">
        <f>IF($K492&lt;&gt;"N/A",$M492*(VLOOKUP($L492,'GPU Specs &amp; Ratios'!$B$2:$I$8,8,FALSE)),0)</f>
        <v>0</v>
      </c>
      <c r="AA492" s="60">
        <f>(C492/D492)*VLOOKUP($E492,'AWS Platforms Ratios'!$A$2:$O$25,15,FALSE)</f>
        <v>4</v>
      </c>
      <c r="AB492" s="60">
        <f t="shared" ref="AB492:AE492" si="492">O492+S492+W492+$AA492</f>
        <v>11.22916667</v>
      </c>
      <c r="AC492" s="60">
        <f t="shared" si="492"/>
        <v>17.80875</v>
      </c>
      <c r="AD492" s="60">
        <f t="shared" si="492"/>
        <v>38.1625</v>
      </c>
      <c r="AE492" s="60">
        <f t="shared" si="492"/>
        <v>55.89979167</v>
      </c>
      <c r="AF492" s="60">
        <f>IF(G492&gt;'Scope 3 Ratios'!$B$5,(G492-'Scope 3 Ratios'!$B$5)*('Scope 3 Ratios'!$B$6/'Scope 3 Ratios'!$B$5),0)</f>
        <v>1042.9488</v>
      </c>
      <c r="AG492" s="60">
        <f>J492*IF(I492="SSD",'Scope 3 Ratios'!$B$9,'Scope 3 Ratios'!$B$8)</f>
        <v>0</v>
      </c>
      <c r="AH492" s="60">
        <f>IF(K492&lt;&gt;"N/A",K492*'Scope 3 Ratios'!$B$10,0)</f>
        <v>0</v>
      </c>
      <c r="AI492" s="60">
        <f>(VLOOKUP($E492,'AWS Platforms Ratios'!$A$2:$O$25,3,FALSE)-1)*'Scope 3 Ratios'!$B$7</f>
        <v>100</v>
      </c>
      <c r="AJ492" s="60">
        <f>'Scope 3 Ratios'!$B$2+AF492+AG492+AH492+AI492</f>
        <v>2142.9488</v>
      </c>
      <c r="AK492" s="60">
        <f>AJ492*'Scope 3 Ratios'!$B$4*(C492/D492)</f>
        <v>2.583609182</v>
      </c>
      <c r="AL492" s="61" t="s">
        <v>557</v>
      </c>
    </row>
    <row r="493" ht="15.0" customHeight="1">
      <c r="A493" s="56" t="s">
        <v>812</v>
      </c>
      <c r="B493" s="56" t="s">
        <v>556</v>
      </c>
      <c r="C493" s="56">
        <v>8.0</v>
      </c>
      <c r="D493" s="56">
        <f>VLOOKUP(E493,'AWS Platforms Ratios'!$A$2:$B$25,2,FALSE)</f>
        <v>96</v>
      </c>
      <c r="E493" s="57" t="s">
        <v>350</v>
      </c>
      <c r="F493" s="56">
        <v>64.0</v>
      </c>
      <c r="G493" s="56">
        <v>768.0</v>
      </c>
      <c r="H493" s="57" t="s">
        <v>71</v>
      </c>
      <c r="I493" s="56" t="s">
        <v>72</v>
      </c>
      <c r="J493" s="56">
        <v>0.0</v>
      </c>
      <c r="K493" s="58" t="s">
        <v>73</v>
      </c>
      <c r="L493" s="58" t="s">
        <v>73</v>
      </c>
      <c r="M493" s="58" t="s">
        <v>73</v>
      </c>
      <c r="N493" s="58" t="s">
        <v>73</v>
      </c>
      <c r="O493" s="59">
        <f>($C493/$D493)*VLOOKUP($E493,'AWS Platforms Ratios'!$A$2:$O$25,7,FALSE)</f>
        <v>4.823333333</v>
      </c>
      <c r="P493" s="59">
        <f>($C493/$D493)*VLOOKUP($E493,'AWS Platforms Ratios'!$A$2:$O$25,8,FALSE)</f>
        <v>12.21916667</v>
      </c>
      <c r="Q493" s="59">
        <f>($C493/$D493)*VLOOKUP($E493,'AWS Platforms Ratios'!$A$2:$O$25,9,FALSE)</f>
        <v>28.64166667</v>
      </c>
      <c r="R493" s="59">
        <f>($C493/$D493)*VLOOKUP($E493,'AWS Platforms Ratios'!$A$2:$O$25,10,FALSE)</f>
        <v>39.83125</v>
      </c>
      <c r="S493" s="59">
        <f>$F493*VLOOKUP($E493,'AWS Platforms Ratios'!$A$2:$O$25,11,FALSE)</f>
        <v>9.635</v>
      </c>
      <c r="T493" s="59">
        <f>$F493*VLOOKUP($E493,'AWS Platforms Ratios'!$A$2:$O$25,12,FALSE)</f>
        <v>15.39833333</v>
      </c>
      <c r="U493" s="59">
        <f>$F493*VLOOKUP($E493,'AWS Platforms Ratios'!$A$2:$O$25,13,FALSE)</f>
        <v>39.68333333</v>
      </c>
      <c r="V493" s="59">
        <f>$F493*VLOOKUP($E493,'AWS Platforms Ratios'!$A$2:$O$25,14,FALSE)</f>
        <v>63.96833333</v>
      </c>
      <c r="W493" s="60">
        <f>IF($K493&lt;&gt;"N/A",$M493*(VLOOKUP($L493,'GPU Specs &amp; Ratios'!$B$2:$I$8,5,FALSE)),0)</f>
        <v>0</v>
      </c>
      <c r="X493" s="60">
        <f>IF($K493&lt;&gt;"N/A",$M493*(VLOOKUP($L493,'GPU Specs &amp; Ratios'!$B$2:$I$8,6,FALSE)),0)</f>
        <v>0</v>
      </c>
      <c r="Y493" s="60">
        <f>IF($K493&lt;&gt;"N/A",$M493*(VLOOKUP($L493,'GPU Specs &amp; Ratios'!$B$2:$I$8,7,FALSE)),0)</f>
        <v>0</v>
      </c>
      <c r="Z493" s="60">
        <f>IF($K493&lt;&gt;"N/A",$M493*(VLOOKUP($L493,'GPU Specs &amp; Ratios'!$B$2:$I$8,8,FALSE)),0)</f>
        <v>0</v>
      </c>
      <c r="AA493" s="60">
        <f>(C493/D493)*VLOOKUP($E493,'AWS Platforms Ratios'!$A$2:$O$25,15,FALSE)</f>
        <v>8</v>
      </c>
      <c r="AB493" s="60">
        <f t="shared" ref="AB493:AE493" si="493">O493+S493+W493+$AA493</f>
        <v>22.45833333</v>
      </c>
      <c r="AC493" s="60">
        <f t="shared" si="493"/>
        <v>35.6175</v>
      </c>
      <c r="AD493" s="60">
        <f t="shared" si="493"/>
        <v>76.325</v>
      </c>
      <c r="AE493" s="60">
        <f t="shared" si="493"/>
        <v>111.7995833</v>
      </c>
      <c r="AF493" s="60">
        <f>IF(G493&gt;'Scope 3 Ratios'!$B$5,(G493-'Scope 3 Ratios'!$B$5)*('Scope 3 Ratios'!$B$6/'Scope 3 Ratios'!$B$5),0)</f>
        <v>1042.9488</v>
      </c>
      <c r="AG493" s="60">
        <f>J493*IF(I493="SSD",'Scope 3 Ratios'!$B$9,'Scope 3 Ratios'!$B$8)</f>
        <v>0</v>
      </c>
      <c r="AH493" s="60">
        <f>IF(K493&lt;&gt;"N/A",K493*'Scope 3 Ratios'!$B$10,0)</f>
        <v>0</v>
      </c>
      <c r="AI493" s="60">
        <f>(VLOOKUP($E493,'AWS Platforms Ratios'!$A$2:$O$25,3,FALSE)-1)*'Scope 3 Ratios'!$B$7</f>
        <v>100</v>
      </c>
      <c r="AJ493" s="60">
        <f>'Scope 3 Ratios'!$B$2+AF493+AG493+AH493+AI493</f>
        <v>2142.9488</v>
      </c>
      <c r="AK493" s="60">
        <f>AJ493*'Scope 3 Ratios'!$B$4*(C493/D493)</f>
        <v>5.167218364</v>
      </c>
      <c r="AL493" s="61" t="s">
        <v>557</v>
      </c>
    </row>
    <row r="494" ht="15.0" customHeight="1">
      <c r="A494" s="56" t="s">
        <v>813</v>
      </c>
      <c r="B494" s="56" t="s">
        <v>556</v>
      </c>
      <c r="C494" s="56">
        <v>16.0</v>
      </c>
      <c r="D494" s="56">
        <f>VLOOKUP(E494,'AWS Platforms Ratios'!$A$2:$B$25,2,FALSE)</f>
        <v>96</v>
      </c>
      <c r="E494" s="57" t="s">
        <v>350</v>
      </c>
      <c r="F494" s="56">
        <v>128.0</v>
      </c>
      <c r="G494" s="56">
        <v>768.0</v>
      </c>
      <c r="H494" s="57" t="s">
        <v>71</v>
      </c>
      <c r="I494" s="56" t="s">
        <v>72</v>
      </c>
      <c r="J494" s="56">
        <v>0.0</v>
      </c>
      <c r="K494" s="58" t="s">
        <v>73</v>
      </c>
      <c r="L494" s="58" t="s">
        <v>73</v>
      </c>
      <c r="M494" s="58" t="s">
        <v>73</v>
      </c>
      <c r="N494" s="58" t="s">
        <v>73</v>
      </c>
      <c r="O494" s="59">
        <f>($C494/$D494)*VLOOKUP($E494,'AWS Platforms Ratios'!$A$2:$O$25,7,FALSE)</f>
        <v>9.646666667</v>
      </c>
      <c r="P494" s="59">
        <f>($C494/$D494)*VLOOKUP($E494,'AWS Platforms Ratios'!$A$2:$O$25,8,FALSE)</f>
        <v>24.43833333</v>
      </c>
      <c r="Q494" s="59">
        <f>($C494/$D494)*VLOOKUP($E494,'AWS Platforms Ratios'!$A$2:$O$25,9,FALSE)</f>
        <v>57.28333333</v>
      </c>
      <c r="R494" s="59">
        <f>($C494/$D494)*VLOOKUP($E494,'AWS Platforms Ratios'!$A$2:$O$25,10,FALSE)</f>
        <v>79.6625</v>
      </c>
      <c r="S494" s="59">
        <f>$F494*VLOOKUP($E494,'AWS Platforms Ratios'!$A$2:$O$25,11,FALSE)</f>
        <v>19.27</v>
      </c>
      <c r="T494" s="59">
        <f>$F494*VLOOKUP($E494,'AWS Platforms Ratios'!$A$2:$O$25,12,FALSE)</f>
        <v>30.79666667</v>
      </c>
      <c r="U494" s="59">
        <f>$F494*VLOOKUP($E494,'AWS Platforms Ratios'!$A$2:$O$25,13,FALSE)</f>
        <v>79.36666667</v>
      </c>
      <c r="V494" s="59">
        <f>$F494*VLOOKUP($E494,'AWS Platforms Ratios'!$A$2:$O$25,14,FALSE)</f>
        <v>127.9366667</v>
      </c>
      <c r="W494" s="60">
        <f>IF($K494&lt;&gt;"N/A",$M494*(VLOOKUP($L494,'GPU Specs &amp; Ratios'!$B$2:$I$8,5,FALSE)),0)</f>
        <v>0</v>
      </c>
      <c r="X494" s="60">
        <f>IF($K494&lt;&gt;"N/A",$M494*(VLOOKUP($L494,'GPU Specs &amp; Ratios'!$B$2:$I$8,6,FALSE)),0)</f>
        <v>0</v>
      </c>
      <c r="Y494" s="60">
        <f>IF($K494&lt;&gt;"N/A",$M494*(VLOOKUP($L494,'GPU Specs &amp; Ratios'!$B$2:$I$8,7,FALSE)),0)</f>
        <v>0</v>
      </c>
      <c r="Z494" s="60">
        <f>IF($K494&lt;&gt;"N/A",$M494*(VLOOKUP($L494,'GPU Specs &amp; Ratios'!$B$2:$I$8,8,FALSE)),0)</f>
        <v>0</v>
      </c>
      <c r="AA494" s="60">
        <f>(C494/D494)*VLOOKUP($E494,'AWS Platforms Ratios'!$A$2:$O$25,15,FALSE)</f>
        <v>16</v>
      </c>
      <c r="AB494" s="60">
        <f t="shared" ref="AB494:AE494" si="494">O494+S494+W494+$AA494</f>
        <v>44.91666667</v>
      </c>
      <c r="AC494" s="60">
        <f t="shared" si="494"/>
        <v>71.235</v>
      </c>
      <c r="AD494" s="60">
        <f t="shared" si="494"/>
        <v>152.65</v>
      </c>
      <c r="AE494" s="60">
        <f t="shared" si="494"/>
        <v>223.5991667</v>
      </c>
      <c r="AF494" s="60">
        <f>IF(G494&gt;'Scope 3 Ratios'!$B$5,(G494-'Scope 3 Ratios'!$B$5)*('Scope 3 Ratios'!$B$6/'Scope 3 Ratios'!$B$5),0)</f>
        <v>1042.9488</v>
      </c>
      <c r="AG494" s="60">
        <f>J494*IF(I494="SSD",'Scope 3 Ratios'!$B$9,'Scope 3 Ratios'!$B$8)</f>
        <v>0</v>
      </c>
      <c r="AH494" s="60">
        <f>IF(K494&lt;&gt;"N/A",K494*'Scope 3 Ratios'!$B$10,0)</f>
        <v>0</v>
      </c>
      <c r="AI494" s="60">
        <f>(VLOOKUP($E494,'AWS Platforms Ratios'!$A$2:$O$25,3,FALSE)-1)*'Scope 3 Ratios'!$B$7</f>
        <v>100</v>
      </c>
      <c r="AJ494" s="60">
        <f>'Scope 3 Ratios'!$B$2+AF494+AG494+AH494+AI494</f>
        <v>2142.9488</v>
      </c>
      <c r="AK494" s="60">
        <f>AJ494*'Scope 3 Ratios'!$B$4*(C494/D494)</f>
        <v>10.33443673</v>
      </c>
      <c r="AL494" s="61" t="s">
        <v>557</v>
      </c>
    </row>
    <row r="495" ht="15.0" customHeight="1">
      <c r="A495" s="56" t="s">
        <v>814</v>
      </c>
      <c r="B495" s="56" t="s">
        <v>556</v>
      </c>
      <c r="C495" s="56">
        <v>48.0</v>
      </c>
      <c r="D495" s="56">
        <f>VLOOKUP(E495,'AWS Platforms Ratios'!$A$2:$B$25,2,FALSE)</f>
        <v>96</v>
      </c>
      <c r="E495" s="57" t="s">
        <v>350</v>
      </c>
      <c r="F495" s="56">
        <v>384.0</v>
      </c>
      <c r="G495" s="56">
        <v>768.0</v>
      </c>
      <c r="H495" s="57" t="s">
        <v>71</v>
      </c>
      <c r="I495" s="56" t="s">
        <v>72</v>
      </c>
      <c r="J495" s="56">
        <v>0.0</v>
      </c>
      <c r="K495" s="58" t="s">
        <v>73</v>
      </c>
      <c r="L495" s="58" t="s">
        <v>73</v>
      </c>
      <c r="M495" s="58" t="s">
        <v>73</v>
      </c>
      <c r="N495" s="58" t="s">
        <v>73</v>
      </c>
      <c r="O495" s="59">
        <f>($C495/$D495)*VLOOKUP($E495,'AWS Platforms Ratios'!$A$2:$O$25,7,FALSE)</f>
        <v>28.94</v>
      </c>
      <c r="P495" s="59">
        <f>($C495/$D495)*VLOOKUP($E495,'AWS Platforms Ratios'!$A$2:$O$25,8,FALSE)</f>
        <v>73.315</v>
      </c>
      <c r="Q495" s="59">
        <f>($C495/$D495)*VLOOKUP($E495,'AWS Platforms Ratios'!$A$2:$O$25,9,FALSE)</f>
        <v>171.85</v>
      </c>
      <c r="R495" s="59">
        <f>($C495/$D495)*VLOOKUP($E495,'AWS Platforms Ratios'!$A$2:$O$25,10,FALSE)</f>
        <v>238.9875</v>
      </c>
      <c r="S495" s="59">
        <f>$F495*VLOOKUP($E495,'AWS Platforms Ratios'!$A$2:$O$25,11,FALSE)</f>
        <v>57.81</v>
      </c>
      <c r="T495" s="59">
        <f>$F495*VLOOKUP($E495,'AWS Platforms Ratios'!$A$2:$O$25,12,FALSE)</f>
        <v>92.39</v>
      </c>
      <c r="U495" s="59">
        <f>$F495*VLOOKUP($E495,'AWS Platforms Ratios'!$A$2:$O$25,13,FALSE)</f>
        <v>238.1</v>
      </c>
      <c r="V495" s="59">
        <f>$F495*VLOOKUP($E495,'AWS Platforms Ratios'!$A$2:$O$25,14,FALSE)</f>
        <v>383.81</v>
      </c>
      <c r="W495" s="60">
        <f>IF($K495&lt;&gt;"N/A",$M495*(VLOOKUP($L495,'GPU Specs &amp; Ratios'!$B$2:$I$8,5,FALSE)),0)</f>
        <v>0</v>
      </c>
      <c r="X495" s="60">
        <f>IF($K495&lt;&gt;"N/A",$M495*(VLOOKUP($L495,'GPU Specs &amp; Ratios'!$B$2:$I$8,6,FALSE)),0)</f>
        <v>0</v>
      </c>
      <c r="Y495" s="60">
        <f>IF($K495&lt;&gt;"N/A",$M495*(VLOOKUP($L495,'GPU Specs &amp; Ratios'!$B$2:$I$8,7,FALSE)),0)</f>
        <v>0</v>
      </c>
      <c r="Z495" s="60">
        <f>IF($K495&lt;&gt;"N/A",$M495*(VLOOKUP($L495,'GPU Specs &amp; Ratios'!$B$2:$I$8,8,FALSE)),0)</f>
        <v>0</v>
      </c>
      <c r="AA495" s="60">
        <f>(C495/D495)*VLOOKUP($E495,'AWS Platforms Ratios'!$A$2:$O$25,15,FALSE)</f>
        <v>48</v>
      </c>
      <c r="AB495" s="60">
        <f t="shared" ref="AB495:AE495" si="495">O495+S495+W495+$AA495</f>
        <v>134.75</v>
      </c>
      <c r="AC495" s="60">
        <f t="shared" si="495"/>
        <v>213.705</v>
      </c>
      <c r="AD495" s="60">
        <f t="shared" si="495"/>
        <v>457.95</v>
      </c>
      <c r="AE495" s="60">
        <f t="shared" si="495"/>
        <v>670.7975</v>
      </c>
      <c r="AF495" s="60">
        <f>IF(G495&gt;'Scope 3 Ratios'!$B$5,(G495-'Scope 3 Ratios'!$B$5)*('Scope 3 Ratios'!$B$6/'Scope 3 Ratios'!$B$5),0)</f>
        <v>1042.9488</v>
      </c>
      <c r="AG495" s="60">
        <f>J495*IF(I495="SSD",'Scope 3 Ratios'!$B$9,'Scope 3 Ratios'!$B$8)</f>
        <v>0</v>
      </c>
      <c r="AH495" s="60">
        <f>IF(K495&lt;&gt;"N/A",K495*'Scope 3 Ratios'!$B$10,0)</f>
        <v>0</v>
      </c>
      <c r="AI495" s="60">
        <f>(VLOOKUP($E495,'AWS Platforms Ratios'!$A$2:$O$25,3,FALSE)-1)*'Scope 3 Ratios'!$B$7</f>
        <v>100</v>
      </c>
      <c r="AJ495" s="60">
        <f>'Scope 3 Ratios'!$B$2+AF495+AG495+AH495+AI495</f>
        <v>2142.9488</v>
      </c>
      <c r="AK495" s="60">
        <f>AJ495*'Scope 3 Ratios'!$B$4*(C495/D495)</f>
        <v>31.00331019</v>
      </c>
      <c r="AL495" s="61" t="s">
        <v>557</v>
      </c>
    </row>
    <row r="496" ht="15.0" customHeight="1">
      <c r="A496" s="56" t="s">
        <v>815</v>
      </c>
      <c r="B496" s="56" t="s">
        <v>119</v>
      </c>
      <c r="C496" s="56">
        <v>2.0</v>
      </c>
      <c r="D496" s="56">
        <f>VLOOKUP(E496,'AWS Platforms Ratios'!$A$2:$B$25,2,FALSE)</f>
        <v>72</v>
      </c>
      <c r="E496" s="75" t="s">
        <v>269</v>
      </c>
      <c r="F496" s="56">
        <v>15.25</v>
      </c>
      <c r="G496" s="56">
        <v>488.0</v>
      </c>
      <c r="H496" s="57" t="s">
        <v>71</v>
      </c>
      <c r="I496" s="56" t="s">
        <v>72</v>
      </c>
      <c r="J496" s="56">
        <v>0.0</v>
      </c>
      <c r="K496" s="58" t="s">
        <v>73</v>
      </c>
      <c r="L496" s="58" t="s">
        <v>73</v>
      </c>
      <c r="M496" s="58" t="s">
        <v>73</v>
      </c>
      <c r="N496" s="58" t="s">
        <v>73</v>
      </c>
      <c r="O496" s="59">
        <f>($C496/$D496)*VLOOKUP($E496,'AWS Platforms Ratios'!$A$2:$O$25,7,FALSE)</f>
        <v>0.9716666667</v>
      </c>
      <c r="P496" s="59">
        <f>($C496/$D496)*VLOOKUP($E496,'AWS Platforms Ratios'!$A$2:$O$25,8,FALSE)</f>
        <v>2.773888889</v>
      </c>
      <c r="Q496" s="59">
        <f>($C496/$D496)*VLOOKUP($E496,'AWS Platforms Ratios'!$A$2:$O$25,9,FALSE)</f>
        <v>5.705277778</v>
      </c>
      <c r="R496" s="59">
        <f>($C496/$D496)*VLOOKUP($E496,'AWS Platforms Ratios'!$A$2:$O$25,10,FALSE)</f>
        <v>7.809236111</v>
      </c>
      <c r="S496" s="59">
        <f>$F496*VLOOKUP($E496,'AWS Platforms Ratios'!$A$2:$O$25,11,FALSE)</f>
        <v>3.05</v>
      </c>
      <c r="T496" s="59">
        <f>$F496*VLOOKUP($E496,'AWS Platforms Ratios'!$A$2:$O$25,12,FALSE)</f>
        <v>4.575</v>
      </c>
      <c r="U496" s="59">
        <f>$F496*VLOOKUP($E496,'AWS Platforms Ratios'!$A$2:$O$25,13,FALSE)</f>
        <v>6.1</v>
      </c>
      <c r="V496" s="59">
        <f>$F496*VLOOKUP($E496,'AWS Platforms Ratios'!$A$2:$O$25,14,FALSE)</f>
        <v>9.15</v>
      </c>
      <c r="W496" s="60">
        <f>IF($K496&lt;&gt;"N/A",$M496*(VLOOKUP($L496,'GPU Specs &amp; Ratios'!$B$2:$I$8,5,FALSE)),0)</f>
        <v>0</v>
      </c>
      <c r="X496" s="60">
        <f>IF($K496&lt;&gt;"N/A",$M496*(VLOOKUP($L496,'GPU Specs &amp; Ratios'!$B$2:$I$8,6,FALSE)),0)</f>
        <v>0</v>
      </c>
      <c r="Y496" s="60">
        <f>IF($K496&lt;&gt;"N/A",$M496*(VLOOKUP($L496,'GPU Specs &amp; Ratios'!$B$2:$I$8,7,FALSE)),0)</f>
        <v>0</v>
      </c>
      <c r="Z496" s="60">
        <f>IF($K496&lt;&gt;"N/A",$M496*(VLOOKUP($L496,'GPU Specs &amp; Ratios'!$B$2:$I$8,8,FALSE)),0)</f>
        <v>0</v>
      </c>
      <c r="AA496" s="60">
        <f>(C496/D496)*VLOOKUP($E496,'AWS Platforms Ratios'!$A$2:$O$25,15,FALSE)</f>
        <v>1.611111111</v>
      </c>
      <c r="AB496" s="60">
        <f t="shared" ref="AB496:AE496" si="496">O496+S496+W496+$AA496</f>
        <v>5.632777778</v>
      </c>
      <c r="AC496" s="60">
        <f t="shared" si="496"/>
        <v>8.96</v>
      </c>
      <c r="AD496" s="60">
        <f t="shared" si="496"/>
        <v>13.41638889</v>
      </c>
      <c r="AE496" s="60">
        <f t="shared" si="496"/>
        <v>18.57034722</v>
      </c>
      <c r="AF496" s="60">
        <f>IF(G496&gt;'Scope 3 Ratios'!$B$5,(G496-'Scope 3 Ratios'!$B$5)*('Scope 3 Ratios'!$B$6/'Scope 3 Ratios'!$B$5),0)</f>
        <v>654.6168</v>
      </c>
      <c r="AG496" s="60">
        <f>J496*IF(I496="SSD",'Scope 3 Ratios'!$B$9,'Scope 3 Ratios'!$B$8)</f>
        <v>0</v>
      </c>
      <c r="AH496" s="60">
        <f>IF(K496&lt;&gt;"N/A",K496*'Scope 3 Ratios'!$B$10,0)</f>
        <v>0</v>
      </c>
      <c r="AI496" s="60">
        <f>(VLOOKUP($E496,'AWS Platforms Ratios'!$A$2:$O$25,3,FALSE)-1)*'Scope 3 Ratios'!$B$7</f>
        <v>100</v>
      </c>
      <c r="AJ496" s="60">
        <f>'Scope 3 Ratios'!$B$2+AF496+AG496+AH496+AI496</f>
        <v>1754.6168</v>
      </c>
      <c r="AK496" s="60">
        <f>AJ496*'Scope 3 Ratios'!$B$4*(C496/D496)</f>
        <v>1.410282279</v>
      </c>
      <c r="AL496" s="61" t="s">
        <v>549</v>
      </c>
    </row>
    <row r="497" ht="15.0" customHeight="1">
      <c r="A497" s="56" t="s">
        <v>816</v>
      </c>
      <c r="B497" s="56" t="s">
        <v>119</v>
      </c>
      <c r="C497" s="56">
        <v>4.0</v>
      </c>
      <c r="D497" s="56">
        <f>VLOOKUP(E497,'AWS Platforms Ratios'!$A$2:$B$25,2,FALSE)</f>
        <v>72</v>
      </c>
      <c r="E497" s="75" t="s">
        <v>269</v>
      </c>
      <c r="F497" s="56">
        <v>30.5</v>
      </c>
      <c r="G497" s="56">
        <v>488.0</v>
      </c>
      <c r="H497" s="57" t="s">
        <v>71</v>
      </c>
      <c r="I497" s="56" t="s">
        <v>72</v>
      </c>
      <c r="J497" s="56">
        <v>0.0</v>
      </c>
      <c r="K497" s="58" t="s">
        <v>73</v>
      </c>
      <c r="L497" s="58" t="s">
        <v>73</v>
      </c>
      <c r="M497" s="58" t="s">
        <v>73</v>
      </c>
      <c r="N497" s="58" t="s">
        <v>73</v>
      </c>
      <c r="O497" s="59">
        <f>($C497/$D497)*VLOOKUP($E497,'AWS Platforms Ratios'!$A$2:$O$25,7,FALSE)</f>
        <v>1.943333333</v>
      </c>
      <c r="P497" s="59">
        <f>($C497/$D497)*VLOOKUP($E497,'AWS Platforms Ratios'!$A$2:$O$25,8,FALSE)</f>
        <v>5.547777778</v>
      </c>
      <c r="Q497" s="59">
        <f>($C497/$D497)*VLOOKUP($E497,'AWS Platforms Ratios'!$A$2:$O$25,9,FALSE)</f>
        <v>11.41055556</v>
      </c>
      <c r="R497" s="59">
        <f>($C497/$D497)*VLOOKUP($E497,'AWS Platforms Ratios'!$A$2:$O$25,10,FALSE)</f>
        <v>15.61847222</v>
      </c>
      <c r="S497" s="59">
        <f>$F497*VLOOKUP($E497,'AWS Platforms Ratios'!$A$2:$O$25,11,FALSE)</f>
        <v>6.1</v>
      </c>
      <c r="T497" s="59">
        <f>$F497*VLOOKUP($E497,'AWS Platforms Ratios'!$A$2:$O$25,12,FALSE)</f>
        <v>9.15</v>
      </c>
      <c r="U497" s="59">
        <f>$F497*VLOOKUP($E497,'AWS Platforms Ratios'!$A$2:$O$25,13,FALSE)</f>
        <v>12.2</v>
      </c>
      <c r="V497" s="59">
        <f>$F497*VLOOKUP($E497,'AWS Platforms Ratios'!$A$2:$O$25,14,FALSE)</f>
        <v>18.3</v>
      </c>
      <c r="W497" s="60">
        <f>IF($K497&lt;&gt;"N/A",$M497*(VLOOKUP($L497,'GPU Specs &amp; Ratios'!$B$2:$I$8,5,FALSE)),0)</f>
        <v>0</v>
      </c>
      <c r="X497" s="60">
        <f>IF($K497&lt;&gt;"N/A",$M497*(VLOOKUP($L497,'GPU Specs &amp; Ratios'!$B$2:$I$8,6,FALSE)),0)</f>
        <v>0</v>
      </c>
      <c r="Y497" s="60">
        <f>IF($K497&lt;&gt;"N/A",$M497*(VLOOKUP($L497,'GPU Specs &amp; Ratios'!$B$2:$I$8,7,FALSE)),0)</f>
        <v>0</v>
      </c>
      <c r="Z497" s="60">
        <f>IF($K497&lt;&gt;"N/A",$M497*(VLOOKUP($L497,'GPU Specs &amp; Ratios'!$B$2:$I$8,8,FALSE)),0)</f>
        <v>0</v>
      </c>
      <c r="AA497" s="60">
        <f>(C497/D497)*VLOOKUP($E497,'AWS Platforms Ratios'!$A$2:$O$25,15,FALSE)</f>
        <v>3.222222222</v>
      </c>
      <c r="AB497" s="60">
        <f t="shared" ref="AB497:AE497" si="497">O497+S497+W497+$AA497</f>
        <v>11.26555556</v>
      </c>
      <c r="AC497" s="60">
        <f t="shared" si="497"/>
        <v>17.92</v>
      </c>
      <c r="AD497" s="60">
        <f t="shared" si="497"/>
        <v>26.83277778</v>
      </c>
      <c r="AE497" s="60">
        <f t="shared" si="497"/>
        <v>37.14069444</v>
      </c>
      <c r="AF497" s="60">
        <f>IF(G497&gt;'Scope 3 Ratios'!$B$5,(G497-'Scope 3 Ratios'!$B$5)*('Scope 3 Ratios'!$B$6/'Scope 3 Ratios'!$B$5),0)</f>
        <v>654.6168</v>
      </c>
      <c r="AG497" s="60">
        <f>J497*IF(I497="SSD",'Scope 3 Ratios'!$B$9,'Scope 3 Ratios'!$B$8)</f>
        <v>0</v>
      </c>
      <c r="AH497" s="60">
        <f>IF(K497&lt;&gt;"N/A",K497*'Scope 3 Ratios'!$B$10,0)</f>
        <v>0</v>
      </c>
      <c r="AI497" s="60">
        <f>(VLOOKUP($E497,'AWS Platforms Ratios'!$A$2:$O$25,3,FALSE)-1)*'Scope 3 Ratios'!$B$7</f>
        <v>100</v>
      </c>
      <c r="AJ497" s="60">
        <f>'Scope 3 Ratios'!$B$2+AF497+AG497+AH497+AI497</f>
        <v>1754.6168</v>
      </c>
      <c r="AK497" s="60">
        <f>AJ497*'Scope 3 Ratios'!$B$4*(C497/D497)</f>
        <v>2.820564558</v>
      </c>
      <c r="AL497" s="61" t="s">
        <v>549</v>
      </c>
    </row>
    <row r="498" ht="15.0" customHeight="1">
      <c r="A498" s="56" t="s">
        <v>817</v>
      </c>
      <c r="B498" s="56" t="s">
        <v>119</v>
      </c>
      <c r="C498" s="56">
        <v>8.0</v>
      </c>
      <c r="D498" s="56">
        <f>VLOOKUP(E498,'AWS Platforms Ratios'!$A$2:$B$25,2,FALSE)</f>
        <v>72</v>
      </c>
      <c r="E498" s="75" t="s">
        <v>269</v>
      </c>
      <c r="F498" s="56">
        <v>61.0</v>
      </c>
      <c r="G498" s="56">
        <v>488.0</v>
      </c>
      <c r="H498" s="57" t="s">
        <v>71</v>
      </c>
      <c r="I498" s="56" t="s">
        <v>72</v>
      </c>
      <c r="J498" s="56">
        <v>0.0</v>
      </c>
      <c r="K498" s="58" t="s">
        <v>73</v>
      </c>
      <c r="L498" s="58" t="s">
        <v>73</v>
      </c>
      <c r="M498" s="58" t="s">
        <v>73</v>
      </c>
      <c r="N498" s="58" t="s">
        <v>73</v>
      </c>
      <c r="O498" s="59">
        <f>($C498/$D498)*VLOOKUP($E498,'AWS Platforms Ratios'!$A$2:$O$25,7,FALSE)</f>
        <v>3.886666667</v>
      </c>
      <c r="P498" s="59">
        <f>($C498/$D498)*VLOOKUP($E498,'AWS Platforms Ratios'!$A$2:$O$25,8,FALSE)</f>
        <v>11.09555556</v>
      </c>
      <c r="Q498" s="59">
        <f>($C498/$D498)*VLOOKUP($E498,'AWS Platforms Ratios'!$A$2:$O$25,9,FALSE)</f>
        <v>22.82111111</v>
      </c>
      <c r="R498" s="59">
        <f>($C498/$D498)*VLOOKUP($E498,'AWS Platforms Ratios'!$A$2:$O$25,10,FALSE)</f>
        <v>31.23694444</v>
      </c>
      <c r="S498" s="59">
        <f>$F498*VLOOKUP($E498,'AWS Platforms Ratios'!$A$2:$O$25,11,FALSE)</f>
        <v>12.2</v>
      </c>
      <c r="T498" s="59">
        <f>$F498*VLOOKUP($E498,'AWS Platforms Ratios'!$A$2:$O$25,12,FALSE)</f>
        <v>18.3</v>
      </c>
      <c r="U498" s="59">
        <f>$F498*VLOOKUP($E498,'AWS Platforms Ratios'!$A$2:$O$25,13,FALSE)</f>
        <v>24.4</v>
      </c>
      <c r="V498" s="59">
        <f>$F498*VLOOKUP($E498,'AWS Platforms Ratios'!$A$2:$O$25,14,FALSE)</f>
        <v>36.6</v>
      </c>
      <c r="W498" s="60">
        <f>IF($K498&lt;&gt;"N/A",$M498*(VLOOKUP($L498,'GPU Specs &amp; Ratios'!$B$2:$I$8,5,FALSE)),0)</f>
        <v>0</v>
      </c>
      <c r="X498" s="60">
        <f>IF($K498&lt;&gt;"N/A",$M498*(VLOOKUP($L498,'GPU Specs &amp; Ratios'!$B$2:$I$8,6,FALSE)),0)</f>
        <v>0</v>
      </c>
      <c r="Y498" s="60">
        <f>IF($K498&lt;&gt;"N/A",$M498*(VLOOKUP($L498,'GPU Specs &amp; Ratios'!$B$2:$I$8,7,FALSE)),0)</f>
        <v>0</v>
      </c>
      <c r="Z498" s="60">
        <f>IF($K498&lt;&gt;"N/A",$M498*(VLOOKUP($L498,'GPU Specs &amp; Ratios'!$B$2:$I$8,8,FALSE)),0)</f>
        <v>0</v>
      </c>
      <c r="AA498" s="60">
        <f>(C498/D498)*VLOOKUP($E498,'AWS Platforms Ratios'!$A$2:$O$25,15,FALSE)</f>
        <v>6.444444444</v>
      </c>
      <c r="AB498" s="60">
        <f t="shared" ref="AB498:AE498" si="498">O498+S498+W498+$AA498</f>
        <v>22.53111111</v>
      </c>
      <c r="AC498" s="60">
        <f t="shared" si="498"/>
        <v>35.84</v>
      </c>
      <c r="AD498" s="60">
        <f t="shared" si="498"/>
        <v>53.66555556</v>
      </c>
      <c r="AE498" s="60">
        <f t="shared" si="498"/>
        <v>74.28138889</v>
      </c>
      <c r="AF498" s="60">
        <f>IF(G498&gt;'Scope 3 Ratios'!$B$5,(G498-'Scope 3 Ratios'!$B$5)*('Scope 3 Ratios'!$B$6/'Scope 3 Ratios'!$B$5),0)</f>
        <v>654.6168</v>
      </c>
      <c r="AG498" s="60">
        <f>J498*IF(I498="SSD",'Scope 3 Ratios'!$B$9,'Scope 3 Ratios'!$B$8)</f>
        <v>0</v>
      </c>
      <c r="AH498" s="60">
        <f>IF(K498&lt;&gt;"N/A",K498*'Scope 3 Ratios'!$B$10,0)</f>
        <v>0</v>
      </c>
      <c r="AI498" s="60">
        <f>(VLOOKUP($E498,'AWS Platforms Ratios'!$A$2:$O$25,3,FALSE)-1)*'Scope 3 Ratios'!$B$7</f>
        <v>100</v>
      </c>
      <c r="AJ498" s="60">
        <f>'Scope 3 Ratios'!$B$2+AF498+AG498+AH498+AI498</f>
        <v>1754.6168</v>
      </c>
      <c r="AK498" s="60">
        <f>AJ498*'Scope 3 Ratios'!$B$4*(C498/D498)</f>
        <v>5.641129115</v>
      </c>
      <c r="AL498" s="61" t="s">
        <v>549</v>
      </c>
    </row>
    <row r="499" ht="15.0" customHeight="1">
      <c r="A499" s="56" t="s">
        <v>818</v>
      </c>
      <c r="B499" s="56" t="s">
        <v>119</v>
      </c>
      <c r="C499" s="56">
        <v>16.0</v>
      </c>
      <c r="D499" s="56">
        <f>VLOOKUP(E499,'AWS Platforms Ratios'!$A$2:$B$25,2,FALSE)</f>
        <v>72</v>
      </c>
      <c r="E499" s="75" t="s">
        <v>269</v>
      </c>
      <c r="F499" s="56">
        <v>122.0</v>
      </c>
      <c r="G499" s="56">
        <v>488.0</v>
      </c>
      <c r="H499" s="57" t="s">
        <v>71</v>
      </c>
      <c r="I499" s="56" t="s">
        <v>72</v>
      </c>
      <c r="J499" s="56">
        <v>0.0</v>
      </c>
      <c r="K499" s="58" t="s">
        <v>73</v>
      </c>
      <c r="L499" s="58" t="s">
        <v>73</v>
      </c>
      <c r="M499" s="58" t="s">
        <v>73</v>
      </c>
      <c r="N499" s="58" t="s">
        <v>73</v>
      </c>
      <c r="O499" s="59">
        <f>($C499/$D499)*VLOOKUP($E499,'AWS Platforms Ratios'!$A$2:$O$25,7,FALSE)</f>
        <v>7.773333333</v>
      </c>
      <c r="P499" s="59">
        <f>($C499/$D499)*VLOOKUP($E499,'AWS Platforms Ratios'!$A$2:$O$25,8,FALSE)</f>
        <v>22.19111111</v>
      </c>
      <c r="Q499" s="59">
        <f>($C499/$D499)*VLOOKUP($E499,'AWS Platforms Ratios'!$A$2:$O$25,9,FALSE)</f>
        <v>45.64222222</v>
      </c>
      <c r="R499" s="59">
        <f>($C499/$D499)*VLOOKUP($E499,'AWS Platforms Ratios'!$A$2:$O$25,10,FALSE)</f>
        <v>62.47388889</v>
      </c>
      <c r="S499" s="59">
        <f>$F499*VLOOKUP($E499,'AWS Platforms Ratios'!$A$2:$O$25,11,FALSE)</f>
        <v>24.4</v>
      </c>
      <c r="T499" s="59">
        <f>$F499*VLOOKUP($E499,'AWS Platforms Ratios'!$A$2:$O$25,12,FALSE)</f>
        <v>36.6</v>
      </c>
      <c r="U499" s="59">
        <f>$F499*VLOOKUP($E499,'AWS Platforms Ratios'!$A$2:$O$25,13,FALSE)</f>
        <v>48.8</v>
      </c>
      <c r="V499" s="59">
        <f>$F499*VLOOKUP($E499,'AWS Platforms Ratios'!$A$2:$O$25,14,FALSE)</f>
        <v>73.2</v>
      </c>
      <c r="W499" s="60">
        <f>IF($K499&lt;&gt;"N/A",$M499*(VLOOKUP($L499,'GPU Specs &amp; Ratios'!$B$2:$I$8,5,FALSE)),0)</f>
        <v>0</v>
      </c>
      <c r="X499" s="60">
        <f>IF($K499&lt;&gt;"N/A",$M499*(VLOOKUP($L499,'GPU Specs &amp; Ratios'!$B$2:$I$8,6,FALSE)),0)</f>
        <v>0</v>
      </c>
      <c r="Y499" s="60">
        <f>IF($K499&lt;&gt;"N/A",$M499*(VLOOKUP($L499,'GPU Specs &amp; Ratios'!$B$2:$I$8,7,FALSE)),0)</f>
        <v>0</v>
      </c>
      <c r="Z499" s="60">
        <f>IF($K499&lt;&gt;"N/A",$M499*(VLOOKUP($L499,'GPU Specs &amp; Ratios'!$B$2:$I$8,8,FALSE)),0)</f>
        <v>0</v>
      </c>
      <c r="AA499" s="60">
        <f>(C499/D499)*VLOOKUP($E499,'AWS Platforms Ratios'!$A$2:$O$25,15,FALSE)</f>
        <v>12.88888889</v>
      </c>
      <c r="AB499" s="60">
        <f t="shared" ref="AB499:AE499" si="499">O499+S499+W499+$AA499</f>
        <v>45.06222222</v>
      </c>
      <c r="AC499" s="60">
        <f t="shared" si="499"/>
        <v>71.68</v>
      </c>
      <c r="AD499" s="60">
        <f t="shared" si="499"/>
        <v>107.3311111</v>
      </c>
      <c r="AE499" s="60">
        <f t="shared" si="499"/>
        <v>148.5627778</v>
      </c>
      <c r="AF499" s="60">
        <f>IF(G499&gt;'Scope 3 Ratios'!$B$5,(G499-'Scope 3 Ratios'!$B$5)*('Scope 3 Ratios'!$B$6/'Scope 3 Ratios'!$B$5),0)</f>
        <v>654.6168</v>
      </c>
      <c r="AG499" s="60">
        <f>J499*IF(I499="SSD",'Scope 3 Ratios'!$B$9,'Scope 3 Ratios'!$B$8)</f>
        <v>0</v>
      </c>
      <c r="AH499" s="60">
        <f>IF(K499&lt;&gt;"N/A",K499*'Scope 3 Ratios'!$B$10,0)</f>
        <v>0</v>
      </c>
      <c r="AI499" s="60">
        <f>(VLOOKUP($E499,'AWS Platforms Ratios'!$A$2:$O$25,3,FALSE)-1)*'Scope 3 Ratios'!$B$7</f>
        <v>100</v>
      </c>
      <c r="AJ499" s="60">
        <f>'Scope 3 Ratios'!$B$2+AF499+AG499+AH499+AI499</f>
        <v>1754.6168</v>
      </c>
      <c r="AK499" s="60">
        <f>AJ499*'Scope 3 Ratios'!$B$4*(C499/D499)</f>
        <v>11.28225823</v>
      </c>
      <c r="AL499" s="61" t="s">
        <v>549</v>
      </c>
    </row>
    <row r="500" ht="15.0" customHeight="1">
      <c r="A500" s="56" t="s">
        <v>819</v>
      </c>
      <c r="B500" s="56" t="s">
        <v>119</v>
      </c>
      <c r="C500" s="56">
        <v>32.0</v>
      </c>
      <c r="D500" s="56">
        <f>VLOOKUP(E500,'AWS Platforms Ratios'!$A$2:$B$25,2,FALSE)</f>
        <v>72</v>
      </c>
      <c r="E500" s="75" t="s">
        <v>269</v>
      </c>
      <c r="F500" s="56">
        <v>244.0</v>
      </c>
      <c r="G500" s="56">
        <v>488.0</v>
      </c>
      <c r="H500" s="57" t="s">
        <v>71</v>
      </c>
      <c r="I500" s="56" t="s">
        <v>72</v>
      </c>
      <c r="J500" s="56">
        <v>0.0</v>
      </c>
      <c r="K500" s="58" t="s">
        <v>73</v>
      </c>
      <c r="L500" s="58" t="s">
        <v>73</v>
      </c>
      <c r="M500" s="58" t="s">
        <v>73</v>
      </c>
      <c r="N500" s="58" t="s">
        <v>73</v>
      </c>
      <c r="O500" s="59">
        <f>($C500/$D500)*VLOOKUP($E500,'AWS Platforms Ratios'!$A$2:$O$25,7,FALSE)</f>
        <v>15.54666667</v>
      </c>
      <c r="P500" s="59">
        <f>($C500/$D500)*VLOOKUP($E500,'AWS Platforms Ratios'!$A$2:$O$25,8,FALSE)</f>
        <v>44.38222222</v>
      </c>
      <c r="Q500" s="59">
        <f>($C500/$D500)*VLOOKUP($E500,'AWS Platforms Ratios'!$A$2:$O$25,9,FALSE)</f>
        <v>91.28444444</v>
      </c>
      <c r="R500" s="59">
        <f>($C500/$D500)*VLOOKUP($E500,'AWS Platforms Ratios'!$A$2:$O$25,10,FALSE)</f>
        <v>124.9477778</v>
      </c>
      <c r="S500" s="59">
        <f>$F500*VLOOKUP($E500,'AWS Platforms Ratios'!$A$2:$O$25,11,FALSE)</f>
        <v>48.8</v>
      </c>
      <c r="T500" s="59">
        <f>$F500*VLOOKUP($E500,'AWS Platforms Ratios'!$A$2:$O$25,12,FALSE)</f>
        <v>73.2</v>
      </c>
      <c r="U500" s="59">
        <f>$F500*VLOOKUP($E500,'AWS Platforms Ratios'!$A$2:$O$25,13,FALSE)</f>
        <v>97.6</v>
      </c>
      <c r="V500" s="59">
        <f>$F500*VLOOKUP($E500,'AWS Platforms Ratios'!$A$2:$O$25,14,FALSE)</f>
        <v>146.4</v>
      </c>
      <c r="W500" s="60">
        <f>IF($K500&lt;&gt;"N/A",$M500*(VLOOKUP($L500,'GPU Specs &amp; Ratios'!$B$2:$I$8,5,FALSE)),0)</f>
        <v>0</v>
      </c>
      <c r="X500" s="60">
        <f>IF($K500&lt;&gt;"N/A",$M500*(VLOOKUP($L500,'GPU Specs &amp; Ratios'!$B$2:$I$8,6,FALSE)),0)</f>
        <v>0</v>
      </c>
      <c r="Y500" s="60">
        <f>IF($K500&lt;&gt;"N/A",$M500*(VLOOKUP($L500,'GPU Specs &amp; Ratios'!$B$2:$I$8,7,FALSE)),0)</f>
        <v>0</v>
      </c>
      <c r="Z500" s="60">
        <f>IF($K500&lt;&gt;"N/A",$M500*(VLOOKUP($L500,'GPU Specs &amp; Ratios'!$B$2:$I$8,8,FALSE)),0)</f>
        <v>0</v>
      </c>
      <c r="AA500" s="60">
        <f>(C500/D500)*VLOOKUP($E500,'AWS Platforms Ratios'!$A$2:$O$25,15,FALSE)</f>
        <v>25.77777778</v>
      </c>
      <c r="AB500" s="60">
        <f t="shared" ref="AB500:AE500" si="500">O500+S500+W500+$AA500</f>
        <v>90.12444444</v>
      </c>
      <c r="AC500" s="60">
        <f t="shared" si="500"/>
        <v>143.36</v>
      </c>
      <c r="AD500" s="60">
        <f t="shared" si="500"/>
        <v>214.6622222</v>
      </c>
      <c r="AE500" s="60">
        <f t="shared" si="500"/>
        <v>297.1255556</v>
      </c>
      <c r="AF500" s="60">
        <f>IF(G500&gt;'Scope 3 Ratios'!$B$5,(G500-'Scope 3 Ratios'!$B$5)*('Scope 3 Ratios'!$B$6/'Scope 3 Ratios'!$B$5),0)</f>
        <v>654.6168</v>
      </c>
      <c r="AG500" s="60">
        <f>J500*IF(I500="SSD",'Scope 3 Ratios'!$B$9,'Scope 3 Ratios'!$B$8)</f>
        <v>0</v>
      </c>
      <c r="AH500" s="60">
        <f>IF(K500&lt;&gt;"N/A",K500*'Scope 3 Ratios'!$B$10,0)</f>
        <v>0</v>
      </c>
      <c r="AI500" s="60">
        <f>(VLOOKUP($E500,'AWS Platforms Ratios'!$A$2:$O$25,3,FALSE)-1)*'Scope 3 Ratios'!$B$7</f>
        <v>100</v>
      </c>
      <c r="AJ500" s="60">
        <f>'Scope 3 Ratios'!$B$2+AF500+AG500+AH500+AI500</f>
        <v>1754.6168</v>
      </c>
      <c r="AK500" s="60">
        <f>AJ500*'Scope 3 Ratios'!$B$4*(C500/D500)</f>
        <v>22.56451646</v>
      </c>
      <c r="AL500" s="61" t="s">
        <v>549</v>
      </c>
    </row>
    <row r="501" ht="15.0" customHeight="1">
      <c r="A501" s="56" t="s">
        <v>820</v>
      </c>
      <c r="B501" s="56" t="s">
        <v>119</v>
      </c>
      <c r="C501" s="56">
        <v>64.0</v>
      </c>
      <c r="D501" s="56">
        <f>VLOOKUP(E501,'AWS Platforms Ratios'!$A$2:$B$25,2,FALSE)</f>
        <v>72</v>
      </c>
      <c r="E501" s="75" t="s">
        <v>269</v>
      </c>
      <c r="F501" s="56">
        <v>488.0</v>
      </c>
      <c r="G501" s="56">
        <v>488.0</v>
      </c>
      <c r="H501" s="57" t="s">
        <v>71</v>
      </c>
      <c r="I501" s="56" t="s">
        <v>72</v>
      </c>
      <c r="J501" s="56">
        <v>0.0</v>
      </c>
      <c r="K501" s="58" t="s">
        <v>73</v>
      </c>
      <c r="L501" s="58" t="s">
        <v>73</v>
      </c>
      <c r="M501" s="58" t="s">
        <v>73</v>
      </c>
      <c r="N501" s="58" t="s">
        <v>73</v>
      </c>
      <c r="O501" s="59">
        <f>($C501/$D501)*VLOOKUP($E501,'AWS Platforms Ratios'!$A$2:$O$25,7,FALSE)</f>
        <v>31.09333333</v>
      </c>
      <c r="P501" s="59">
        <f>($C501/$D501)*VLOOKUP($E501,'AWS Platforms Ratios'!$A$2:$O$25,8,FALSE)</f>
        <v>88.76444444</v>
      </c>
      <c r="Q501" s="59">
        <f>($C501/$D501)*VLOOKUP($E501,'AWS Platforms Ratios'!$A$2:$O$25,9,FALSE)</f>
        <v>182.5688889</v>
      </c>
      <c r="R501" s="59">
        <f>($C501/$D501)*VLOOKUP($E501,'AWS Platforms Ratios'!$A$2:$O$25,10,FALSE)</f>
        <v>249.8955556</v>
      </c>
      <c r="S501" s="59">
        <f>$F501*VLOOKUP($E501,'AWS Platforms Ratios'!$A$2:$O$25,11,FALSE)</f>
        <v>97.6</v>
      </c>
      <c r="T501" s="59">
        <f>$F501*VLOOKUP($E501,'AWS Platforms Ratios'!$A$2:$O$25,12,FALSE)</f>
        <v>146.4</v>
      </c>
      <c r="U501" s="59">
        <f>$F501*VLOOKUP($E501,'AWS Platforms Ratios'!$A$2:$O$25,13,FALSE)</f>
        <v>195.2</v>
      </c>
      <c r="V501" s="59">
        <f>$F501*VLOOKUP($E501,'AWS Platforms Ratios'!$A$2:$O$25,14,FALSE)</f>
        <v>292.8</v>
      </c>
      <c r="W501" s="60">
        <f>IF($K501&lt;&gt;"N/A",$M501*(VLOOKUP($L501,'GPU Specs &amp; Ratios'!$B$2:$I$8,5,FALSE)),0)</f>
        <v>0</v>
      </c>
      <c r="X501" s="60">
        <f>IF($K501&lt;&gt;"N/A",$M501*(VLOOKUP($L501,'GPU Specs &amp; Ratios'!$B$2:$I$8,6,FALSE)),0)</f>
        <v>0</v>
      </c>
      <c r="Y501" s="60">
        <f>IF($K501&lt;&gt;"N/A",$M501*(VLOOKUP($L501,'GPU Specs &amp; Ratios'!$B$2:$I$8,7,FALSE)),0)</f>
        <v>0</v>
      </c>
      <c r="Z501" s="60">
        <f>IF($K501&lt;&gt;"N/A",$M501*(VLOOKUP($L501,'GPU Specs &amp; Ratios'!$B$2:$I$8,8,FALSE)),0)</f>
        <v>0</v>
      </c>
      <c r="AA501" s="60">
        <f>(C501/D501)*VLOOKUP($E501,'AWS Platforms Ratios'!$A$2:$O$25,15,FALSE)</f>
        <v>51.55555556</v>
      </c>
      <c r="AB501" s="60">
        <f t="shared" ref="AB501:AE501" si="501">O501+S501+W501+$AA501</f>
        <v>180.2488889</v>
      </c>
      <c r="AC501" s="60">
        <f t="shared" si="501"/>
        <v>286.72</v>
      </c>
      <c r="AD501" s="60">
        <f t="shared" si="501"/>
        <v>429.3244444</v>
      </c>
      <c r="AE501" s="60">
        <f t="shared" si="501"/>
        <v>594.2511111</v>
      </c>
      <c r="AF501" s="60">
        <f>IF(G501&gt;'Scope 3 Ratios'!$B$5,(G501-'Scope 3 Ratios'!$B$5)*('Scope 3 Ratios'!$B$6/'Scope 3 Ratios'!$B$5),0)</f>
        <v>654.6168</v>
      </c>
      <c r="AG501" s="60">
        <f>J501*IF(I501="SSD",'Scope 3 Ratios'!$B$9,'Scope 3 Ratios'!$B$8)</f>
        <v>0</v>
      </c>
      <c r="AH501" s="60">
        <f>IF(K501&lt;&gt;"N/A",K501*'Scope 3 Ratios'!$B$10,0)</f>
        <v>0</v>
      </c>
      <c r="AI501" s="60">
        <f>(VLOOKUP($E501,'AWS Platforms Ratios'!$A$2:$O$25,3,FALSE)-1)*'Scope 3 Ratios'!$B$7</f>
        <v>100</v>
      </c>
      <c r="AJ501" s="60">
        <f>'Scope 3 Ratios'!$B$2+AF501+AG501+AH501+AI501</f>
        <v>1754.6168</v>
      </c>
      <c r="AK501" s="60">
        <f>AJ501*'Scope 3 Ratios'!$B$4*(C501/D501)</f>
        <v>45.12903292</v>
      </c>
      <c r="AL501" s="61" t="s">
        <v>549</v>
      </c>
    </row>
    <row r="502" ht="15.0" customHeight="1">
      <c r="A502" s="56" t="s">
        <v>821</v>
      </c>
      <c r="B502" s="56" t="s">
        <v>540</v>
      </c>
      <c r="C502" s="56">
        <v>2.0</v>
      </c>
      <c r="D502" s="56">
        <f>VLOOKUP(E502,'AWS Platforms Ratios'!$A$2:$B$25,2,FALSE)</f>
        <v>40</v>
      </c>
      <c r="E502" s="57" t="s">
        <v>259</v>
      </c>
      <c r="F502" s="56">
        <v>15.25</v>
      </c>
      <c r="G502" s="56">
        <v>244.0</v>
      </c>
      <c r="H502" s="57" t="s">
        <v>399</v>
      </c>
      <c r="I502" s="56" t="s">
        <v>85</v>
      </c>
      <c r="J502" s="56">
        <v>2.0</v>
      </c>
      <c r="K502" s="58" t="s">
        <v>73</v>
      </c>
      <c r="L502" s="58" t="s">
        <v>73</v>
      </c>
      <c r="M502" s="58" t="s">
        <v>73</v>
      </c>
      <c r="N502" s="58" t="s">
        <v>73</v>
      </c>
      <c r="O502" s="59">
        <f>($C502/$D502)*VLOOKUP($E502,'AWS Platforms Ratios'!$A$2:$O$25,7,FALSE)</f>
        <v>1.387137931</v>
      </c>
      <c r="P502" s="59">
        <f>($C502/$D502)*VLOOKUP($E502,'AWS Platforms Ratios'!$A$2:$O$25,8,FALSE)</f>
        <v>3.959965517</v>
      </c>
      <c r="Q502" s="59">
        <f>($C502/$D502)*VLOOKUP($E502,'AWS Platforms Ratios'!$A$2:$O$25,9,FALSE)</f>
        <v>8.144775862</v>
      </c>
      <c r="R502" s="59">
        <f>($C502/$D502)*VLOOKUP($E502,'AWS Platforms Ratios'!$A$2:$O$25,10,FALSE)</f>
        <v>11.14835776</v>
      </c>
      <c r="S502" s="59">
        <f>$F502*VLOOKUP($E502,'AWS Platforms Ratios'!$A$2:$O$25,11,FALSE)</f>
        <v>3.05</v>
      </c>
      <c r="T502" s="59">
        <f>$F502*VLOOKUP($E502,'AWS Platforms Ratios'!$A$2:$O$25,12,FALSE)</f>
        <v>4.575</v>
      </c>
      <c r="U502" s="59">
        <f>$F502*VLOOKUP($E502,'AWS Platforms Ratios'!$A$2:$O$25,13,FALSE)</f>
        <v>6.1</v>
      </c>
      <c r="V502" s="59">
        <f>$F502*VLOOKUP($E502,'AWS Platforms Ratios'!$A$2:$O$25,14,FALSE)</f>
        <v>9.15</v>
      </c>
      <c r="W502" s="60">
        <f>IF($K502&lt;&gt;"N/A",$M502*(VLOOKUP($L502,'GPU Specs &amp; Ratios'!$B$2:$I$8,5,FALSE)),0)</f>
        <v>0</v>
      </c>
      <c r="X502" s="60">
        <f>IF($K502&lt;&gt;"N/A",$M502*(VLOOKUP($L502,'GPU Specs &amp; Ratios'!$B$2:$I$8,6,FALSE)),0)</f>
        <v>0</v>
      </c>
      <c r="Y502" s="60">
        <f>IF($K502&lt;&gt;"N/A",$M502*(VLOOKUP($L502,'GPU Specs &amp; Ratios'!$B$2:$I$8,7,FALSE)),0)</f>
        <v>0</v>
      </c>
      <c r="Z502" s="60">
        <f>IF($K502&lt;&gt;"N/A",$M502*(VLOOKUP($L502,'GPU Specs &amp; Ratios'!$B$2:$I$8,8,FALSE)),0)</f>
        <v>0</v>
      </c>
      <c r="AA502" s="60">
        <f>(C502/D502)*VLOOKUP($E502,'AWS Platforms Ratios'!$A$2:$O$25,15,FALSE)</f>
        <v>2.3</v>
      </c>
      <c r="AB502" s="60">
        <f t="shared" ref="AB502:AE502" si="502">O502+S502+W502+$AA502</f>
        <v>6.737137931</v>
      </c>
      <c r="AC502" s="60">
        <f t="shared" si="502"/>
        <v>10.83496552</v>
      </c>
      <c r="AD502" s="60">
        <f t="shared" si="502"/>
        <v>16.54477586</v>
      </c>
      <c r="AE502" s="60">
        <f t="shared" si="502"/>
        <v>22.59835776</v>
      </c>
      <c r="AF502" s="60">
        <f>IF(G502&gt;'Scope 3 Ratios'!$B$5,(G502-'Scope 3 Ratios'!$B$5)*('Scope 3 Ratios'!$B$6/'Scope 3 Ratios'!$B$5),0)</f>
        <v>316.2132</v>
      </c>
      <c r="AG502" s="60">
        <f>J502*IF(I502="SSD",'Scope 3 Ratios'!$B$9,'Scope 3 Ratios'!$B$8)</f>
        <v>200</v>
      </c>
      <c r="AH502" s="60">
        <f>IF(K502&lt;&gt;"N/A",K502*'Scope 3 Ratios'!$B$10,0)</f>
        <v>0</v>
      </c>
      <c r="AI502" s="60">
        <f>(VLOOKUP($E502,'AWS Platforms Ratios'!$A$2:$O$25,3,FALSE)-1)*'Scope 3 Ratios'!$B$7</f>
        <v>100</v>
      </c>
      <c r="AJ502" s="60">
        <f>'Scope 3 Ratios'!$B$2+AF502+AG502+AH502+AI502</f>
        <v>1616.2132</v>
      </c>
      <c r="AK502" s="60">
        <f>AJ502*'Scope 3 Ratios'!$B$4*(C502/D502)</f>
        <v>2.338271412</v>
      </c>
      <c r="AL502" s="61" t="s">
        <v>541</v>
      </c>
    </row>
    <row r="503" ht="15.0" customHeight="1">
      <c r="A503" s="56" t="s">
        <v>822</v>
      </c>
      <c r="B503" s="56" t="s">
        <v>540</v>
      </c>
      <c r="C503" s="56">
        <v>4.0</v>
      </c>
      <c r="D503" s="56">
        <f>VLOOKUP(E503,'AWS Platforms Ratios'!$A$2:$B$25,2,FALSE)</f>
        <v>40</v>
      </c>
      <c r="E503" s="57" t="s">
        <v>259</v>
      </c>
      <c r="F503" s="56">
        <v>30.5</v>
      </c>
      <c r="G503" s="56">
        <v>244.0</v>
      </c>
      <c r="H503" s="57" t="s">
        <v>543</v>
      </c>
      <c r="I503" s="56" t="s">
        <v>85</v>
      </c>
      <c r="J503" s="56">
        <v>2.0</v>
      </c>
      <c r="K503" s="58" t="s">
        <v>73</v>
      </c>
      <c r="L503" s="58" t="s">
        <v>73</v>
      </c>
      <c r="M503" s="58" t="s">
        <v>73</v>
      </c>
      <c r="N503" s="58" t="s">
        <v>73</v>
      </c>
      <c r="O503" s="59">
        <f>($C503/$D503)*VLOOKUP($E503,'AWS Platforms Ratios'!$A$2:$O$25,7,FALSE)</f>
        <v>2.774275862</v>
      </c>
      <c r="P503" s="59">
        <f>($C503/$D503)*VLOOKUP($E503,'AWS Platforms Ratios'!$A$2:$O$25,8,FALSE)</f>
        <v>7.919931034</v>
      </c>
      <c r="Q503" s="59">
        <f>($C503/$D503)*VLOOKUP($E503,'AWS Platforms Ratios'!$A$2:$O$25,9,FALSE)</f>
        <v>16.28955172</v>
      </c>
      <c r="R503" s="59">
        <f>($C503/$D503)*VLOOKUP($E503,'AWS Platforms Ratios'!$A$2:$O$25,10,FALSE)</f>
        <v>22.29671552</v>
      </c>
      <c r="S503" s="59">
        <f>$F503*VLOOKUP($E503,'AWS Platforms Ratios'!$A$2:$O$25,11,FALSE)</f>
        <v>6.1</v>
      </c>
      <c r="T503" s="59">
        <f>$F503*VLOOKUP($E503,'AWS Platforms Ratios'!$A$2:$O$25,12,FALSE)</f>
        <v>9.15</v>
      </c>
      <c r="U503" s="59">
        <f>$F503*VLOOKUP($E503,'AWS Platforms Ratios'!$A$2:$O$25,13,FALSE)</f>
        <v>12.2</v>
      </c>
      <c r="V503" s="59">
        <f>$F503*VLOOKUP($E503,'AWS Platforms Ratios'!$A$2:$O$25,14,FALSE)</f>
        <v>18.3</v>
      </c>
      <c r="W503" s="60">
        <f>IF($K503&lt;&gt;"N/A",$M503*(VLOOKUP($L503,'GPU Specs &amp; Ratios'!$B$2:$I$8,5,FALSE)),0)</f>
        <v>0</v>
      </c>
      <c r="X503" s="60">
        <f>IF($K503&lt;&gt;"N/A",$M503*(VLOOKUP($L503,'GPU Specs &amp; Ratios'!$B$2:$I$8,6,FALSE)),0)</f>
        <v>0</v>
      </c>
      <c r="Y503" s="60">
        <f>IF($K503&lt;&gt;"N/A",$M503*(VLOOKUP($L503,'GPU Specs &amp; Ratios'!$B$2:$I$8,7,FALSE)),0)</f>
        <v>0</v>
      </c>
      <c r="Z503" s="60">
        <f>IF($K503&lt;&gt;"N/A",$M503*(VLOOKUP($L503,'GPU Specs &amp; Ratios'!$B$2:$I$8,8,FALSE)),0)</f>
        <v>0</v>
      </c>
      <c r="AA503" s="60">
        <f>(C503/D503)*VLOOKUP($E503,'AWS Platforms Ratios'!$A$2:$O$25,15,FALSE)</f>
        <v>4.6</v>
      </c>
      <c r="AB503" s="60">
        <f t="shared" ref="AB503:AE503" si="503">O503+S503+W503+$AA503</f>
        <v>13.47427586</v>
      </c>
      <c r="AC503" s="60">
        <f t="shared" si="503"/>
        <v>21.66993103</v>
      </c>
      <c r="AD503" s="60">
        <f t="shared" si="503"/>
        <v>33.08955172</v>
      </c>
      <c r="AE503" s="60">
        <f t="shared" si="503"/>
        <v>45.19671552</v>
      </c>
      <c r="AF503" s="60">
        <f>IF(G503&gt;'Scope 3 Ratios'!$B$5,(G503-'Scope 3 Ratios'!$B$5)*('Scope 3 Ratios'!$B$6/'Scope 3 Ratios'!$B$5),0)</f>
        <v>316.2132</v>
      </c>
      <c r="AG503" s="60">
        <f>J503*IF(I503="SSD",'Scope 3 Ratios'!$B$9,'Scope 3 Ratios'!$B$8)</f>
        <v>200</v>
      </c>
      <c r="AH503" s="60">
        <f>IF(K503&lt;&gt;"N/A",K503*'Scope 3 Ratios'!$B$10,0)</f>
        <v>0</v>
      </c>
      <c r="AI503" s="60">
        <f>(VLOOKUP($E503,'AWS Platforms Ratios'!$A$2:$O$25,3,FALSE)-1)*'Scope 3 Ratios'!$B$7</f>
        <v>100</v>
      </c>
      <c r="AJ503" s="60">
        <f>'Scope 3 Ratios'!$B$2+AF503+AG503+AH503+AI503</f>
        <v>1616.2132</v>
      </c>
      <c r="AK503" s="60">
        <f>AJ503*'Scope 3 Ratios'!$B$4*(C503/D503)</f>
        <v>4.676542824</v>
      </c>
      <c r="AL503" s="61" t="s">
        <v>541</v>
      </c>
    </row>
    <row r="504" ht="15.0" customHeight="1">
      <c r="A504" s="56" t="s">
        <v>823</v>
      </c>
      <c r="B504" s="56" t="s">
        <v>540</v>
      </c>
      <c r="C504" s="56">
        <v>8.0</v>
      </c>
      <c r="D504" s="56">
        <f>VLOOKUP(E504,'AWS Platforms Ratios'!$A$2:$B$25,2,FALSE)</f>
        <v>40</v>
      </c>
      <c r="E504" s="57" t="s">
        <v>259</v>
      </c>
      <c r="F504" s="56">
        <v>61.0</v>
      </c>
      <c r="G504" s="56">
        <v>244.0</v>
      </c>
      <c r="H504" s="57" t="s">
        <v>377</v>
      </c>
      <c r="I504" s="56" t="s">
        <v>85</v>
      </c>
      <c r="J504" s="56">
        <v>2.0</v>
      </c>
      <c r="K504" s="58" t="s">
        <v>73</v>
      </c>
      <c r="L504" s="58" t="s">
        <v>73</v>
      </c>
      <c r="M504" s="58" t="s">
        <v>73</v>
      </c>
      <c r="N504" s="58" t="s">
        <v>73</v>
      </c>
      <c r="O504" s="59">
        <f>($C504/$D504)*VLOOKUP($E504,'AWS Platforms Ratios'!$A$2:$O$25,7,FALSE)</f>
        <v>5.548551724</v>
      </c>
      <c r="P504" s="59">
        <f>($C504/$D504)*VLOOKUP($E504,'AWS Platforms Ratios'!$A$2:$O$25,8,FALSE)</f>
        <v>15.83986207</v>
      </c>
      <c r="Q504" s="59">
        <f>($C504/$D504)*VLOOKUP($E504,'AWS Platforms Ratios'!$A$2:$O$25,9,FALSE)</f>
        <v>32.57910345</v>
      </c>
      <c r="R504" s="59">
        <f>($C504/$D504)*VLOOKUP($E504,'AWS Platforms Ratios'!$A$2:$O$25,10,FALSE)</f>
        <v>44.59343103</v>
      </c>
      <c r="S504" s="59">
        <f>$F504*VLOOKUP($E504,'AWS Platforms Ratios'!$A$2:$O$25,11,FALSE)</f>
        <v>12.2</v>
      </c>
      <c r="T504" s="59">
        <f>$F504*VLOOKUP($E504,'AWS Platforms Ratios'!$A$2:$O$25,12,FALSE)</f>
        <v>18.3</v>
      </c>
      <c r="U504" s="59">
        <f>$F504*VLOOKUP($E504,'AWS Platforms Ratios'!$A$2:$O$25,13,FALSE)</f>
        <v>24.4</v>
      </c>
      <c r="V504" s="59">
        <f>$F504*VLOOKUP($E504,'AWS Platforms Ratios'!$A$2:$O$25,14,FALSE)</f>
        <v>36.6</v>
      </c>
      <c r="W504" s="60">
        <f>IF($K504&lt;&gt;"N/A",$M504*(VLOOKUP($L504,'GPU Specs &amp; Ratios'!$B$2:$I$8,5,FALSE)),0)</f>
        <v>0</v>
      </c>
      <c r="X504" s="60">
        <f>IF($K504&lt;&gt;"N/A",$M504*(VLOOKUP($L504,'GPU Specs &amp; Ratios'!$B$2:$I$8,6,FALSE)),0)</f>
        <v>0</v>
      </c>
      <c r="Y504" s="60">
        <f>IF($K504&lt;&gt;"N/A",$M504*(VLOOKUP($L504,'GPU Specs &amp; Ratios'!$B$2:$I$8,7,FALSE)),0)</f>
        <v>0</v>
      </c>
      <c r="Z504" s="60">
        <f>IF($K504&lt;&gt;"N/A",$M504*(VLOOKUP($L504,'GPU Specs &amp; Ratios'!$B$2:$I$8,8,FALSE)),0)</f>
        <v>0</v>
      </c>
      <c r="AA504" s="60">
        <f>(C504/D504)*VLOOKUP($E504,'AWS Platforms Ratios'!$A$2:$O$25,15,FALSE)</f>
        <v>9.2</v>
      </c>
      <c r="AB504" s="60">
        <f t="shared" ref="AB504:AE504" si="504">O504+S504+W504+$AA504</f>
        <v>26.94855172</v>
      </c>
      <c r="AC504" s="60">
        <f t="shared" si="504"/>
        <v>43.33986207</v>
      </c>
      <c r="AD504" s="60">
        <f t="shared" si="504"/>
        <v>66.17910345</v>
      </c>
      <c r="AE504" s="60">
        <f t="shared" si="504"/>
        <v>90.39343103</v>
      </c>
      <c r="AF504" s="60">
        <f>IF(G504&gt;'Scope 3 Ratios'!$B$5,(G504-'Scope 3 Ratios'!$B$5)*('Scope 3 Ratios'!$B$6/'Scope 3 Ratios'!$B$5),0)</f>
        <v>316.2132</v>
      </c>
      <c r="AG504" s="60">
        <f>J504*IF(I504="SSD",'Scope 3 Ratios'!$B$9,'Scope 3 Ratios'!$B$8)</f>
        <v>200</v>
      </c>
      <c r="AH504" s="60">
        <f>IF(K504&lt;&gt;"N/A",K504*'Scope 3 Ratios'!$B$10,0)</f>
        <v>0</v>
      </c>
      <c r="AI504" s="60">
        <f>(VLOOKUP($E504,'AWS Platforms Ratios'!$A$2:$O$25,3,FALSE)-1)*'Scope 3 Ratios'!$B$7</f>
        <v>100</v>
      </c>
      <c r="AJ504" s="60">
        <f>'Scope 3 Ratios'!$B$2+AF504+AG504+AH504+AI504</f>
        <v>1616.2132</v>
      </c>
      <c r="AK504" s="60">
        <f>AJ504*'Scope 3 Ratios'!$B$4*(C504/D504)</f>
        <v>9.353085648</v>
      </c>
      <c r="AL504" s="61" t="s">
        <v>541</v>
      </c>
    </row>
    <row r="505" ht="15.0" customHeight="1">
      <c r="A505" s="56" t="s">
        <v>824</v>
      </c>
      <c r="B505" s="56" t="s">
        <v>540</v>
      </c>
      <c r="C505" s="56">
        <v>16.0</v>
      </c>
      <c r="D505" s="56">
        <f>VLOOKUP(E505,'AWS Platforms Ratios'!$A$2:$B$25,2,FALSE)</f>
        <v>40</v>
      </c>
      <c r="E505" s="57" t="s">
        <v>259</v>
      </c>
      <c r="F505" s="56">
        <v>122.0</v>
      </c>
      <c r="G505" s="56">
        <v>244.0</v>
      </c>
      <c r="H505" s="57" t="s">
        <v>546</v>
      </c>
      <c r="I505" s="56" t="s">
        <v>85</v>
      </c>
      <c r="J505" s="56">
        <v>2.0</v>
      </c>
      <c r="K505" s="58" t="s">
        <v>73</v>
      </c>
      <c r="L505" s="58" t="s">
        <v>73</v>
      </c>
      <c r="M505" s="58" t="s">
        <v>73</v>
      </c>
      <c r="N505" s="58" t="s">
        <v>73</v>
      </c>
      <c r="O505" s="59">
        <f>($C505/$D505)*VLOOKUP($E505,'AWS Platforms Ratios'!$A$2:$O$25,7,FALSE)</f>
        <v>11.09710345</v>
      </c>
      <c r="P505" s="59">
        <f>($C505/$D505)*VLOOKUP($E505,'AWS Platforms Ratios'!$A$2:$O$25,8,FALSE)</f>
        <v>31.67972414</v>
      </c>
      <c r="Q505" s="59">
        <f>($C505/$D505)*VLOOKUP($E505,'AWS Platforms Ratios'!$A$2:$O$25,9,FALSE)</f>
        <v>65.1582069</v>
      </c>
      <c r="R505" s="59">
        <f>($C505/$D505)*VLOOKUP($E505,'AWS Platforms Ratios'!$A$2:$O$25,10,FALSE)</f>
        <v>89.18686207</v>
      </c>
      <c r="S505" s="59">
        <f>$F505*VLOOKUP($E505,'AWS Platforms Ratios'!$A$2:$O$25,11,FALSE)</f>
        <v>24.4</v>
      </c>
      <c r="T505" s="59">
        <f>$F505*VLOOKUP($E505,'AWS Platforms Ratios'!$A$2:$O$25,12,FALSE)</f>
        <v>36.6</v>
      </c>
      <c r="U505" s="59">
        <f>$F505*VLOOKUP($E505,'AWS Platforms Ratios'!$A$2:$O$25,13,FALSE)</f>
        <v>48.8</v>
      </c>
      <c r="V505" s="59">
        <f>$F505*VLOOKUP($E505,'AWS Platforms Ratios'!$A$2:$O$25,14,FALSE)</f>
        <v>73.2</v>
      </c>
      <c r="W505" s="60">
        <f>IF($K505&lt;&gt;"N/A",$M505*(VLOOKUP($L505,'GPU Specs &amp; Ratios'!$B$2:$I$8,5,FALSE)),0)</f>
        <v>0</v>
      </c>
      <c r="X505" s="60">
        <f>IF($K505&lt;&gt;"N/A",$M505*(VLOOKUP($L505,'GPU Specs &amp; Ratios'!$B$2:$I$8,6,FALSE)),0)</f>
        <v>0</v>
      </c>
      <c r="Y505" s="60">
        <f>IF($K505&lt;&gt;"N/A",$M505*(VLOOKUP($L505,'GPU Specs &amp; Ratios'!$B$2:$I$8,7,FALSE)),0)</f>
        <v>0</v>
      </c>
      <c r="Z505" s="60">
        <f>IF($K505&lt;&gt;"N/A",$M505*(VLOOKUP($L505,'GPU Specs &amp; Ratios'!$B$2:$I$8,8,FALSE)),0)</f>
        <v>0</v>
      </c>
      <c r="AA505" s="60">
        <f>(C505/D505)*VLOOKUP($E505,'AWS Platforms Ratios'!$A$2:$O$25,15,FALSE)</f>
        <v>18.4</v>
      </c>
      <c r="AB505" s="60">
        <f t="shared" ref="AB505:AE505" si="505">O505+S505+W505+$AA505</f>
        <v>53.89710345</v>
      </c>
      <c r="AC505" s="60">
        <f t="shared" si="505"/>
        <v>86.67972414</v>
      </c>
      <c r="AD505" s="60">
        <f t="shared" si="505"/>
        <v>132.3582069</v>
      </c>
      <c r="AE505" s="60">
        <f t="shared" si="505"/>
        <v>180.7868621</v>
      </c>
      <c r="AF505" s="60">
        <f>IF(G505&gt;'Scope 3 Ratios'!$B$5,(G505-'Scope 3 Ratios'!$B$5)*('Scope 3 Ratios'!$B$6/'Scope 3 Ratios'!$B$5),0)</f>
        <v>316.2132</v>
      </c>
      <c r="AG505" s="60">
        <f>J505*IF(I505="SSD",'Scope 3 Ratios'!$B$9,'Scope 3 Ratios'!$B$8)</f>
        <v>200</v>
      </c>
      <c r="AH505" s="60">
        <f>IF(K505&lt;&gt;"N/A",K505*'Scope 3 Ratios'!$B$10,0)</f>
        <v>0</v>
      </c>
      <c r="AI505" s="60">
        <f>(VLOOKUP($E505,'AWS Platforms Ratios'!$A$2:$O$25,3,FALSE)-1)*'Scope 3 Ratios'!$B$7</f>
        <v>100</v>
      </c>
      <c r="AJ505" s="60">
        <f>'Scope 3 Ratios'!$B$2+AF505+AG505+AH505+AI505</f>
        <v>1616.2132</v>
      </c>
      <c r="AK505" s="60">
        <f>AJ505*'Scope 3 Ratios'!$B$4*(C505/D505)</f>
        <v>18.7061713</v>
      </c>
      <c r="AL505" s="61" t="s">
        <v>541</v>
      </c>
    </row>
    <row r="506" ht="15.0" customHeight="1">
      <c r="A506" s="56" t="s">
        <v>825</v>
      </c>
      <c r="B506" s="56" t="s">
        <v>540</v>
      </c>
      <c r="C506" s="56">
        <v>32.0</v>
      </c>
      <c r="D506" s="56">
        <f>VLOOKUP(E506,'AWS Platforms Ratios'!$A$2:$B$25,2,FALSE)</f>
        <v>40</v>
      </c>
      <c r="E506" s="57" t="s">
        <v>259</v>
      </c>
      <c r="F506" s="56">
        <v>244.0</v>
      </c>
      <c r="G506" s="56">
        <v>244.0</v>
      </c>
      <c r="H506" s="57" t="s">
        <v>109</v>
      </c>
      <c r="I506" s="56" t="s">
        <v>85</v>
      </c>
      <c r="J506" s="56">
        <v>2.0</v>
      </c>
      <c r="K506" s="58" t="s">
        <v>73</v>
      </c>
      <c r="L506" s="58" t="s">
        <v>73</v>
      </c>
      <c r="M506" s="58" t="s">
        <v>73</v>
      </c>
      <c r="N506" s="58" t="s">
        <v>73</v>
      </c>
      <c r="O506" s="59">
        <f>($C506/$D506)*VLOOKUP($E506,'AWS Platforms Ratios'!$A$2:$O$25,7,FALSE)</f>
        <v>22.1942069</v>
      </c>
      <c r="P506" s="59">
        <f>($C506/$D506)*VLOOKUP($E506,'AWS Platforms Ratios'!$A$2:$O$25,8,FALSE)</f>
        <v>63.35944828</v>
      </c>
      <c r="Q506" s="59">
        <f>($C506/$D506)*VLOOKUP($E506,'AWS Platforms Ratios'!$A$2:$O$25,9,FALSE)</f>
        <v>130.3164138</v>
      </c>
      <c r="R506" s="59">
        <f>($C506/$D506)*VLOOKUP($E506,'AWS Platforms Ratios'!$A$2:$O$25,10,FALSE)</f>
        <v>178.3737241</v>
      </c>
      <c r="S506" s="59">
        <f>$F506*VLOOKUP($E506,'AWS Platforms Ratios'!$A$2:$O$25,11,FALSE)</f>
        <v>48.8</v>
      </c>
      <c r="T506" s="59">
        <f>$F506*VLOOKUP($E506,'AWS Platforms Ratios'!$A$2:$O$25,12,FALSE)</f>
        <v>73.2</v>
      </c>
      <c r="U506" s="59">
        <f>$F506*VLOOKUP($E506,'AWS Platforms Ratios'!$A$2:$O$25,13,FALSE)</f>
        <v>97.6</v>
      </c>
      <c r="V506" s="59">
        <f>$F506*VLOOKUP($E506,'AWS Platforms Ratios'!$A$2:$O$25,14,FALSE)</f>
        <v>146.4</v>
      </c>
      <c r="W506" s="60">
        <f>IF($K506&lt;&gt;"N/A",$M506*(VLOOKUP($L506,'GPU Specs &amp; Ratios'!$B$2:$I$8,5,FALSE)),0)</f>
        <v>0</v>
      </c>
      <c r="X506" s="60">
        <f>IF($K506&lt;&gt;"N/A",$M506*(VLOOKUP($L506,'GPU Specs &amp; Ratios'!$B$2:$I$8,6,FALSE)),0)</f>
        <v>0</v>
      </c>
      <c r="Y506" s="60">
        <f>IF($K506&lt;&gt;"N/A",$M506*(VLOOKUP($L506,'GPU Specs &amp; Ratios'!$B$2:$I$8,7,FALSE)),0)</f>
        <v>0</v>
      </c>
      <c r="Z506" s="60">
        <f>IF($K506&lt;&gt;"N/A",$M506*(VLOOKUP($L506,'GPU Specs &amp; Ratios'!$B$2:$I$8,8,FALSE)),0)</f>
        <v>0</v>
      </c>
      <c r="AA506" s="60">
        <f>(C506/D506)*VLOOKUP($E506,'AWS Platforms Ratios'!$A$2:$O$25,15,FALSE)</f>
        <v>36.8</v>
      </c>
      <c r="AB506" s="60">
        <f t="shared" ref="AB506:AE506" si="506">O506+S506+W506+$AA506</f>
        <v>107.7942069</v>
      </c>
      <c r="AC506" s="60">
        <f t="shared" si="506"/>
        <v>173.3594483</v>
      </c>
      <c r="AD506" s="60">
        <f t="shared" si="506"/>
        <v>264.7164138</v>
      </c>
      <c r="AE506" s="60">
        <f t="shared" si="506"/>
        <v>361.5737241</v>
      </c>
      <c r="AF506" s="60">
        <f>IF(G506&gt;'Scope 3 Ratios'!$B$5,(G506-'Scope 3 Ratios'!$B$5)*('Scope 3 Ratios'!$B$6/'Scope 3 Ratios'!$B$5),0)</f>
        <v>316.2132</v>
      </c>
      <c r="AG506" s="60">
        <f>J506*IF(I506="SSD",'Scope 3 Ratios'!$B$9,'Scope 3 Ratios'!$B$8)</f>
        <v>200</v>
      </c>
      <c r="AH506" s="60">
        <f>IF(K506&lt;&gt;"N/A",K506*'Scope 3 Ratios'!$B$10,0)</f>
        <v>0</v>
      </c>
      <c r="AI506" s="60">
        <f>(VLOOKUP($E506,'AWS Platforms Ratios'!$A$2:$O$25,3,FALSE)-1)*'Scope 3 Ratios'!$B$7</f>
        <v>100</v>
      </c>
      <c r="AJ506" s="60">
        <f>'Scope 3 Ratios'!$B$2+AF506+AG506+AH506+AI506</f>
        <v>1616.2132</v>
      </c>
      <c r="AK506" s="60">
        <f>AJ506*'Scope 3 Ratios'!$B$4*(C506/D506)</f>
        <v>37.41234259</v>
      </c>
      <c r="AL506" s="61" t="s">
        <v>541</v>
      </c>
    </row>
    <row r="507" ht="15.0" customHeight="1">
      <c r="A507" s="56" t="s">
        <v>826</v>
      </c>
      <c r="B507" s="56" t="s">
        <v>119</v>
      </c>
      <c r="C507" s="56">
        <v>2.0</v>
      </c>
      <c r="D507" s="56">
        <f>VLOOKUP(E507,'AWS Platforms Ratios'!$A$2:$B$25,2,FALSE)</f>
        <v>72</v>
      </c>
      <c r="E507" s="57" t="s">
        <v>269</v>
      </c>
      <c r="F507" s="56">
        <v>15.25</v>
      </c>
      <c r="G507" s="56">
        <v>512.0</v>
      </c>
      <c r="H507" s="57" t="s">
        <v>827</v>
      </c>
      <c r="I507" s="56" t="s">
        <v>85</v>
      </c>
      <c r="J507" s="56">
        <v>8.0</v>
      </c>
      <c r="K507" s="58" t="s">
        <v>73</v>
      </c>
      <c r="L507" s="58" t="s">
        <v>73</v>
      </c>
      <c r="M507" s="58" t="s">
        <v>73</v>
      </c>
      <c r="N507" s="58" t="s">
        <v>73</v>
      </c>
      <c r="O507" s="59">
        <f>($C507/$D507)*VLOOKUP($E507,'AWS Platforms Ratios'!$A$2:$O$25,7,FALSE)</f>
        <v>0.9716666667</v>
      </c>
      <c r="P507" s="59">
        <f>($C507/$D507)*VLOOKUP($E507,'AWS Platforms Ratios'!$A$2:$O$25,8,FALSE)</f>
        <v>2.773888889</v>
      </c>
      <c r="Q507" s="59">
        <f>($C507/$D507)*VLOOKUP($E507,'AWS Platforms Ratios'!$A$2:$O$25,9,FALSE)</f>
        <v>5.705277778</v>
      </c>
      <c r="R507" s="59">
        <f>($C507/$D507)*VLOOKUP($E507,'AWS Platforms Ratios'!$A$2:$O$25,10,FALSE)</f>
        <v>7.809236111</v>
      </c>
      <c r="S507" s="59">
        <f>$F507*VLOOKUP($E507,'AWS Platforms Ratios'!$A$2:$O$25,11,FALSE)</f>
        <v>3.05</v>
      </c>
      <c r="T507" s="59">
        <f>$F507*VLOOKUP($E507,'AWS Platforms Ratios'!$A$2:$O$25,12,FALSE)</f>
        <v>4.575</v>
      </c>
      <c r="U507" s="59">
        <f>$F507*VLOOKUP($E507,'AWS Platforms Ratios'!$A$2:$O$25,13,FALSE)</f>
        <v>6.1</v>
      </c>
      <c r="V507" s="59">
        <f>$F507*VLOOKUP($E507,'AWS Platforms Ratios'!$A$2:$O$25,14,FALSE)</f>
        <v>9.15</v>
      </c>
      <c r="W507" s="60">
        <f>IF($K507&lt;&gt;"N/A",$M507*(VLOOKUP($L507,'GPU Specs &amp; Ratios'!$B$2:$I$8,5,FALSE)),0)</f>
        <v>0</v>
      </c>
      <c r="X507" s="60">
        <f>IF($K507&lt;&gt;"N/A",$M507*(VLOOKUP($L507,'GPU Specs &amp; Ratios'!$B$2:$I$8,6,FALSE)),0)</f>
        <v>0</v>
      </c>
      <c r="Y507" s="60">
        <f>IF($K507&lt;&gt;"N/A",$M507*(VLOOKUP($L507,'GPU Specs &amp; Ratios'!$B$2:$I$8,7,FALSE)),0)</f>
        <v>0</v>
      </c>
      <c r="Z507" s="60">
        <f>IF($K507&lt;&gt;"N/A",$M507*(VLOOKUP($L507,'GPU Specs &amp; Ratios'!$B$2:$I$8,8,FALSE)),0)</f>
        <v>0</v>
      </c>
      <c r="AA507" s="60">
        <f>(C507/D507)*VLOOKUP($E507,'AWS Platforms Ratios'!$A$2:$O$25,15,FALSE)</f>
        <v>1.611111111</v>
      </c>
      <c r="AB507" s="60">
        <f t="shared" ref="AB507:AE507" si="507">O507+S507+W507+$AA507</f>
        <v>5.632777778</v>
      </c>
      <c r="AC507" s="60">
        <f t="shared" si="507"/>
        <v>8.96</v>
      </c>
      <c r="AD507" s="60">
        <f t="shared" si="507"/>
        <v>13.41638889</v>
      </c>
      <c r="AE507" s="60">
        <f t="shared" si="507"/>
        <v>18.57034722</v>
      </c>
      <c r="AF507" s="60">
        <f>IF(G507&gt;'Scope 3 Ratios'!$B$5,(G507-'Scope 3 Ratios'!$B$5)*('Scope 3 Ratios'!$B$6/'Scope 3 Ratios'!$B$5),0)</f>
        <v>687.9024</v>
      </c>
      <c r="AG507" s="60">
        <f>J507*IF(I507="SSD",'Scope 3 Ratios'!$B$9,'Scope 3 Ratios'!$B$8)</f>
        <v>800</v>
      </c>
      <c r="AH507" s="60">
        <f>IF(K507&lt;&gt;"N/A",K507*'Scope 3 Ratios'!$B$10,0)</f>
        <v>0</v>
      </c>
      <c r="AI507" s="60">
        <f>(VLOOKUP($E507,'AWS Platforms Ratios'!$A$2:$O$25,3,FALSE)-1)*'Scope 3 Ratios'!$B$7</f>
        <v>100</v>
      </c>
      <c r="AJ507" s="60">
        <f>'Scope 3 Ratios'!$B$2+AF507+AG507+AH507+AI507</f>
        <v>2587.9024</v>
      </c>
      <c r="AK507" s="60">
        <f>AJ507*'Scope 3 Ratios'!$B$4*(C507/D507)</f>
        <v>2.080039866</v>
      </c>
      <c r="AL507" s="61" t="s">
        <v>828</v>
      </c>
    </row>
    <row r="508" ht="15.0" customHeight="1">
      <c r="A508" s="56" t="s">
        <v>829</v>
      </c>
      <c r="B508" s="56" t="s">
        <v>119</v>
      </c>
      <c r="C508" s="56">
        <v>4.0</v>
      </c>
      <c r="D508" s="56">
        <f>VLOOKUP(E508,'AWS Platforms Ratios'!$A$2:$B$25,2,FALSE)</f>
        <v>72</v>
      </c>
      <c r="E508" s="57" t="s">
        <v>269</v>
      </c>
      <c r="F508" s="56">
        <v>30.5</v>
      </c>
      <c r="G508" s="56">
        <v>512.0</v>
      </c>
      <c r="H508" s="57" t="s">
        <v>830</v>
      </c>
      <c r="I508" s="56" t="s">
        <v>85</v>
      </c>
      <c r="J508" s="56">
        <v>8.0</v>
      </c>
      <c r="K508" s="58" t="s">
        <v>73</v>
      </c>
      <c r="L508" s="58" t="s">
        <v>73</v>
      </c>
      <c r="M508" s="58" t="s">
        <v>73</v>
      </c>
      <c r="N508" s="58" t="s">
        <v>73</v>
      </c>
      <c r="O508" s="59">
        <f>($C508/$D508)*VLOOKUP($E508,'AWS Platforms Ratios'!$A$2:$O$25,7,FALSE)</f>
        <v>1.943333333</v>
      </c>
      <c r="P508" s="59">
        <f>($C508/$D508)*VLOOKUP($E508,'AWS Platforms Ratios'!$A$2:$O$25,8,FALSE)</f>
        <v>5.547777778</v>
      </c>
      <c r="Q508" s="59">
        <f>($C508/$D508)*VLOOKUP($E508,'AWS Platforms Ratios'!$A$2:$O$25,9,FALSE)</f>
        <v>11.41055556</v>
      </c>
      <c r="R508" s="59">
        <f>($C508/$D508)*VLOOKUP($E508,'AWS Platforms Ratios'!$A$2:$O$25,10,FALSE)</f>
        <v>15.61847222</v>
      </c>
      <c r="S508" s="59">
        <f>$F508*VLOOKUP($E508,'AWS Platforms Ratios'!$A$2:$O$25,11,FALSE)</f>
        <v>6.1</v>
      </c>
      <c r="T508" s="59">
        <f>$F508*VLOOKUP($E508,'AWS Platforms Ratios'!$A$2:$O$25,12,FALSE)</f>
        <v>9.15</v>
      </c>
      <c r="U508" s="59">
        <f>$F508*VLOOKUP($E508,'AWS Platforms Ratios'!$A$2:$O$25,13,FALSE)</f>
        <v>12.2</v>
      </c>
      <c r="V508" s="59">
        <f>$F508*VLOOKUP($E508,'AWS Platforms Ratios'!$A$2:$O$25,14,FALSE)</f>
        <v>18.3</v>
      </c>
      <c r="W508" s="60">
        <f>IF($K508&lt;&gt;"N/A",$M508*(VLOOKUP($L508,'GPU Specs &amp; Ratios'!$B$2:$I$8,5,FALSE)),0)</f>
        <v>0</v>
      </c>
      <c r="X508" s="60">
        <f>IF($K508&lt;&gt;"N/A",$M508*(VLOOKUP($L508,'GPU Specs &amp; Ratios'!$B$2:$I$8,6,FALSE)),0)</f>
        <v>0</v>
      </c>
      <c r="Y508" s="60">
        <f>IF($K508&lt;&gt;"N/A",$M508*(VLOOKUP($L508,'GPU Specs &amp; Ratios'!$B$2:$I$8,7,FALSE)),0)</f>
        <v>0</v>
      </c>
      <c r="Z508" s="60">
        <f>IF($K508&lt;&gt;"N/A",$M508*(VLOOKUP($L508,'GPU Specs &amp; Ratios'!$B$2:$I$8,8,FALSE)),0)</f>
        <v>0</v>
      </c>
      <c r="AA508" s="60">
        <f>(C508/D508)*VLOOKUP($E508,'AWS Platforms Ratios'!$A$2:$O$25,15,FALSE)</f>
        <v>3.222222222</v>
      </c>
      <c r="AB508" s="60">
        <f t="shared" ref="AB508:AE508" si="508">O508+S508+W508+$AA508</f>
        <v>11.26555556</v>
      </c>
      <c r="AC508" s="60">
        <f t="shared" si="508"/>
        <v>17.92</v>
      </c>
      <c r="AD508" s="60">
        <f t="shared" si="508"/>
        <v>26.83277778</v>
      </c>
      <c r="AE508" s="60">
        <f t="shared" si="508"/>
        <v>37.14069444</v>
      </c>
      <c r="AF508" s="60">
        <f>IF(G508&gt;'Scope 3 Ratios'!$B$5,(G508-'Scope 3 Ratios'!$B$5)*('Scope 3 Ratios'!$B$6/'Scope 3 Ratios'!$B$5),0)</f>
        <v>687.9024</v>
      </c>
      <c r="AG508" s="60">
        <f>J508*IF(I508="SSD",'Scope 3 Ratios'!$B$9,'Scope 3 Ratios'!$B$8)</f>
        <v>800</v>
      </c>
      <c r="AH508" s="60">
        <f>IF(K508&lt;&gt;"N/A",K508*'Scope 3 Ratios'!$B$10,0)</f>
        <v>0</v>
      </c>
      <c r="AI508" s="60">
        <f>(VLOOKUP($E508,'AWS Platforms Ratios'!$A$2:$O$25,3,FALSE)-1)*'Scope 3 Ratios'!$B$7</f>
        <v>100</v>
      </c>
      <c r="AJ508" s="60">
        <f>'Scope 3 Ratios'!$B$2+AF508+AG508+AH508+AI508</f>
        <v>2587.9024</v>
      </c>
      <c r="AK508" s="60">
        <f>AJ508*'Scope 3 Ratios'!$B$4*(C508/D508)</f>
        <v>4.160079733</v>
      </c>
      <c r="AL508" s="61" t="s">
        <v>828</v>
      </c>
    </row>
    <row r="509" ht="15.0" customHeight="1">
      <c r="A509" s="56" t="s">
        <v>831</v>
      </c>
      <c r="B509" s="56" t="s">
        <v>119</v>
      </c>
      <c r="C509" s="56">
        <v>8.0</v>
      </c>
      <c r="D509" s="56">
        <f>VLOOKUP(E509,'AWS Platforms Ratios'!$A$2:$B$25,2,FALSE)</f>
        <v>72</v>
      </c>
      <c r="E509" s="57" t="s">
        <v>269</v>
      </c>
      <c r="F509" s="56">
        <v>61.0</v>
      </c>
      <c r="G509" s="56">
        <v>512.0</v>
      </c>
      <c r="H509" s="57" t="s">
        <v>832</v>
      </c>
      <c r="I509" s="56" t="s">
        <v>85</v>
      </c>
      <c r="J509" s="56">
        <v>8.0</v>
      </c>
      <c r="K509" s="58" t="s">
        <v>73</v>
      </c>
      <c r="L509" s="58" t="s">
        <v>73</v>
      </c>
      <c r="M509" s="58" t="s">
        <v>73</v>
      </c>
      <c r="N509" s="58" t="s">
        <v>73</v>
      </c>
      <c r="O509" s="59">
        <f>($C509/$D509)*VLOOKUP($E509,'AWS Platforms Ratios'!$A$2:$O$25,7,FALSE)</f>
        <v>3.886666667</v>
      </c>
      <c r="P509" s="59">
        <f>($C509/$D509)*VLOOKUP($E509,'AWS Platforms Ratios'!$A$2:$O$25,8,FALSE)</f>
        <v>11.09555556</v>
      </c>
      <c r="Q509" s="59">
        <f>($C509/$D509)*VLOOKUP($E509,'AWS Platforms Ratios'!$A$2:$O$25,9,FALSE)</f>
        <v>22.82111111</v>
      </c>
      <c r="R509" s="59">
        <f>($C509/$D509)*VLOOKUP($E509,'AWS Platforms Ratios'!$A$2:$O$25,10,FALSE)</f>
        <v>31.23694444</v>
      </c>
      <c r="S509" s="59">
        <f>$F509*VLOOKUP($E509,'AWS Platforms Ratios'!$A$2:$O$25,11,FALSE)</f>
        <v>12.2</v>
      </c>
      <c r="T509" s="59">
        <f>$F509*VLOOKUP($E509,'AWS Platforms Ratios'!$A$2:$O$25,12,FALSE)</f>
        <v>18.3</v>
      </c>
      <c r="U509" s="59">
        <f>$F509*VLOOKUP($E509,'AWS Platforms Ratios'!$A$2:$O$25,13,FALSE)</f>
        <v>24.4</v>
      </c>
      <c r="V509" s="59">
        <f>$F509*VLOOKUP($E509,'AWS Platforms Ratios'!$A$2:$O$25,14,FALSE)</f>
        <v>36.6</v>
      </c>
      <c r="W509" s="60">
        <f>IF($K509&lt;&gt;"N/A",$M509*(VLOOKUP($L509,'GPU Specs &amp; Ratios'!$B$2:$I$8,5,FALSE)),0)</f>
        <v>0</v>
      </c>
      <c r="X509" s="60">
        <f>IF($K509&lt;&gt;"N/A",$M509*(VLOOKUP($L509,'GPU Specs &amp; Ratios'!$B$2:$I$8,6,FALSE)),0)</f>
        <v>0</v>
      </c>
      <c r="Y509" s="60">
        <f>IF($K509&lt;&gt;"N/A",$M509*(VLOOKUP($L509,'GPU Specs &amp; Ratios'!$B$2:$I$8,7,FALSE)),0)</f>
        <v>0</v>
      </c>
      <c r="Z509" s="60">
        <f>IF($K509&lt;&gt;"N/A",$M509*(VLOOKUP($L509,'GPU Specs &amp; Ratios'!$B$2:$I$8,8,FALSE)),0)</f>
        <v>0</v>
      </c>
      <c r="AA509" s="60">
        <f>(C509/D509)*VLOOKUP($E509,'AWS Platforms Ratios'!$A$2:$O$25,15,FALSE)</f>
        <v>6.444444444</v>
      </c>
      <c r="AB509" s="60">
        <f t="shared" ref="AB509:AE509" si="509">O509+S509+W509+$AA509</f>
        <v>22.53111111</v>
      </c>
      <c r="AC509" s="60">
        <f t="shared" si="509"/>
        <v>35.84</v>
      </c>
      <c r="AD509" s="60">
        <f t="shared" si="509"/>
        <v>53.66555556</v>
      </c>
      <c r="AE509" s="60">
        <f t="shared" si="509"/>
        <v>74.28138889</v>
      </c>
      <c r="AF509" s="60">
        <f>IF(G509&gt;'Scope 3 Ratios'!$B$5,(G509-'Scope 3 Ratios'!$B$5)*('Scope 3 Ratios'!$B$6/'Scope 3 Ratios'!$B$5),0)</f>
        <v>687.9024</v>
      </c>
      <c r="AG509" s="60">
        <f>J509*IF(I509="SSD",'Scope 3 Ratios'!$B$9,'Scope 3 Ratios'!$B$8)</f>
        <v>800</v>
      </c>
      <c r="AH509" s="60">
        <f>IF(K509&lt;&gt;"N/A",K509*'Scope 3 Ratios'!$B$10,0)</f>
        <v>0</v>
      </c>
      <c r="AI509" s="60">
        <f>(VLOOKUP($E509,'AWS Platforms Ratios'!$A$2:$O$25,3,FALSE)-1)*'Scope 3 Ratios'!$B$7</f>
        <v>100</v>
      </c>
      <c r="AJ509" s="60">
        <f>'Scope 3 Ratios'!$B$2+AF509+AG509+AH509+AI509</f>
        <v>2587.9024</v>
      </c>
      <c r="AK509" s="60">
        <f>AJ509*'Scope 3 Ratios'!$B$4*(C509/D509)</f>
        <v>8.320159465</v>
      </c>
      <c r="AL509" s="61" t="s">
        <v>828</v>
      </c>
    </row>
    <row r="510" ht="15.0" customHeight="1">
      <c r="A510" s="56" t="s">
        <v>833</v>
      </c>
      <c r="B510" s="56" t="s">
        <v>119</v>
      </c>
      <c r="C510" s="56">
        <v>16.0</v>
      </c>
      <c r="D510" s="56">
        <f>VLOOKUP(E510,'AWS Platforms Ratios'!$A$2:$B$25,2,FALSE)</f>
        <v>72</v>
      </c>
      <c r="E510" s="57" t="s">
        <v>269</v>
      </c>
      <c r="F510" s="56">
        <v>122.0</v>
      </c>
      <c r="G510" s="56">
        <v>512.0</v>
      </c>
      <c r="H510" s="57" t="s">
        <v>834</v>
      </c>
      <c r="I510" s="56" t="s">
        <v>85</v>
      </c>
      <c r="J510" s="56">
        <v>8.0</v>
      </c>
      <c r="K510" s="58" t="s">
        <v>73</v>
      </c>
      <c r="L510" s="58" t="s">
        <v>73</v>
      </c>
      <c r="M510" s="58" t="s">
        <v>73</v>
      </c>
      <c r="N510" s="58" t="s">
        <v>73</v>
      </c>
      <c r="O510" s="59">
        <f>($C510/$D510)*VLOOKUP($E510,'AWS Platforms Ratios'!$A$2:$O$25,7,FALSE)</f>
        <v>7.773333333</v>
      </c>
      <c r="P510" s="59">
        <f>($C510/$D510)*VLOOKUP($E510,'AWS Platforms Ratios'!$A$2:$O$25,8,FALSE)</f>
        <v>22.19111111</v>
      </c>
      <c r="Q510" s="59">
        <f>($C510/$D510)*VLOOKUP($E510,'AWS Platforms Ratios'!$A$2:$O$25,9,FALSE)</f>
        <v>45.64222222</v>
      </c>
      <c r="R510" s="59">
        <f>($C510/$D510)*VLOOKUP($E510,'AWS Platforms Ratios'!$A$2:$O$25,10,FALSE)</f>
        <v>62.47388889</v>
      </c>
      <c r="S510" s="59">
        <f>$F510*VLOOKUP($E510,'AWS Platforms Ratios'!$A$2:$O$25,11,FALSE)</f>
        <v>24.4</v>
      </c>
      <c r="T510" s="59">
        <f>$F510*VLOOKUP($E510,'AWS Platforms Ratios'!$A$2:$O$25,12,FALSE)</f>
        <v>36.6</v>
      </c>
      <c r="U510" s="59">
        <f>$F510*VLOOKUP($E510,'AWS Platforms Ratios'!$A$2:$O$25,13,FALSE)</f>
        <v>48.8</v>
      </c>
      <c r="V510" s="59">
        <f>$F510*VLOOKUP($E510,'AWS Platforms Ratios'!$A$2:$O$25,14,FALSE)</f>
        <v>73.2</v>
      </c>
      <c r="W510" s="60">
        <f>IF($K510&lt;&gt;"N/A",$M510*(VLOOKUP($L510,'GPU Specs &amp; Ratios'!$B$2:$I$8,5,FALSE)),0)</f>
        <v>0</v>
      </c>
      <c r="X510" s="60">
        <f>IF($K510&lt;&gt;"N/A",$M510*(VLOOKUP($L510,'GPU Specs &amp; Ratios'!$B$2:$I$8,6,FALSE)),0)</f>
        <v>0</v>
      </c>
      <c r="Y510" s="60">
        <f>IF($K510&lt;&gt;"N/A",$M510*(VLOOKUP($L510,'GPU Specs &amp; Ratios'!$B$2:$I$8,7,FALSE)),0)</f>
        <v>0</v>
      </c>
      <c r="Z510" s="60">
        <f>IF($K510&lt;&gt;"N/A",$M510*(VLOOKUP($L510,'GPU Specs &amp; Ratios'!$B$2:$I$8,8,FALSE)),0)</f>
        <v>0</v>
      </c>
      <c r="AA510" s="60">
        <f>(C510/D510)*VLOOKUP($E510,'AWS Platforms Ratios'!$A$2:$O$25,15,FALSE)</f>
        <v>12.88888889</v>
      </c>
      <c r="AB510" s="60">
        <f t="shared" ref="AB510:AE510" si="510">O510+S510+W510+$AA510</f>
        <v>45.06222222</v>
      </c>
      <c r="AC510" s="60">
        <f t="shared" si="510"/>
        <v>71.68</v>
      </c>
      <c r="AD510" s="60">
        <f t="shared" si="510"/>
        <v>107.3311111</v>
      </c>
      <c r="AE510" s="60">
        <f t="shared" si="510"/>
        <v>148.5627778</v>
      </c>
      <c r="AF510" s="60">
        <f>IF(G510&gt;'Scope 3 Ratios'!$B$5,(G510-'Scope 3 Ratios'!$B$5)*('Scope 3 Ratios'!$B$6/'Scope 3 Ratios'!$B$5),0)</f>
        <v>687.9024</v>
      </c>
      <c r="AG510" s="60">
        <f>J510*IF(I510="SSD",'Scope 3 Ratios'!$B$9,'Scope 3 Ratios'!$B$8)</f>
        <v>800</v>
      </c>
      <c r="AH510" s="60">
        <f>IF(K510&lt;&gt;"N/A",K510*'Scope 3 Ratios'!$B$10,0)</f>
        <v>0</v>
      </c>
      <c r="AI510" s="60">
        <f>(VLOOKUP($E510,'AWS Platforms Ratios'!$A$2:$O$25,3,FALSE)-1)*'Scope 3 Ratios'!$B$7</f>
        <v>100</v>
      </c>
      <c r="AJ510" s="60">
        <f>'Scope 3 Ratios'!$B$2+AF510+AG510+AH510+AI510</f>
        <v>2587.9024</v>
      </c>
      <c r="AK510" s="60">
        <f>AJ510*'Scope 3 Ratios'!$B$4*(C510/D510)</f>
        <v>16.64031893</v>
      </c>
      <c r="AL510" s="61" t="s">
        <v>828</v>
      </c>
    </row>
    <row r="511" ht="15.0" customHeight="1">
      <c r="A511" s="56" t="s">
        <v>835</v>
      </c>
      <c r="B511" s="56" t="s">
        <v>119</v>
      </c>
      <c r="C511" s="56">
        <v>32.0</v>
      </c>
      <c r="D511" s="56">
        <f>VLOOKUP(E511,'AWS Platforms Ratios'!$A$2:$B$25,2,FALSE)</f>
        <v>72</v>
      </c>
      <c r="E511" s="57" t="s">
        <v>269</v>
      </c>
      <c r="F511" s="56">
        <v>244.0</v>
      </c>
      <c r="G511" s="56">
        <v>512.0</v>
      </c>
      <c r="H511" s="57" t="s">
        <v>836</v>
      </c>
      <c r="I511" s="56" t="s">
        <v>85</v>
      </c>
      <c r="J511" s="56">
        <v>8.0</v>
      </c>
      <c r="K511" s="58" t="s">
        <v>73</v>
      </c>
      <c r="L511" s="58" t="s">
        <v>73</v>
      </c>
      <c r="M511" s="58" t="s">
        <v>73</v>
      </c>
      <c r="N511" s="58" t="s">
        <v>73</v>
      </c>
      <c r="O511" s="59">
        <f>($C511/$D511)*VLOOKUP($E511,'AWS Platforms Ratios'!$A$2:$O$25,7,FALSE)</f>
        <v>15.54666667</v>
      </c>
      <c r="P511" s="59">
        <f>($C511/$D511)*VLOOKUP($E511,'AWS Platforms Ratios'!$A$2:$O$25,8,FALSE)</f>
        <v>44.38222222</v>
      </c>
      <c r="Q511" s="59">
        <f>($C511/$D511)*VLOOKUP($E511,'AWS Platforms Ratios'!$A$2:$O$25,9,FALSE)</f>
        <v>91.28444444</v>
      </c>
      <c r="R511" s="59">
        <f>($C511/$D511)*VLOOKUP($E511,'AWS Platforms Ratios'!$A$2:$O$25,10,FALSE)</f>
        <v>124.9477778</v>
      </c>
      <c r="S511" s="59">
        <f>$F511*VLOOKUP($E511,'AWS Platforms Ratios'!$A$2:$O$25,11,FALSE)</f>
        <v>48.8</v>
      </c>
      <c r="T511" s="59">
        <f>$F511*VLOOKUP($E511,'AWS Platforms Ratios'!$A$2:$O$25,12,FALSE)</f>
        <v>73.2</v>
      </c>
      <c r="U511" s="59">
        <f>$F511*VLOOKUP($E511,'AWS Platforms Ratios'!$A$2:$O$25,13,FALSE)</f>
        <v>97.6</v>
      </c>
      <c r="V511" s="59">
        <f>$F511*VLOOKUP($E511,'AWS Platforms Ratios'!$A$2:$O$25,14,FALSE)</f>
        <v>146.4</v>
      </c>
      <c r="W511" s="60">
        <f>IF($K511&lt;&gt;"N/A",$M511*(VLOOKUP($L511,'GPU Specs &amp; Ratios'!$B$2:$I$8,5,FALSE)),0)</f>
        <v>0</v>
      </c>
      <c r="X511" s="60">
        <f>IF($K511&lt;&gt;"N/A",$M511*(VLOOKUP($L511,'GPU Specs &amp; Ratios'!$B$2:$I$8,6,FALSE)),0)</f>
        <v>0</v>
      </c>
      <c r="Y511" s="60">
        <f>IF($K511&lt;&gt;"N/A",$M511*(VLOOKUP($L511,'GPU Specs &amp; Ratios'!$B$2:$I$8,7,FALSE)),0)</f>
        <v>0</v>
      </c>
      <c r="Z511" s="60">
        <f>IF($K511&lt;&gt;"N/A",$M511*(VLOOKUP($L511,'GPU Specs &amp; Ratios'!$B$2:$I$8,8,FALSE)),0)</f>
        <v>0</v>
      </c>
      <c r="AA511" s="60">
        <f>(C511/D511)*VLOOKUP($E511,'AWS Platforms Ratios'!$A$2:$O$25,15,FALSE)</f>
        <v>25.77777778</v>
      </c>
      <c r="AB511" s="60">
        <f t="shared" ref="AB511:AE511" si="511">O511+S511+W511+$AA511</f>
        <v>90.12444444</v>
      </c>
      <c r="AC511" s="60">
        <f t="shared" si="511"/>
        <v>143.36</v>
      </c>
      <c r="AD511" s="60">
        <f t="shared" si="511"/>
        <v>214.6622222</v>
      </c>
      <c r="AE511" s="60">
        <f t="shared" si="511"/>
        <v>297.1255556</v>
      </c>
      <c r="AF511" s="60">
        <f>IF(G511&gt;'Scope 3 Ratios'!$B$5,(G511-'Scope 3 Ratios'!$B$5)*('Scope 3 Ratios'!$B$6/'Scope 3 Ratios'!$B$5),0)</f>
        <v>687.9024</v>
      </c>
      <c r="AG511" s="60">
        <f>J511*IF(I511="SSD",'Scope 3 Ratios'!$B$9,'Scope 3 Ratios'!$B$8)</f>
        <v>800</v>
      </c>
      <c r="AH511" s="60">
        <f>IF(K511&lt;&gt;"N/A",K511*'Scope 3 Ratios'!$B$10,0)</f>
        <v>0</v>
      </c>
      <c r="AI511" s="60">
        <f>(VLOOKUP($E511,'AWS Platforms Ratios'!$A$2:$O$25,3,FALSE)-1)*'Scope 3 Ratios'!$B$7</f>
        <v>100</v>
      </c>
      <c r="AJ511" s="60">
        <f>'Scope 3 Ratios'!$B$2+AF511+AG511+AH511+AI511</f>
        <v>2587.9024</v>
      </c>
      <c r="AK511" s="60">
        <f>AJ511*'Scope 3 Ratios'!$B$4*(C511/D511)</f>
        <v>33.28063786</v>
      </c>
      <c r="AL511" s="61" t="s">
        <v>828</v>
      </c>
    </row>
    <row r="512" ht="15.0" customHeight="1">
      <c r="A512" s="56" t="s">
        <v>837</v>
      </c>
      <c r="B512" s="56" t="s">
        <v>119</v>
      </c>
      <c r="C512" s="56">
        <v>64.0</v>
      </c>
      <c r="D512" s="56">
        <f>VLOOKUP(E512,'AWS Platforms Ratios'!$A$2:$B$25,2,FALSE)</f>
        <v>72</v>
      </c>
      <c r="E512" s="57" t="s">
        <v>269</v>
      </c>
      <c r="F512" s="56">
        <v>488.0</v>
      </c>
      <c r="G512" s="56">
        <v>512.0</v>
      </c>
      <c r="H512" s="57" t="s">
        <v>838</v>
      </c>
      <c r="I512" s="56" t="s">
        <v>85</v>
      </c>
      <c r="J512" s="56">
        <v>8.0</v>
      </c>
      <c r="K512" s="58" t="s">
        <v>73</v>
      </c>
      <c r="L512" s="58" t="s">
        <v>73</v>
      </c>
      <c r="M512" s="58" t="s">
        <v>73</v>
      </c>
      <c r="N512" s="58" t="s">
        <v>73</v>
      </c>
      <c r="O512" s="59">
        <f>($C512/$D512)*VLOOKUP($E512,'AWS Platforms Ratios'!$A$2:$O$25,7,FALSE)</f>
        <v>31.09333333</v>
      </c>
      <c r="P512" s="59">
        <f>($C512/$D512)*VLOOKUP($E512,'AWS Platforms Ratios'!$A$2:$O$25,8,FALSE)</f>
        <v>88.76444444</v>
      </c>
      <c r="Q512" s="59">
        <f>($C512/$D512)*VLOOKUP($E512,'AWS Platforms Ratios'!$A$2:$O$25,9,FALSE)</f>
        <v>182.5688889</v>
      </c>
      <c r="R512" s="59">
        <f>($C512/$D512)*VLOOKUP($E512,'AWS Platforms Ratios'!$A$2:$O$25,10,FALSE)</f>
        <v>249.8955556</v>
      </c>
      <c r="S512" s="59">
        <f>$F512*VLOOKUP($E512,'AWS Platforms Ratios'!$A$2:$O$25,11,FALSE)</f>
        <v>97.6</v>
      </c>
      <c r="T512" s="59">
        <f>$F512*VLOOKUP($E512,'AWS Platforms Ratios'!$A$2:$O$25,12,FALSE)</f>
        <v>146.4</v>
      </c>
      <c r="U512" s="59">
        <f>$F512*VLOOKUP($E512,'AWS Platforms Ratios'!$A$2:$O$25,13,FALSE)</f>
        <v>195.2</v>
      </c>
      <c r="V512" s="59">
        <f>$F512*VLOOKUP($E512,'AWS Platforms Ratios'!$A$2:$O$25,14,FALSE)</f>
        <v>292.8</v>
      </c>
      <c r="W512" s="60">
        <f>IF($K512&lt;&gt;"N/A",$M512*(VLOOKUP($L512,'GPU Specs &amp; Ratios'!$B$2:$I$8,5,FALSE)),0)</f>
        <v>0</v>
      </c>
      <c r="X512" s="60">
        <f>IF($K512&lt;&gt;"N/A",$M512*(VLOOKUP($L512,'GPU Specs &amp; Ratios'!$B$2:$I$8,6,FALSE)),0)</f>
        <v>0</v>
      </c>
      <c r="Y512" s="60">
        <f>IF($K512&lt;&gt;"N/A",$M512*(VLOOKUP($L512,'GPU Specs &amp; Ratios'!$B$2:$I$8,7,FALSE)),0)</f>
        <v>0</v>
      </c>
      <c r="Z512" s="60">
        <f>IF($K512&lt;&gt;"N/A",$M512*(VLOOKUP($L512,'GPU Specs &amp; Ratios'!$B$2:$I$8,8,FALSE)),0)</f>
        <v>0</v>
      </c>
      <c r="AA512" s="60">
        <f>(C512/D512)*VLOOKUP($E512,'AWS Platforms Ratios'!$A$2:$O$25,15,FALSE)</f>
        <v>51.55555556</v>
      </c>
      <c r="AB512" s="60">
        <f t="shared" ref="AB512:AE512" si="512">O512+S512+W512+$AA512</f>
        <v>180.2488889</v>
      </c>
      <c r="AC512" s="60">
        <f t="shared" si="512"/>
        <v>286.72</v>
      </c>
      <c r="AD512" s="60">
        <f t="shared" si="512"/>
        <v>429.3244444</v>
      </c>
      <c r="AE512" s="60">
        <f t="shared" si="512"/>
        <v>594.2511111</v>
      </c>
      <c r="AF512" s="60">
        <f>IF(G512&gt;'Scope 3 Ratios'!$B$5,(G512-'Scope 3 Ratios'!$B$5)*('Scope 3 Ratios'!$B$6/'Scope 3 Ratios'!$B$5),0)</f>
        <v>687.9024</v>
      </c>
      <c r="AG512" s="60">
        <f>J512*IF(I512="SSD",'Scope 3 Ratios'!$B$9,'Scope 3 Ratios'!$B$8)</f>
        <v>800</v>
      </c>
      <c r="AH512" s="60">
        <f>IF(K512&lt;&gt;"N/A",K512*'Scope 3 Ratios'!$B$10,0)</f>
        <v>0</v>
      </c>
      <c r="AI512" s="60">
        <f>(VLOOKUP($E512,'AWS Platforms Ratios'!$A$2:$O$25,3,FALSE)-1)*'Scope 3 Ratios'!$B$7</f>
        <v>100</v>
      </c>
      <c r="AJ512" s="60">
        <f>'Scope 3 Ratios'!$B$2+AF512+AG512+AH512+AI512</f>
        <v>2587.9024</v>
      </c>
      <c r="AK512" s="60">
        <f>AJ512*'Scope 3 Ratios'!$B$4*(C512/D512)</f>
        <v>66.56127572</v>
      </c>
      <c r="AL512" s="61" t="s">
        <v>828</v>
      </c>
    </row>
    <row r="513" ht="15.0" customHeight="1">
      <c r="A513" s="56" t="s">
        <v>839</v>
      </c>
      <c r="B513" s="56" t="s">
        <v>327</v>
      </c>
      <c r="C513" s="56">
        <v>4.0</v>
      </c>
      <c r="D513" s="56">
        <f>VLOOKUP(E513,'AWS Platforms Ratios'!$A$2:$B$25,2,FALSE)</f>
        <v>40</v>
      </c>
      <c r="E513" s="57" t="s">
        <v>259</v>
      </c>
      <c r="F513" s="56">
        <v>30.5</v>
      </c>
      <c r="G513" s="56">
        <v>244.0</v>
      </c>
      <c r="H513" s="57" t="s">
        <v>328</v>
      </c>
      <c r="I513" s="56" t="s">
        <v>85</v>
      </c>
      <c r="J513" s="56">
        <v>2.0</v>
      </c>
      <c r="K513" s="58" t="s">
        <v>73</v>
      </c>
      <c r="L513" s="58" t="s">
        <v>73</v>
      </c>
      <c r="M513" s="58" t="s">
        <v>73</v>
      </c>
      <c r="N513" s="58" t="s">
        <v>73</v>
      </c>
      <c r="O513" s="59">
        <f>($C513/$D513)*VLOOKUP($E513,'AWS Platforms Ratios'!$A$2:$O$25,7,FALSE)</f>
        <v>2.774275862</v>
      </c>
      <c r="P513" s="59">
        <f>($C513/$D513)*VLOOKUP($E513,'AWS Platforms Ratios'!$A$2:$O$25,8,FALSE)</f>
        <v>7.919931034</v>
      </c>
      <c r="Q513" s="59">
        <f>($C513/$D513)*VLOOKUP($E513,'AWS Platforms Ratios'!$A$2:$O$25,9,FALSE)</f>
        <v>16.28955172</v>
      </c>
      <c r="R513" s="59">
        <f>($C513/$D513)*VLOOKUP($E513,'AWS Platforms Ratios'!$A$2:$O$25,10,FALSE)</f>
        <v>22.29671552</v>
      </c>
      <c r="S513" s="59">
        <f>$F513*VLOOKUP($E513,'AWS Platforms Ratios'!$A$2:$O$25,11,FALSE)</f>
        <v>6.1</v>
      </c>
      <c r="T513" s="59">
        <f>$F513*VLOOKUP($E513,'AWS Platforms Ratios'!$A$2:$O$25,12,FALSE)</f>
        <v>9.15</v>
      </c>
      <c r="U513" s="59">
        <f>$F513*VLOOKUP($E513,'AWS Platforms Ratios'!$A$2:$O$25,13,FALSE)</f>
        <v>12.2</v>
      </c>
      <c r="V513" s="59">
        <f>$F513*VLOOKUP($E513,'AWS Platforms Ratios'!$A$2:$O$25,14,FALSE)</f>
        <v>18.3</v>
      </c>
      <c r="W513" s="60">
        <f>IF($K513&lt;&gt;"N/A",$M513*(VLOOKUP($L513,'GPU Specs &amp; Ratios'!$B$2:$I$8,5,FALSE)),0)</f>
        <v>0</v>
      </c>
      <c r="X513" s="60">
        <f>IF($K513&lt;&gt;"N/A",$M513*(VLOOKUP($L513,'GPU Specs &amp; Ratios'!$B$2:$I$8,6,FALSE)),0)</f>
        <v>0</v>
      </c>
      <c r="Y513" s="60">
        <f>IF($K513&lt;&gt;"N/A",$M513*(VLOOKUP($L513,'GPU Specs &amp; Ratios'!$B$2:$I$8,7,FALSE)),0)</f>
        <v>0</v>
      </c>
      <c r="Z513" s="60">
        <f>IF($K513&lt;&gt;"N/A",$M513*(VLOOKUP($L513,'GPU Specs &amp; Ratios'!$B$2:$I$8,8,FALSE)),0)</f>
        <v>0</v>
      </c>
      <c r="AA513" s="60">
        <f>(C513/D513)*VLOOKUP($E513,'AWS Platforms Ratios'!$A$2:$O$25,15,FALSE)</f>
        <v>4.6</v>
      </c>
      <c r="AB513" s="60">
        <f t="shared" ref="AB513:AE513" si="513">O513+S513+W513+$AA513</f>
        <v>13.47427586</v>
      </c>
      <c r="AC513" s="60">
        <f t="shared" si="513"/>
        <v>21.66993103</v>
      </c>
      <c r="AD513" s="60">
        <f t="shared" si="513"/>
        <v>33.08955172</v>
      </c>
      <c r="AE513" s="60">
        <f t="shared" si="513"/>
        <v>45.19671552</v>
      </c>
      <c r="AF513" s="60">
        <f>IF(G513&gt;'Scope 3 Ratios'!$B$5,(G513-'Scope 3 Ratios'!$B$5)*('Scope 3 Ratios'!$B$6/'Scope 3 Ratios'!$B$5),0)</f>
        <v>316.2132</v>
      </c>
      <c r="AG513" s="60">
        <f>J513*IF(I513="SSD",'Scope 3 Ratios'!$B$9,'Scope 3 Ratios'!$B$8)</f>
        <v>200</v>
      </c>
      <c r="AH513" s="60">
        <f>IF(K513&lt;&gt;"N/A",K513*'Scope 3 Ratios'!$B$10,0)</f>
        <v>0</v>
      </c>
      <c r="AI513" s="60">
        <f>(VLOOKUP($E513,'AWS Platforms Ratios'!$A$2:$O$25,3,FALSE)-1)*'Scope 3 Ratios'!$B$7</f>
        <v>100</v>
      </c>
      <c r="AJ513" s="60">
        <f>'Scope 3 Ratios'!$B$2+AF513+AG513+AH513+AI513</f>
        <v>1616.2132</v>
      </c>
      <c r="AK513" s="60">
        <f>AJ513*'Scope 3 Ratios'!$B$4*(C513/D513)</f>
        <v>4.676542824</v>
      </c>
      <c r="AL513" s="61" t="s">
        <v>329</v>
      </c>
    </row>
    <row r="514" ht="15.0" customHeight="1">
      <c r="A514" s="56" t="s">
        <v>840</v>
      </c>
      <c r="B514" s="56" t="s">
        <v>327</v>
      </c>
      <c r="C514" s="56">
        <v>8.0</v>
      </c>
      <c r="D514" s="56">
        <f>VLOOKUP(E514,'AWS Platforms Ratios'!$A$2:$B$25,2,FALSE)</f>
        <v>40</v>
      </c>
      <c r="E514" s="57" t="s">
        <v>259</v>
      </c>
      <c r="F514" s="56">
        <v>61.0</v>
      </c>
      <c r="G514" s="56">
        <v>244.0</v>
      </c>
      <c r="H514" s="57" t="s">
        <v>331</v>
      </c>
      <c r="I514" s="56" t="s">
        <v>85</v>
      </c>
      <c r="J514" s="56">
        <v>2.0</v>
      </c>
      <c r="K514" s="58" t="s">
        <v>73</v>
      </c>
      <c r="L514" s="58" t="s">
        <v>73</v>
      </c>
      <c r="M514" s="58" t="s">
        <v>73</v>
      </c>
      <c r="N514" s="58" t="s">
        <v>73</v>
      </c>
      <c r="O514" s="59">
        <f>($C514/$D514)*VLOOKUP($E514,'AWS Platforms Ratios'!$A$2:$O$25,7,FALSE)</f>
        <v>5.548551724</v>
      </c>
      <c r="P514" s="59">
        <f>($C514/$D514)*VLOOKUP($E514,'AWS Platforms Ratios'!$A$2:$O$25,8,FALSE)</f>
        <v>15.83986207</v>
      </c>
      <c r="Q514" s="59">
        <f>($C514/$D514)*VLOOKUP($E514,'AWS Platforms Ratios'!$A$2:$O$25,9,FALSE)</f>
        <v>32.57910345</v>
      </c>
      <c r="R514" s="59">
        <f>($C514/$D514)*VLOOKUP($E514,'AWS Platforms Ratios'!$A$2:$O$25,10,FALSE)</f>
        <v>44.59343103</v>
      </c>
      <c r="S514" s="59">
        <f>$F514*VLOOKUP($E514,'AWS Platforms Ratios'!$A$2:$O$25,11,FALSE)</f>
        <v>12.2</v>
      </c>
      <c r="T514" s="59">
        <f>$F514*VLOOKUP($E514,'AWS Platforms Ratios'!$A$2:$O$25,12,FALSE)</f>
        <v>18.3</v>
      </c>
      <c r="U514" s="59">
        <f>$F514*VLOOKUP($E514,'AWS Platforms Ratios'!$A$2:$O$25,13,FALSE)</f>
        <v>24.4</v>
      </c>
      <c r="V514" s="59">
        <f>$F514*VLOOKUP($E514,'AWS Platforms Ratios'!$A$2:$O$25,14,FALSE)</f>
        <v>36.6</v>
      </c>
      <c r="W514" s="60">
        <f>IF($K514&lt;&gt;"N/A",$M514*(VLOOKUP($L514,'GPU Specs &amp; Ratios'!$B$2:$I$8,5,FALSE)),0)</f>
        <v>0</v>
      </c>
      <c r="X514" s="60">
        <f>IF($K514&lt;&gt;"N/A",$M514*(VLOOKUP($L514,'GPU Specs &amp; Ratios'!$B$2:$I$8,6,FALSE)),0)</f>
        <v>0</v>
      </c>
      <c r="Y514" s="60">
        <f>IF($K514&lt;&gt;"N/A",$M514*(VLOOKUP($L514,'GPU Specs &amp; Ratios'!$B$2:$I$8,7,FALSE)),0)</f>
        <v>0</v>
      </c>
      <c r="Z514" s="60">
        <f>IF($K514&lt;&gt;"N/A",$M514*(VLOOKUP($L514,'GPU Specs &amp; Ratios'!$B$2:$I$8,8,FALSE)),0)</f>
        <v>0</v>
      </c>
      <c r="AA514" s="60">
        <f>(C514/D514)*VLOOKUP($E514,'AWS Platforms Ratios'!$A$2:$O$25,15,FALSE)</f>
        <v>9.2</v>
      </c>
      <c r="AB514" s="60">
        <f t="shared" ref="AB514:AE514" si="514">O514+S514+W514+$AA514</f>
        <v>26.94855172</v>
      </c>
      <c r="AC514" s="60">
        <f t="shared" si="514"/>
        <v>43.33986207</v>
      </c>
      <c r="AD514" s="60">
        <f t="shared" si="514"/>
        <v>66.17910345</v>
      </c>
      <c r="AE514" s="60">
        <f t="shared" si="514"/>
        <v>90.39343103</v>
      </c>
      <c r="AF514" s="60">
        <f>IF(G514&gt;'Scope 3 Ratios'!$B$5,(G514-'Scope 3 Ratios'!$B$5)*('Scope 3 Ratios'!$B$6/'Scope 3 Ratios'!$B$5),0)</f>
        <v>316.2132</v>
      </c>
      <c r="AG514" s="60">
        <f>J514*IF(I514="SSD",'Scope 3 Ratios'!$B$9,'Scope 3 Ratios'!$B$8)</f>
        <v>200</v>
      </c>
      <c r="AH514" s="60">
        <f>IF(K514&lt;&gt;"N/A",K514*'Scope 3 Ratios'!$B$10,0)</f>
        <v>0</v>
      </c>
      <c r="AI514" s="60">
        <f>(VLOOKUP($E514,'AWS Platforms Ratios'!$A$2:$O$25,3,FALSE)-1)*'Scope 3 Ratios'!$B$7</f>
        <v>100</v>
      </c>
      <c r="AJ514" s="60">
        <f>'Scope 3 Ratios'!$B$2+AF514+AG514+AH514+AI514</f>
        <v>1616.2132</v>
      </c>
      <c r="AK514" s="60">
        <f>AJ514*'Scope 3 Ratios'!$B$4*(C514/D514)</f>
        <v>9.353085648</v>
      </c>
      <c r="AL514" s="61" t="s">
        <v>329</v>
      </c>
    </row>
    <row r="515" ht="15.75" customHeight="1">
      <c r="A515" s="76" t="s">
        <v>841</v>
      </c>
      <c r="B515" s="56" t="s">
        <v>188</v>
      </c>
      <c r="C515" s="56">
        <v>2.0</v>
      </c>
      <c r="D515" s="56">
        <f>VLOOKUP(E515,'AWS Platforms Ratios'!$A$2:$B$25,2,FALSE)</f>
        <v>64</v>
      </c>
      <c r="E515" s="57" t="s">
        <v>189</v>
      </c>
      <c r="F515" s="56">
        <v>8.0</v>
      </c>
      <c r="G515" s="56">
        <v>256.0</v>
      </c>
      <c r="H515" s="57" t="s">
        <v>71</v>
      </c>
      <c r="I515" s="56" t="s">
        <v>72</v>
      </c>
      <c r="J515" s="56">
        <v>0.0</v>
      </c>
      <c r="K515" s="58" t="s">
        <v>73</v>
      </c>
      <c r="L515" s="58" t="s">
        <v>73</v>
      </c>
      <c r="M515" s="58" t="s">
        <v>73</v>
      </c>
      <c r="N515" s="58" t="s">
        <v>73</v>
      </c>
      <c r="O515" s="59">
        <f>($C515/$D515)*VLOOKUP($E515,'AWS Platforms Ratios'!$A$2:$O$25,7,FALSE)</f>
        <v>0.5443528939</v>
      </c>
      <c r="P515" s="59">
        <f>($C515/$D515)*VLOOKUP($E515,'AWS Platforms Ratios'!$A$2:$O$25,8,FALSE)</f>
        <v>1.49184586</v>
      </c>
      <c r="Q515" s="59">
        <f>($C515/$D515)*VLOOKUP($E515,'AWS Platforms Ratios'!$A$2:$O$25,9,FALSE)</f>
        <v>3.526235932</v>
      </c>
      <c r="R515" s="59">
        <f>($C515/$D515)*VLOOKUP($E515,'AWS Platforms Ratios'!$A$2:$O$25,10,FALSE)</f>
        <v>4.774429763</v>
      </c>
      <c r="S515" s="59">
        <f>$F515*VLOOKUP($E515,'AWS Platforms Ratios'!$A$2:$O$25,11,FALSE)</f>
        <v>1.6</v>
      </c>
      <c r="T515" s="59">
        <f>$F515*VLOOKUP($E515,'AWS Platforms Ratios'!$A$2:$O$25,12,FALSE)</f>
        <v>2.4</v>
      </c>
      <c r="U515" s="59">
        <f>$F515*VLOOKUP($E515,'AWS Platforms Ratios'!$A$2:$O$25,13,FALSE)</f>
        <v>3.2</v>
      </c>
      <c r="V515" s="59">
        <f>$F515*VLOOKUP($E515,'AWS Platforms Ratios'!$A$2:$O$25,14,FALSE)</f>
        <v>4.8</v>
      </c>
      <c r="W515" s="60">
        <f>IF($K515&lt;&gt;"N/A",$M515*(VLOOKUP($L515,'GPU Specs &amp; Ratios'!$B$2:$I$8,5,FALSE)),0)</f>
        <v>0</v>
      </c>
      <c r="X515" s="60">
        <f>IF($K515&lt;&gt;"N/A",$M515*(VLOOKUP($L515,'GPU Specs &amp; Ratios'!$B$2:$I$8,6,FALSE)),0)</f>
        <v>0</v>
      </c>
      <c r="Y515" s="60">
        <f>IF($K515&lt;&gt;"N/A",$M515*(VLOOKUP($L515,'GPU Specs &amp; Ratios'!$B$2:$I$8,7,FALSE)),0)</f>
        <v>0</v>
      </c>
      <c r="Z515" s="60">
        <f>IF($K515&lt;&gt;"N/A",$M515*(VLOOKUP($L515,'GPU Specs &amp; Ratios'!$B$2:$I$8,8,FALSE)),0)</f>
        <v>0</v>
      </c>
      <c r="AA515" s="60">
        <f>(C515/D515)*VLOOKUP($E515,'AWS Platforms Ratios'!$A$2:$O$25,15,FALSE)</f>
        <v>0.9375</v>
      </c>
      <c r="AB515" s="60">
        <f t="shared" ref="AB515:AE515" si="515">O515+S515+W515+$AA515</f>
        <v>3.081852894</v>
      </c>
      <c r="AC515" s="60">
        <f t="shared" si="515"/>
        <v>4.82934586</v>
      </c>
      <c r="AD515" s="60">
        <f t="shared" si="515"/>
        <v>7.663735932</v>
      </c>
      <c r="AE515" s="60">
        <f t="shared" si="515"/>
        <v>10.51192976</v>
      </c>
      <c r="AF515" s="60">
        <f>IF(G515&gt;'Scope 3 Ratios'!$B$5,(G515-'Scope 3 Ratios'!$B$5)*('Scope 3 Ratios'!$B$6/'Scope 3 Ratios'!$B$5),0)</f>
        <v>332.856</v>
      </c>
      <c r="AG515" s="60">
        <f>J515*IF(I515="SSD",'Scope 3 Ratios'!$B$9,'Scope 3 Ratios'!$B$8)</f>
        <v>0</v>
      </c>
      <c r="AH515" s="60">
        <f>IF(K515&lt;&gt;"N/A",K515*'Scope 3 Ratios'!$B$10,0)</f>
        <v>0</v>
      </c>
      <c r="AI515" s="60">
        <f>(VLOOKUP($E515,'AWS Platforms Ratios'!$A$2:$O$25,3,FALSE)-1)*'Scope 3 Ratios'!$B$7</f>
        <v>0</v>
      </c>
      <c r="AJ515" s="60">
        <f>'Scope 3 Ratios'!$B$2+AF515+AG515+AH515+AI515</f>
        <v>1332.856</v>
      </c>
      <c r="AK515" s="60">
        <f>AJ515*'Scope 3 Ratios'!$B$4*(C515/D515)</f>
        <v>1.2052011</v>
      </c>
      <c r="AL515" s="61" t="s">
        <v>190</v>
      </c>
    </row>
    <row r="516" ht="15.75" customHeight="1">
      <c r="A516" s="76" t="s">
        <v>842</v>
      </c>
      <c r="B516" s="56" t="s">
        <v>188</v>
      </c>
      <c r="C516" s="56">
        <v>4.0</v>
      </c>
      <c r="D516" s="56">
        <f>VLOOKUP(E516,'AWS Platforms Ratios'!$A$2:$B$25,2,FALSE)</f>
        <v>64</v>
      </c>
      <c r="E516" s="57" t="s">
        <v>189</v>
      </c>
      <c r="F516" s="56">
        <v>16.0</v>
      </c>
      <c r="G516" s="56">
        <v>256.0</v>
      </c>
      <c r="H516" s="57" t="s">
        <v>71</v>
      </c>
      <c r="I516" s="56" t="s">
        <v>72</v>
      </c>
      <c r="J516" s="56">
        <v>0.0</v>
      </c>
      <c r="K516" s="58" t="s">
        <v>73</v>
      </c>
      <c r="L516" s="58" t="s">
        <v>73</v>
      </c>
      <c r="M516" s="58" t="s">
        <v>73</v>
      </c>
      <c r="N516" s="58" t="s">
        <v>73</v>
      </c>
      <c r="O516" s="59">
        <f>($C516/$D516)*VLOOKUP($E516,'AWS Platforms Ratios'!$A$2:$O$25,7,FALSE)</f>
        <v>1.088705788</v>
      </c>
      <c r="P516" s="59">
        <f>($C516/$D516)*VLOOKUP($E516,'AWS Platforms Ratios'!$A$2:$O$25,8,FALSE)</f>
        <v>2.98369172</v>
      </c>
      <c r="Q516" s="59">
        <f>($C516/$D516)*VLOOKUP($E516,'AWS Platforms Ratios'!$A$2:$O$25,9,FALSE)</f>
        <v>7.052471865</v>
      </c>
      <c r="R516" s="59">
        <f>($C516/$D516)*VLOOKUP($E516,'AWS Platforms Ratios'!$A$2:$O$25,10,FALSE)</f>
        <v>9.548859526</v>
      </c>
      <c r="S516" s="59">
        <f>$F516*VLOOKUP($E516,'AWS Platforms Ratios'!$A$2:$O$25,11,FALSE)</f>
        <v>3.2</v>
      </c>
      <c r="T516" s="59">
        <f>$F516*VLOOKUP($E516,'AWS Platforms Ratios'!$A$2:$O$25,12,FALSE)</f>
        <v>4.8</v>
      </c>
      <c r="U516" s="59">
        <f>$F516*VLOOKUP($E516,'AWS Platforms Ratios'!$A$2:$O$25,13,FALSE)</f>
        <v>6.4</v>
      </c>
      <c r="V516" s="59">
        <f>$F516*VLOOKUP($E516,'AWS Platforms Ratios'!$A$2:$O$25,14,FALSE)</f>
        <v>9.6</v>
      </c>
      <c r="W516" s="60">
        <f>IF($K516&lt;&gt;"N/A",$M516*(VLOOKUP($L516,'GPU Specs &amp; Ratios'!$B$2:$I$8,5,FALSE)),0)</f>
        <v>0</v>
      </c>
      <c r="X516" s="60">
        <f>IF($K516&lt;&gt;"N/A",$M516*(VLOOKUP($L516,'GPU Specs &amp; Ratios'!$B$2:$I$8,6,FALSE)),0)</f>
        <v>0</v>
      </c>
      <c r="Y516" s="60">
        <f>IF($K516&lt;&gt;"N/A",$M516*(VLOOKUP($L516,'GPU Specs &amp; Ratios'!$B$2:$I$8,7,FALSE)),0)</f>
        <v>0</v>
      </c>
      <c r="Z516" s="60">
        <f>IF($K516&lt;&gt;"N/A",$M516*(VLOOKUP($L516,'GPU Specs &amp; Ratios'!$B$2:$I$8,8,FALSE)),0)</f>
        <v>0</v>
      </c>
      <c r="AA516" s="60">
        <f>(C516/D516)*VLOOKUP($E516,'AWS Platforms Ratios'!$A$2:$O$25,15,FALSE)</f>
        <v>1.875</v>
      </c>
      <c r="AB516" s="60">
        <f t="shared" ref="AB516:AE516" si="516">O516+S516+W516+$AA516</f>
        <v>6.163705788</v>
      </c>
      <c r="AC516" s="60">
        <f t="shared" si="516"/>
        <v>9.65869172</v>
      </c>
      <c r="AD516" s="60">
        <f t="shared" si="516"/>
        <v>15.32747186</v>
      </c>
      <c r="AE516" s="60">
        <f t="shared" si="516"/>
        <v>21.02385953</v>
      </c>
      <c r="AF516" s="60">
        <f>IF(G516&gt;'Scope 3 Ratios'!$B$5,(G516-'Scope 3 Ratios'!$B$5)*('Scope 3 Ratios'!$B$6/'Scope 3 Ratios'!$B$5),0)</f>
        <v>332.856</v>
      </c>
      <c r="AG516" s="60">
        <f>J516*IF(I516="SSD",'Scope 3 Ratios'!$B$9,'Scope 3 Ratios'!$B$8)</f>
        <v>0</v>
      </c>
      <c r="AH516" s="60">
        <f>IF(K516&lt;&gt;"N/A",K516*'Scope 3 Ratios'!$B$10,0)</f>
        <v>0</v>
      </c>
      <c r="AI516" s="60">
        <f>(VLOOKUP($E516,'AWS Platforms Ratios'!$A$2:$O$25,3,FALSE)-1)*'Scope 3 Ratios'!$B$7</f>
        <v>0</v>
      </c>
      <c r="AJ516" s="60">
        <f>'Scope 3 Ratios'!$B$2+AF516+AG516+AH516+AI516</f>
        <v>1332.856</v>
      </c>
      <c r="AK516" s="60">
        <f>AJ516*'Scope 3 Ratios'!$B$4*(C516/D516)</f>
        <v>2.410402199</v>
      </c>
      <c r="AL516" s="61" t="s">
        <v>190</v>
      </c>
    </row>
    <row r="517" ht="15.75" customHeight="1">
      <c r="A517" s="76" t="s">
        <v>843</v>
      </c>
      <c r="B517" s="56" t="s">
        <v>188</v>
      </c>
      <c r="C517" s="56">
        <v>8.0</v>
      </c>
      <c r="D517" s="56">
        <f>VLOOKUP(E517,'AWS Platforms Ratios'!$A$2:$B$25,2,FALSE)</f>
        <v>64</v>
      </c>
      <c r="E517" s="57" t="s">
        <v>189</v>
      </c>
      <c r="F517" s="56">
        <v>32.0</v>
      </c>
      <c r="G517" s="56">
        <v>256.0</v>
      </c>
      <c r="H517" s="57" t="s">
        <v>71</v>
      </c>
      <c r="I517" s="56" t="s">
        <v>72</v>
      </c>
      <c r="J517" s="56">
        <v>0.0</v>
      </c>
      <c r="K517" s="58" t="s">
        <v>73</v>
      </c>
      <c r="L517" s="58" t="s">
        <v>73</v>
      </c>
      <c r="M517" s="58" t="s">
        <v>73</v>
      </c>
      <c r="N517" s="58" t="s">
        <v>73</v>
      </c>
      <c r="O517" s="59">
        <f>($C517/$D517)*VLOOKUP($E517,'AWS Platforms Ratios'!$A$2:$O$25,7,FALSE)</f>
        <v>2.177411576</v>
      </c>
      <c r="P517" s="59">
        <f>($C517/$D517)*VLOOKUP($E517,'AWS Platforms Ratios'!$A$2:$O$25,8,FALSE)</f>
        <v>5.967383441</v>
      </c>
      <c r="Q517" s="59">
        <f>($C517/$D517)*VLOOKUP($E517,'AWS Platforms Ratios'!$A$2:$O$25,9,FALSE)</f>
        <v>14.10494373</v>
      </c>
      <c r="R517" s="59">
        <f>($C517/$D517)*VLOOKUP($E517,'AWS Platforms Ratios'!$A$2:$O$25,10,FALSE)</f>
        <v>19.09771905</v>
      </c>
      <c r="S517" s="59">
        <f>$F517*VLOOKUP($E517,'AWS Platforms Ratios'!$A$2:$O$25,11,FALSE)</f>
        <v>6.4</v>
      </c>
      <c r="T517" s="59">
        <f>$F517*VLOOKUP($E517,'AWS Platforms Ratios'!$A$2:$O$25,12,FALSE)</f>
        <v>9.6</v>
      </c>
      <c r="U517" s="59">
        <f>$F517*VLOOKUP($E517,'AWS Platforms Ratios'!$A$2:$O$25,13,FALSE)</f>
        <v>12.8</v>
      </c>
      <c r="V517" s="59">
        <f>$F517*VLOOKUP($E517,'AWS Platforms Ratios'!$A$2:$O$25,14,FALSE)</f>
        <v>19.2</v>
      </c>
      <c r="W517" s="60">
        <f>IF($K517&lt;&gt;"N/A",$M517*(VLOOKUP($L517,'GPU Specs &amp; Ratios'!$B$2:$I$8,5,FALSE)),0)</f>
        <v>0</v>
      </c>
      <c r="X517" s="60">
        <f>IF($K517&lt;&gt;"N/A",$M517*(VLOOKUP($L517,'GPU Specs &amp; Ratios'!$B$2:$I$8,6,FALSE)),0)</f>
        <v>0</v>
      </c>
      <c r="Y517" s="60">
        <f>IF($K517&lt;&gt;"N/A",$M517*(VLOOKUP($L517,'GPU Specs &amp; Ratios'!$B$2:$I$8,7,FALSE)),0)</f>
        <v>0</v>
      </c>
      <c r="Z517" s="60">
        <f>IF($K517&lt;&gt;"N/A",$M517*(VLOOKUP($L517,'GPU Specs &amp; Ratios'!$B$2:$I$8,8,FALSE)),0)</f>
        <v>0</v>
      </c>
      <c r="AA517" s="60">
        <f>(C517/D517)*VLOOKUP($E517,'AWS Platforms Ratios'!$A$2:$O$25,15,FALSE)</f>
        <v>3.75</v>
      </c>
      <c r="AB517" s="60">
        <f t="shared" ref="AB517:AE517" si="517">O517+S517+W517+$AA517</f>
        <v>12.32741158</v>
      </c>
      <c r="AC517" s="60">
        <f t="shared" si="517"/>
        <v>19.31738344</v>
      </c>
      <c r="AD517" s="60">
        <f t="shared" si="517"/>
        <v>30.65494373</v>
      </c>
      <c r="AE517" s="60">
        <f t="shared" si="517"/>
        <v>42.04771905</v>
      </c>
      <c r="AF517" s="60">
        <f>IF(G517&gt;'Scope 3 Ratios'!$B$5,(G517-'Scope 3 Ratios'!$B$5)*('Scope 3 Ratios'!$B$6/'Scope 3 Ratios'!$B$5),0)</f>
        <v>332.856</v>
      </c>
      <c r="AG517" s="60">
        <f>J517*IF(I517="SSD",'Scope 3 Ratios'!$B$9,'Scope 3 Ratios'!$B$8)</f>
        <v>0</v>
      </c>
      <c r="AH517" s="60">
        <f>IF(K517&lt;&gt;"N/A",K517*'Scope 3 Ratios'!$B$10,0)</f>
        <v>0</v>
      </c>
      <c r="AI517" s="60">
        <f>(VLOOKUP($E517,'AWS Platforms Ratios'!$A$2:$O$25,3,FALSE)-1)*'Scope 3 Ratios'!$B$7</f>
        <v>0</v>
      </c>
      <c r="AJ517" s="60">
        <f>'Scope 3 Ratios'!$B$2+AF517+AG517+AH517+AI517</f>
        <v>1332.856</v>
      </c>
      <c r="AK517" s="60">
        <f>AJ517*'Scope 3 Ratios'!$B$4*(C517/D517)</f>
        <v>4.820804398</v>
      </c>
      <c r="AL517" s="61" t="s">
        <v>190</v>
      </c>
    </row>
    <row r="518" ht="15.75" customHeight="1">
      <c r="A518" s="76" t="s">
        <v>844</v>
      </c>
      <c r="B518" s="56" t="s">
        <v>188</v>
      </c>
      <c r="C518" s="56">
        <v>16.0</v>
      </c>
      <c r="D518" s="56">
        <f>VLOOKUP(E518,'AWS Platforms Ratios'!$A$2:$B$25,2,FALSE)</f>
        <v>64</v>
      </c>
      <c r="E518" s="57" t="s">
        <v>189</v>
      </c>
      <c r="F518" s="56">
        <v>64.0</v>
      </c>
      <c r="G518" s="56">
        <v>256.0</v>
      </c>
      <c r="H518" s="57" t="s">
        <v>71</v>
      </c>
      <c r="I518" s="56" t="s">
        <v>72</v>
      </c>
      <c r="J518" s="56">
        <v>0.0</v>
      </c>
      <c r="K518" s="58" t="s">
        <v>73</v>
      </c>
      <c r="L518" s="58" t="s">
        <v>73</v>
      </c>
      <c r="M518" s="58" t="s">
        <v>73</v>
      </c>
      <c r="N518" s="58" t="s">
        <v>73</v>
      </c>
      <c r="O518" s="59">
        <f>($C518/$D518)*VLOOKUP($E518,'AWS Platforms Ratios'!$A$2:$O$25,7,FALSE)</f>
        <v>4.354823151</v>
      </c>
      <c r="P518" s="59">
        <f>($C518/$D518)*VLOOKUP($E518,'AWS Platforms Ratios'!$A$2:$O$25,8,FALSE)</f>
        <v>11.93476688</v>
      </c>
      <c r="Q518" s="59">
        <f>($C518/$D518)*VLOOKUP($E518,'AWS Platforms Ratios'!$A$2:$O$25,9,FALSE)</f>
        <v>28.20988746</v>
      </c>
      <c r="R518" s="59">
        <f>($C518/$D518)*VLOOKUP($E518,'AWS Platforms Ratios'!$A$2:$O$25,10,FALSE)</f>
        <v>38.1954381</v>
      </c>
      <c r="S518" s="59">
        <f>$F518*VLOOKUP($E518,'AWS Platforms Ratios'!$A$2:$O$25,11,FALSE)</f>
        <v>12.8</v>
      </c>
      <c r="T518" s="59">
        <f>$F518*VLOOKUP($E518,'AWS Platforms Ratios'!$A$2:$O$25,12,FALSE)</f>
        <v>19.2</v>
      </c>
      <c r="U518" s="59">
        <f>$F518*VLOOKUP($E518,'AWS Platforms Ratios'!$A$2:$O$25,13,FALSE)</f>
        <v>25.6</v>
      </c>
      <c r="V518" s="59">
        <f>$F518*VLOOKUP($E518,'AWS Platforms Ratios'!$A$2:$O$25,14,FALSE)</f>
        <v>38.4</v>
      </c>
      <c r="W518" s="60">
        <f>IF($K518&lt;&gt;"N/A",$M518*(VLOOKUP($L518,'GPU Specs &amp; Ratios'!$B$2:$I$8,5,FALSE)),0)</f>
        <v>0</v>
      </c>
      <c r="X518" s="60">
        <f>IF($K518&lt;&gt;"N/A",$M518*(VLOOKUP($L518,'GPU Specs &amp; Ratios'!$B$2:$I$8,6,FALSE)),0)</f>
        <v>0</v>
      </c>
      <c r="Y518" s="60">
        <f>IF($K518&lt;&gt;"N/A",$M518*(VLOOKUP($L518,'GPU Specs &amp; Ratios'!$B$2:$I$8,7,FALSE)),0)</f>
        <v>0</v>
      </c>
      <c r="Z518" s="60">
        <f>IF($K518&lt;&gt;"N/A",$M518*(VLOOKUP($L518,'GPU Specs &amp; Ratios'!$B$2:$I$8,8,FALSE)),0)</f>
        <v>0</v>
      </c>
      <c r="AA518" s="60">
        <f>(C518/D518)*VLOOKUP($E518,'AWS Platforms Ratios'!$A$2:$O$25,15,FALSE)</f>
        <v>7.5</v>
      </c>
      <c r="AB518" s="60">
        <f t="shared" ref="AB518:AE518" si="518">O518+S518+W518+$AA518</f>
        <v>24.65482315</v>
      </c>
      <c r="AC518" s="60">
        <f t="shared" si="518"/>
        <v>38.63476688</v>
      </c>
      <c r="AD518" s="60">
        <f t="shared" si="518"/>
        <v>61.30988746</v>
      </c>
      <c r="AE518" s="60">
        <f t="shared" si="518"/>
        <v>84.0954381</v>
      </c>
      <c r="AF518" s="60">
        <f>IF(G518&gt;'Scope 3 Ratios'!$B$5,(G518-'Scope 3 Ratios'!$B$5)*('Scope 3 Ratios'!$B$6/'Scope 3 Ratios'!$B$5),0)</f>
        <v>332.856</v>
      </c>
      <c r="AG518" s="60">
        <f>J518*IF(I518="SSD",'Scope 3 Ratios'!$B$9,'Scope 3 Ratios'!$B$8)</f>
        <v>0</v>
      </c>
      <c r="AH518" s="60">
        <f>IF(K518&lt;&gt;"N/A",K518*'Scope 3 Ratios'!$B$10,0)</f>
        <v>0</v>
      </c>
      <c r="AI518" s="60">
        <f>(VLOOKUP($E518,'AWS Platforms Ratios'!$A$2:$O$25,3,FALSE)-1)*'Scope 3 Ratios'!$B$7</f>
        <v>0</v>
      </c>
      <c r="AJ518" s="60">
        <f>'Scope 3 Ratios'!$B$2+AF518+AG518+AH518+AI518</f>
        <v>1332.856</v>
      </c>
      <c r="AK518" s="60">
        <f>AJ518*'Scope 3 Ratios'!$B$4*(C518/D518)</f>
        <v>9.641608796</v>
      </c>
      <c r="AL518" s="61" t="s">
        <v>190</v>
      </c>
    </row>
    <row r="519" ht="15.75" customHeight="1">
      <c r="A519" s="76" t="s">
        <v>845</v>
      </c>
      <c r="B519" s="56" t="s">
        <v>188</v>
      </c>
      <c r="C519" s="56">
        <v>32.0</v>
      </c>
      <c r="D519" s="56">
        <f>VLOOKUP(E519,'AWS Platforms Ratios'!$A$2:$B$25,2,FALSE)</f>
        <v>64</v>
      </c>
      <c r="E519" s="57" t="s">
        <v>189</v>
      </c>
      <c r="F519" s="56">
        <v>128.0</v>
      </c>
      <c r="G519" s="56">
        <v>256.0</v>
      </c>
      <c r="H519" s="57" t="s">
        <v>71</v>
      </c>
      <c r="I519" s="56" t="s">
        <v>72</v>
      </c>
      <c r="J519" s="56">
        <v>0.0</v>
      </c>
      <c r="K519" s="58" t="s">
        <v>73</v>
      </c>
      <c r="L519" s="58" t="s">
        <v>73</v>
      </c>
      <c r="M519" s="58" t="s">
        <v>73</v>
      </c>
      <c r="N519" s="58" t="s">
        <v>73</v>
      </c>
      <c r="O519" s="59">
        <f>($C519/$D519)*VLOOKUP($E519,'AWS Platforms Ratios'!$A$2:$O$25,7,FALSE)</f>
        <v>8.709646302</v>
      </c>
      <c r="P519" s="59">
        <f>($C519/$D519)*VLOOKUP($E519,'AWS Platforms Ratios'!$A$2:$O$25,8,FALSE)</f>
        <v>23.86953376</v>
      </c>
      <c r="Q519" s="59">
        <f>($C519/$D519)*VLOOKUP($E519,'AWS Platforms Ratios'!$A$2:$O$25,9,FALSE)</f>
        <v>56.41977492</v>
      </c>
      <c r="R519" s="59">
        <f>($C519/$D519)*VLOOKUP($E519,'AWS Platforms Ratios'!$A$2:$O$25,10,FALSE)</f>
        <v>76.39087621</v>
      </c>
      <c r="S519" s="59">
        <f>$F519*VLOOKUP($E519,'AWS Platforms Ratios'!$A$2:$O$25,11,FALSE)</f>
        <v>25.6</v>
      </c>
      <c r="T519" s="59">
        <f>$F519*VLOOKUP($E519,'AWS Platforms Ratios'!$A$2:$O$25,12,FALSE)</f>
        <v>38.4</v>
      </c>
      <c r="U519" s="59">
        <f>$F519*VLOOKUP($E519,'AWS Platforms Ratios'!$A$2:$O$25,13,FALSE)</f>
        <v>51.2</v>
      </c>
      <c r="V519" s="59">
        <f>$F519*VLOOKUP($E519,'AWS Platforms Ratios'!$A$2:$O$25,14,FALSE)</f>
        <v>76.8</v>
      </c>
      <c r="W519" s="60">
        <f>IF($K519&lt;&gt;"N/A",$M519*(VLOOKUP($L519,'GPU Specs &amp; Ratios'!$B$2:$I$8,5,FALSE)),0)</f>
        <v>0</v>
      </c>
      <c r="X519" s="60">
        <f>IF($K519&lt;&gt;"N/A",$M519*(VLOOKUP($L519,'GPU Specs &amp; Ratios'!$B$2:$I$8,6,FALSE)),0)</f>
        <v>0</v>
      </c>
      <c r="Y519" s="60">
        <f>IF($K519&lt;&gt;"N/A",$M519*(VLOOKUP($L519,'GPU Specs &amp; Ratios'!$B$2:$I$8,7,FALSE)),0)</f>
        <v>0</v>
      </c>
      <c r="Z519" s="60">
        <f>IF($K519&lt;&gt;"N/A",$M519*(VLOOKUP($L519,'GPU Specs &amp; Ratios'!$B$2:$I$8,8,FALSE)),0)</f>
        <v>0</v>
      </c>
      <c r="AA519" s="60">
        <f>(C519/D519)*VLOOKUP($E519,'AWS Platforms Ratios'!$A$2:$O$25,15,FALSE)</f>
        <v>15</v>
      </c>
      <c r="AB519" s="60">
        <f t="shared" ref="AB519:AE519" si="519">O519+S519+W519+$AA519</f>
        <v>49.3096463</v>
      </c>
      <c r="AC519" s="60">
        <f t="shared" si="519"/>
        <v>77.26953376</v>
      </c>
      <c r="AD519" s="60">
        <f t="shared" si="519"/>
        <v>122.6197749</v>
      </c>
      <c r="AE519" s="60">
        <f t="shared" si="519"/>
        <v>168.1908762</v>
      </c>
      <c r="AF519" s="60">
        <f>IF(G519&gt;'Scope 3 Ratios'!$B$5,(G519-'Scope 3 Ratios'!$B$5)*('Scope 3 Ratios'!$B$6/'Scope 3 Ratios'!$B$5),0)</f>
        <v>332.856</v>
      </c>
      <c r="AG519" s="60">
        <f>J519*IF(I519="SSD",'Scope 3 Ratios'!$B$9,'Scope 3 Ratios'!$B$8)</f>
        <v>0</v>
      </c>
      <c r="AH519" s="60">
        <f>IF(K519&lt;&gt;"N/A",K519*'Scope 3 Ratios'!$B$10,0)</f>
        <v>0</v>
      </c>
      <c r="AI519" s="60">
        <f>(VLOOKUP($E519,'AWS Platforms Ratios'!$A$2:$O$25,3,FALSE)-1)*'Scope 3 Ratios'!$B$7</f>
        <v>0</v>
      </c>
      <c r="AJ519" s="60">
        <f>'Scope 3 Ratios'!$B$2+AF519+AG519+AH519+AI519</f>
        <v>1332.856</v>
      </c>
      <c r="AK519" s="60">
        <f>AJ519*'Scope 3 Ratios'!$B$4*(C519/D519)</f>
        <v>19.28321759</v>
      </c>
      <c r="AL519" s="61" t="s">
        <v>190</v>
      </c>
    </row>
    <row r="520" ht="15.75" customHeight="1">
      <c r="A520" s="76" t="s">
        <v>846</v>
      </c>
      <c r="B520" s="56" t="s">
        <v>188</v>
      </c>
      <c r="C520" s="56">
        <v>48.0</v>
      </c>
      <c r="D520" s="56">
        <f>VLOOKUP(E520,'AWS Platforms Ratios'!$A$2:$B$25,2,FALSE)</f>
        <v>64</v>
      </c>
      <c r="E520" s="57" t="s">
        <v>189</v>
      </c>
      <c r="F520" s="56">
        <v>192.0</v>
      </c>
      <c r="G520" s="56">
        <v>256.0</v>
      </c>
      <c r="H520" s="57" t="s">
        <v>71</v>
      </c>
      <c r="I520" s="56" t="s">
        <v>72</v>
      </c>
      <c r="J520" s="56">
        <v>0.0</v>
      </c>
      <c r="K520" s="58" t="s">
        <v>73</v>
      </c>
      <c r="L520" s="58" t="s">
        <v>73</v>
      </c>
      <c r="M520" s="58" t="s">
        <v>73</v>
      </c>
      <c r="N520" s="58" t="s">
        <v>73</v>
      </c>
      <c r="O520" s="59">
        <f>($C520/$D520)*VLOOKUP($E520,'AWS Platforms Ratios'!$A$2:$O$25,7,FALSE)</f>
        <v>13.06446945</v>
      </c>
      <c r="P520" s="59">
        <f>($C520/$D520)*VLOOKUP($E520,'AWS Platforms Ratios'!$A$2:$O$25,8,FALSE)</f>
        <v>35.80430064</v>
      </c>
      <c r="Q520" s="59">
        <f>($C520/$D520)*VLOOKUP($E520,'AWS Platforms Ratios'!$A$2:$O$25,9,FALSE)</f>
        <v>84.62966238</v>
      </c>
      <c r="R520" s="59">
        <f>($C520/$D520)*VLOOKUP($E520,'AWS Platforms Ratios'!$A$2:$O$25,10,FALSE)</f>
        <v>114.5863143</v>
      </c>
      <c r="S520" s="59">
        <f>$F520*VLOOKUP($E520,'AWS Platforms Ratios'!$A$2:$O$25,11,FALSE)</f>
        <v>38.4</v>
      </c>
      <c r="T520" s="59">
        <f>$F520*VLOOKUP($E520,'AWS Platforms Ratios'!$A$2:$O$25,12,FALSE)</f>
        <v>57.6</v>
      </c>
      <c r="U520" s="59">
        <f>$F520*VLOOKUP($E520,'AWS Platforms Ratios'!$A$2:$O$25,13,FALSE)</f>
        <v>76.8</v>
      </c>
      <c r="V520" s="59">
        <f>$F520*VLOOKUP($E520,'AWS Platforms Ratios'!$A$2:$O$25,14,FALSE)</f>
        <v>115.2</v>
      </c>
      <c r="W520" s="60">
        <f>IF($K520&lt;&gt;"N/A",$M520*(VLOOKUP($L520,'GPU Specs &amp; Ratios'!$B$2:$I$8,5,FALSE)),0)</f>
        <v>0</v>
      </c>
      <c r="X520" s="60">
        <f>IF($K520&lt;&gt;"N/A",$M520*(VLOOKUP($L520,'GPU Specs &amp; Ratios'!$B$2:$I$8,6,FALSE)),0)</f>
        <v>0</v>
      </c>
      <c r="Y520" s="60">
        <f>IF($K520&lt;&gt;"N/A",$M520*(VLOOKUP($L520,'GPU Specs &amp; Ratios'!$B$2:$I$8,7,FALSE)),0)</f>
        <v>0</v>
      </c>
      <c r="Z520" s="60">
        <f>IF($K520&lt;&gt;"N/A",$M520*(VLOOKUP($L520,'GPU Specs &amp; Ratios'!$B$2:$I$8,8,FALSE)),0)</f>
        <v>0</v>
      </c>
      <c r="AA520" s="60">
        <f>(C520/D520)*VLOOKUP($E520,'AWS Platforms Ratios'!$A$2:$O$25,15,FALSE)</f>
        <v>22.5</v>
      </c>
      <c r="AB520" s="60">
        <f t="shared" ref="AB520:AE520" si="520">O520+S520+W520+$AA520</f>
        <v>73.96446945</v>
      </c>
      <c r="AC520" s="60">
        <f t="shared" si="520"/>
        <v>115.9043006</v>
      </c>
      <c r="AD520" s="60">
        <f t="shared" si="520"/>
        <v>183.9296624</v>
      </c>
      <c r="AE520" s="60">
        <f t="shared" si="520"/>
        <v>252.2863143</v>
      </c>
      <c r="AF520" s="60">
        <f>IF(G520&gt;'Scope 3 Ratios'!$B$5,(G520-'Scope 3 Ratios'!$B$5)*('Scope 3 Ratios'!$B$6/'Scope 3 Ratios'!$B$5),0)</f>
        <v>332.856</v>
      </c>
      <c r="AG520" s="60">
        <f>J520*IF(I520="SSD",'Scope 3 Ratios'!$B$9,'Scope 3 Ratios'!$B$8)</f>
        <v>0</v>
      </c>
      <c r="AH520" s="60">
        <f>IF(K520&lt;&gt;"N/A",K520*'Scope 3 Ratios'!$B$10,0)</f>
        <v>0</v>
      </c>
      <c r="AI520" s="60">
        <f>(VLOOKUP($E520,'AWS Platforms Ratios'!$A$2:$O$25,3,FALSE)-1)*'Scope 3 Ratios'!$B$7</f>
        <v>0</v>
      </c>
      <c r="AJ520" s="60">
        <f>'Scope 3 Ratios'!$B$2+AF520+AG520+AH520+AI520</f>
        <v>1332.856</v>
      </c>
      <c r="AK520" s="60">
        <f>AJ520*'Scope 3 Ratios'!$B$4*(C520/D520)</f>
        <v>28.92482639</v>
      </c>
      <c r="AL520" s="61" t="s">
        <v>190</v>
      </c>
    </row>
    <row r="521" ht="15.75" customHeight="1">
      <c r="A521" s="76" t="s">
        <v>847</v>
      </c>
      <c r="B521" s="56" t="s">
        <v>188</v>
      </c>
      <c r="C521" s="63">
        <v>2.0</v>
      </c>
      <c r="D521" s="56">
        <f>VLOOKUP(E521,'AWS Platforms Ratios'!$A$2:$B$25,2,FALSE)</f>
        <v>64</v>
      </c>
      <c r="E521" s="63" t="s">
        <v>189</v>
      </c>
      <c r="F521" s="63">
        <v>4.0</v>
      </c>
      <c r="G521" s="63">
        <v>128.0</v>
      </c>
      <c r="H521" s="64" t="s">
        <v>71</v>
      </c>
      <c r="I521" s="56" t="s">
        <v>72</v>
      </c>
      <c r="J521" s="56">
        <v>0.0</v>
      </c>
      <c r="K521" s="58" t="s">
        <v>73</v>
      </c>
      <c r="L521" s="58" t="s">
        <v>73</v>
      </c>
      <c r="M521" s="58" t="s">
        <v>73</v>
      </c>
      <c r="N521" s="58" t="s">
        <v>73</v>
      </c>
      <c r="O521" s="59">
        <f>($C521/$D521)*VLOOKUP($E521,'AWS Platforms Ratios'!$A$2:$O$25,7,FALSE)</f>
        <v>0.5443528939</v>
      </c>
      <c r="P521" s="59">
        <f>($C521/$D521)*VLOOKUP($E521,'AWS Platforms Ratios'!$A$2:$O$25,8,FALSE)</f>
        <v>1.49184586</v>
      </c>
      <c r="Q521" s="59">
        <f>($C521/$D521)*VLOOKUP($E521,'AWS Platforms Ratios'!$A$2:$O$25,9,FALSE)</f>
        <v>3.526235932</v>
      </c>
      <c r="R521" s="59">
        <f>($C521/$D521)*VLOOKUP($E521,'AWS Platforms Ratios'!$A$2:$O$25,10,FALSE)</f>
        <v>4.774429763</v>
      </c>
      <c r="S521" s="59">
        <f>$F521*VLOOKUP($E521,'AWS Platforms Ratios'!$A$2:$O$25,11,FALSE)</f>
        <v>0.8</v>
      </c>
      <c r="T521" s="59">
        <f>$F521*VLOOKUP($E521,'AWS Platforms Ratios'!$A$2:$O$25,12,FALSE)</f>
        <v>1.2</v>
      </c>
      <c r="U521" s="59">
        <f>$F521*VLOOKUP($E521,'AWS Platforms Ratios'!$A$2:$O$25,13,FALSE)</f>
        <v>1.6</v>
      </c>
      <c r="V521" s="59">
        <f>$F521*VLOOKUP($E521,'AWS Platforms Ratios'!$A$2:$O$25,14,FALSE)</f>
        <v>2.4</v>
      </c>
      <c r="W521" s="60">
        <f>IF($K521&lt;&gt;"N/A",$M521*(VLOOKUP($L521,'GPU Specs &amp; Ratios'!$B$2:$I$8,5,FALSE)),0)</f>
        <v>0</v>
      </c>
      <c r="X521" s="60">
        <f>IF($K521&lt;&gt;"N/A",$M521*(VLOOKUP($L521,'GPU Specs &amp; Ratios'!$B$2:$I$8,6,FALSE)),0)</f>
        <v>0</v>
      </c>
      <c r="Y521" s="60">
        <f>IF($K521&lt;&gt;"N/A",$M521*(VLOOKUP($L521,'GPU Specs &amp; Ratios'!$B$2:$I$8,7,FALSE)),0)</f>
        <v>0</v>
      </c>
      <c r="Z521" s="60">
        <f>IF($K521&lt;&gt;"N/A",$M521*(VLOOKUP($L521,'GPU Specs &amp; Ratios'!$B$2:$I$8,8,FALSE)),0)</f>
        <v>0</v>
      </c>
      <c r="AA521" s="60">
        <f>(C521/D521)*VLOOKUP($E521,'AWS Platforms Ratios'!$A$2:$O$25,15,FALSE)</f>
        <v>0.9375</v>
      </c>
      <c r="AB521" s="60">
        <f t="shared" ref="AB521:AE521" si="521">O521+S521+W521+$AA521</f>
        <v>2.281852894</v>
      </c>
      <c r="AC521" s="60">
        <f t="shared" si="521"/>
        <v>3.62934586</v>
      </c>
      <c r="AD521" s="60">
        <f t="shared" si="521"/>
        <v>6.063735932</v>
      </c>
      <c r="AE521" s="60">
        <f t="shared" si="521"/>
        <v>8.111929763</v>
      </c>
      <c r="AF521" s="60">
        <f>IF(G521&gt;'Scope 3 Ratios'!$B$5,(G521-'Scope 3 Ratios'!$B$5)*('Scope 3 Ratios'!$B$6/'Scope 3 Ratios'!$B$5),0)</f>
        <v>155.3328</v>
      </c>
      <c r="AG521" s="60">
        <f>J521*IF(I521="SSD",'Scope 3 Ratios'!$B$9,'Scope 3 Ratios'!$B$8)</f>
        <v>0</v>
      </c>
      <c r="AH521" s="60">
        <f>IF(K521&lt;&gt;"N/A",K521*'Scope 3 Ratios'!$B$10,0)</f>
        <v>0</v>
      </c>
      <c r="AI521" s="60">
        <f>(VLOOKUP($E521,'AWS Platforms Ratios'!$A$2:$O$25,3,FALSE)-1)*'Scope 3 Ratios'!$B$7</f>
        <v>0</v>
      </c>
      <c r="AJ521" s="60">
        <f>'Scope 3 Ratios'!$B$2+AF521+AG521+AH521+AI521</f>
        <v>1155.3328</v>
      </c>
      <c r="AK521" s="60">
        <f>AJ521*'Scope 3 Ratios'!$B$4*(C521/D521)</f>
        <v>1.044680266</v>
      </c>
      <c r="AL521" s="61" t="s">
        <v>190</v>
      </c>
    </row>
    <row r="522" ht="15.75" customHeight="1">
      <c r="A522" s="76" t="s">
        <v>848</v>
      </c>
      <c r="B522" s="56" t="s">
        <v>188</v>
      </c>
      <c r="C522" s="63">
        <v>4.0</v>
      </c>
      <c r="D522" s="56">
        <f>VLOOKUP(E522,'AWS Platforms Ratios'!$A$2:$B$25,2,FALSE)</f>
        <v>64</v>
      </c>
      <c r="E522" s="63" t="s">
        <v>189</v>
      </c>
      <c r="F522" s="63">
        <v>8.0</v>
      </c>
      <c r="G522" s="63">
        <v>128.0</v>
      </c>
      <c r="H522" s="64" t="s">
        <v>71</v>
      </c>
      <c r="I522" s="56" t="s">
        <v>72</v>
      </c>
      <c r="J522" s="56">
        <v>0.0</v>
      </c>
      <c r="K522" s="58" t="s">
        <v>73</v>
      </c>
      <c r="L522" s="58" t="s">
        <v>73</v>
      </c>
      <c r="M522" s="58" t="s">
        <v>73</v>
      </c>
      <c r="N522" s="58" t="s">
        <v>73</v>
      </c>
      <c r="O522" s="59">
        <f>($C522/$D522)*VLOOKUP($E522,'AWS Platforms Ratios'!$A$2:$O$25,7,FALSE)</f>
        <v>1.088705788</v>
      </c>
      <c r="P522" s="59">
        <f>($C522/$D522)*VLOOKUP($E522,'AWS Platforms Ratios'!$A$2:$O$25,8,FALSE)</f>
        <v>2.98369172</v>
      </c>
      <c r="Q522" s="59">
        <f>($C522/$D522)*VLOOKUP($E522,'AWS Platforms Ratios'!$A$2:$O$25,9,FALSE)</f>
        <v>7.052471865</v>
      </c>
      <c r="R522" s="59">
        <f>($C522/$D522)*VLOOKUP($E522,'AWS Platforms Ratios'!$A$2:$O$25,10,FALSE)</f>
        <v>9.548859526</v>
      </c>
      <c r="S522" s="59">
        <f>$F522*VLOOKUP($E522,'AWS Platforms Ratios'!$A$2:$O$25,11,FALSE)</f>
        <v>1.6</v>
      </c>
      <c r="T522" s="59">
        <f>$F522*VLOOKUP($E522,'AWS Platforms Ratios'!$A$2:$O$25,12,FALSE)</f>
        <v>2.4</v>
      </c>
      <c r="U522" s="59">
        <f>$F522*VLOOKUP($E522,'AWS Platforms Ratios'!$A$2:$O$25,13,FALSE)</f>
        <v>3.2</v>
      </c>
      <c r="V522" s="59">
        <f>$F522*VLOOKUP($E522,'AWS Platforms Ratios'!$A$2:$O$25,14,FALSE)</f>
        <v>4.8</v>
      </c>
      <c r="W522" s="60">
        <f>IF($K522&lt;&gt;"N/A",$M522*(VLOOKUP($L522,'GPU Specs &amp; Ratios'!$B$2:$I$8,5,FALSE)),0)</f>
        <v>0</v>
      </c>
      <c r="X522" s="60">
        <f>IF($K522&lt;&gt;"N/A",$M522*(VLOOKUP($L522,'GPU Specs &amp; Ratios'!$B$2:$I$8,6,FALSE)),0)</f>
        <v>0</v>
      </c>
      <c r="Y522" s="60">
        <f>IF($K522&lt;&gt;"N/A",$M522*(VLOOKUP($L522,'GPU Specs &amp; Ratios'!$B$2:$I$8,7,FALSE)),0)</f>
        <v>0</v>
      </c>
      <c r="Z522" s="60">
        <f>IF($K522&lt;&gt;"N/A",$M522*(VLOOKUP($L522,'GPU Specs &amp; Ratios'!$B$2:$I$8,8,FALSE)),0)</f>
        <v>0</v>
      </c>
      <c r="AA522" s="60">
        <f>(C522/D522)*VLOOKUP($E522,'AWS Platforms Ratios'!$A$2:$O$25,15,FALSE)</f>
        <v>1.875</v>
      </c>
      <c r="AB522" s="60">
        <f t="shared" ref="AB522:AE522" si="522">O522+S522+W522+$AA522</f>
        <v>4.563705788</v>
      </c>
      <c r="AC522" s="60">
        <f t="shared" si="522"/>
        <v>7.25869172</v>
      </c>
      <c r="AD522" s="60">
        <f t="shared" si="522"/>
        <v>12.12747186</v>
      </c>
      <c r="AE522" s="60">
        <f t="shared" si="522"/>
        <v>16.22385953</v>
      </c>
      <c r="AF522" s="60">
        <f>IF(G522&gt;'Scope 3 Ratios'!$B$5,(G522-'Scope 3 Ratios'!$B$5)*('Scope 3 Ratios'!$B$6/'Scope 3 Ratios'!$B$5),0)</f>
        <v>155.3328</v>
      </c>
      <c r="AG522" s="60">
        <f>J522*IF(I522="SSD",'Scope 3 Ratios'!$B$9,'Scope 3 Ratios'!$B$8)</f>
        <v>0</v>
      </c>
      <c r="AH522" s="60">
        <f>IF(K522&lt;&gt;"N/A",K522*'Scope 3 Ratios'!$B$10,0)</f>
        <v>0</v>
      </c>
      <c r="AI522" s="60">
        <f>(VLOOKUP($E522,'AWS Platforms Ratios'!$A$2:$O$25,3,FALSE)-1)*'Scope 3 Ratios'!$B$7</f>
        <v>0</v>
      </c>
      <c r="AJ522" s="60">
        <f>'Scope 3 Ratios'!$B$2+AF522+AG522+AH522+AI522</f>
        <v>1155.3328</v>
      </c>
      <c r="AK522" s="60">
        <f>AJ522*'Scope 3 Ratios'!$B$4*(C522/D522)</f>
        <v>2.089360532</v>
      </c>
      <c r="AL522" s="61" t="s">
        <v>190</v>
      </c>
    </row>
    <row r="523" ht="15.75" customHeight="1">
      <c r="A523" s="76" t="s">
        <v>849</v>
      </c>
      <c r="B523" s="56" t="s">
        <v>188</v>
      </c>
      <c r="C523" s="63">
        <v>8.0</v>
      </c>
      <c r="D523" s="56">
        <f>VLOOKUP(E523,'AWS Platforms Ratios'!$A$2:$B$25,2,FALSE)</f>
        <v>64</v>
      </c>
      <c r="E523" s="63" t="s">
        <v>189</v>
      </c>
      <c r="F523" s="63">
        <v>16.0</v>
      </c>
      <c r="G523" s="63">
        <v>128.0</v>
      </c>
      <c r="H523" s="64" t="s">
        <v>71</v>
      </c>
      <c r="I523" s="56" t="s">
        <v>72</v>
      </c>
      <c r="J523" s="56">
        <v>0.0</v>
      </c>
      <c r="K523" s="58" t="s">
        <v>73</v>
      </c>
      <c r="L523" s="58" t="s">
        <v>73</v>
      </c>
      <c r="M523" s="58" t="s">
        <v>73</v>
      </c>
      <c r="N523" s="58" t="s">
        <v>73</v>
      </c>
      <c r="O523" s="59">
        <f>($C523/$D523)*VLOOKUP($E523,'AWS Platforms Ratios'!$A$2:$O$25,7,FALSE)</f>
        <v>2.177411576</v>
      </c>
      <c r="P523" s="59">
        <f>($C523/$D523)*VLOOKUP($E523,'AWS Platforms Ratios'!$A$2:$O$25,8,FALSE)</f>
        <v>5.967383441</v>
      </c>
      <c r="Q523" s="59">
        <f>($C523/$D523)*VLOOKUP($E523,'AWS Platforms Ratios'!$A$2:$O$25,9,FALSE)</f>
        <v>14.10494373</v>
      </c>
      <c r="R523" s="59">
        <f>($C523/$D523)*VLOOKUP($E523,'AWS Platforms Ratios'!$A$2:$O$25,10,FALSE)</f>
        <v>19.09771905</v>
      </c>
      <c r="S523" s="59">
        <f>$F523*VLOOKUP($E523,'AWS Platforms Ratios'!$A$2:$O$25,11,FALSE)</f>
        <v>3.2</v>
      </c>
      <c r="T523" s="59">
        <f>$F523*VLOOKUP($E523,'AWS Platforms Ratios'!$A$2:$O$25,12,FALSE)</f>
        <v>4.8</v>
      </c>
      <c r="U523" s="59">
        <f>$F523*VLOOKUP($E523,'AWS Platforms Ratios'!$A$2:$O$25,13,FALSE)</f>
        <v>6.4</v>
      </c>
      <c r="V523" s="59">
        <f>$F523*VLOOKUP($E523,'AWS Platforms Ratios'!$A$2:$O$25,14,FALSE)</f>
        <v>9.6</v>
      </c>
      <c r="W523" s="60">
        <f>IF($K523&lt;&gt;"N/A",$M523*(VLOOKUP($L523,'GPU Specs &amp; Ratios'!$B$2:$I$8,5,FALSE)),0)</f>
        <v>0</v>
      </c>
      <c r="X523" s="60">
        <f>IF($K523&lt;&gt;"N/A",$M523*(VLOOKUP($L523,'GPU Specs &amp; Ratios'!$B$2:$I$8,6,FALSE)),0)</f>
        <v>0</v>
      </c>
      <c r="Y523" s="60">
        <f>IF($K523&lt;&gt;"N/A",$M523*(VLOOKUP($L523,'GPU Specs &amp; Ratios'!$B$2:$I$8,7,FALSE)),0)</f>
        <v>0</v>
      </c>
      <c r="Z523" s="60">
        <f>IF($K523&lt;&gt;"N/A",$M523*(VLOOKUP($L523,'GPU Specs &amp; Ratios'!$B$2:$I$8,8,FALSE)),0)</f>
        <v>0</v>
      </c>
      <c r="AA523" s="60">
        <f>(C523/D523)*VLOOKUP($E523,'AWS Platforms Ratios'!$A$2:$O$25,15,FALSE)</f>
        <v>3.75</v>
      </c>
      <c r="AB523" s="60">
        <f t="shared" ref="AB523:AE523" si="523">O523+S523+W523+$AA523</f>
        <v>9.127411576</v>
      </c>
      <c r="AC523" s="60">
        <f t="shared" si="523"/>
        <v>14.51738344</v>
      </c>
      <c r="AD523" s="60">
        <f t="shared" si="523"/>
        <v>24.25494373</v>
      </c>
      <c r="AE523" s="60">
        <f t="shared" si="523"/>
        <v>32.44771905</v>
      </c>
      <c r="AF523" s="60">
        <f>IF(G523&gt;'Scope 3 Ratios'!$B$5,(G523-'Scope 3 Ratios'!$B$5)*('Scope 3 Ratios'!$B$6/'Scope 3 Ratios'!$B$5),0)</f>
        <v>155.3328</v>
      </c>
      <c r="AG523" s="60">
        <f>J523*IF(I523="SSD",'Scope 3 Ratios'!$B$9,'Scope 3 Ratios'!$B$8)</f>
        <v>0</v>
      </c>
      <c r="AH523" s="60">
        <f>IF(K523&lt;&gt;"N/A",K523*'Scope 3 Ratios'!$B$10,0)</f>
        <v>0</v>
      </c>
      <c r="AI523" s="60">
        <f>(VLOOKUP($E523,'AWS Platforms Ratios'!$A$2:$O$25,3,FALSE)-1)*'Scope 3 Ratios'!$B$7</f>
        <v>0</v>
      </c>
      <c r="AJ523" s="60">
        <f>'Scope 3 Ratios'!$B$2+AF523+AG523+AH523+AI523</f>
        <v>1155.3328</v>
      </c>
      <c r="AK523" s="60">
        <f>AJ523*'Scope 3 Ratios'!$B$4*(C523/D523)</f>
        <v>4.178721065</v>
      </c>
      <c r="AL523" s="61" t="s">
        <v>190</v>
      </c>
    </row>
    <row r="524" ht="15.75" customHeight="1">
      <c r="A524" s="76" t="s">
        <v>850</v>
      </c>
      <c r="B524" s="56" t="s">
        <v>188</v>
      </c>
      <c r="C524" s="63">
        <v>16.0</v>
      </c>
      <c r="D524" s="56">
        <f>VLOOKUP(E524,'AWS Platforms Ratios'!$A$2:$B$25,2,FALSE)</f>
        <v>64</v>
      </c>
      <c r="E524" s="63" t="s">
        <v>189</v>
      </c>
      <c r="F524" s="63">
        <v>32.0</v>
      </c>
      <c r="G524" s="63">
        <v>128.0</v>
      </c>
      <c r="H524" s="64" t="s">
        <v>71</v>
      </c>
      <c r="I524" s="56" t="s">
        <v>72</v>
      </c>
      <c r="J524" s="56">
        <v>0.0</v>
      </c>
      <c r="K524" s="58" t="s">
        <v>73</v>
      </c>
      <c r="L524" s="58" t="s">
        <v>73</v>
      </c>
      <c r="M524" s="58" t="s">
        <v>73</v>
      </c>
      <c r="N524" s="58" t="s">
        <v>73</v>
      </c>
      <c r="O524" s="59">
        <f>($C524/$D524)*VLOOKUP($E524,'AWS Platforms Ratios'!$A$2:$O$25,7,FALSE)</f>
        <v>4.354823151</v>
      </c>
      <c r="P524" s="59">
        <f>($C524/$D524)*VLOOKUP($E524,'AWS Platforms Ratios'!$A$2:$O$25,8,FALSE)</f>
        <v>11.93476688</v>
      </c>
      <c r="Q524" s="59">
        <f>($C524/$D524)*VLOOKUP($E524,'AWS Platforms Ratios'!$A$2:$O$25,9,FALSE)</f>
        <v>28.20988746</v>
      </c>
      <c r="R524" s="59">
        <f>($C524/$D524)*VLOOKUP($E524,'AWS Platforms Ratios'!$A$2:$O$25,10,FALSE)</f>
        <v>38.1954381</v>
      </c>
      <c r="S524" s="59">
        <f>$F524*VLOOKUP($E524,'AWS Platforms Ratios'!$A$2:$O$25,11,FALSE)</f>
        <v>6.4</v>
      </c>
      <c r="T524" s="59">
        <f>$F524*VLOOKUP($E524,'AWS Platforms Ratios'!$A$2:$O$25,12,FALSE)</f>
        <v>9.6</v>
      </c>
      <c r="U524" s="59">
        <f>$F524*VLOOKUP($E524,'AWS Platforms Ratios'!$A$2:$O$25,13,FALSE)</f>
        <v>12.8</v>
      </c>
      <c r="V524" s="59">
        <f>$F524*VLOOKUP($E524,'AWS Platforms Ratios'!$A$2:$O$25,14,FALSE)</f>
        <v>19.2</v>
      </c>
      <c r="W524" s="60">
        <f>IF($K524&lt;&gt;"N/A",$M524*(VLOOKUP($L524,'GPU Specs &amp; Ratios'!$B$2:$I$8,5,FALSE)),0)</f>
        <v>0</v>
      </c>
      <c r="X524" s="60">
        <f>IF($K524&lt;&gt;"N/A",$M524*(VLOOKUP($L524,'GPU Specs &amp; Ratios'!$B$2:$I$8,6,FALSE)),0)</f>
        <v>0</v>
      </c>
      <c r="Y524" s="60">
        <f>IF($K524&lt;&gt;"N/A",$M524*(VLOOKUP($L524,'GPU Specs &amp; Ratios'!$B$2:$I$8,7,FALSE)),0)</f>
        <v>0</v>
      </c>
      <c r="Z524" s="60">
        <f>IF($K524&lt;&gt;"N/A",$M524*(VLOOKUP($L524,'GPU Specs &amp; Ratios'!$B$2:$I$8,8,FALSE)),0)</f>
        <v>0</v>
      </c>
      <c r="AA524" s="60">
        <f>(C524/D524)*VLOOKUP($E524,'AWS Platforms Ratios'!$A$2:$O$25,15,FALSE)</f>
        <v>7.5</v>
      </c>
      <c r="AB524" s="60">
        <f t="shared" ref="AB524:AE524" si="524">O524+S524+W524+$AA524</f>
        <v>18.25482315</v>
      </c>
      <c r="AC524" s="60">
        <f t="shared" si="524"/>
        <v>29.03476688</v>
      </c>
      <c r="AD524" s="60">
        <f t="shared" si="524"/>
        <v>48.50988746</v>
      </c>
      <c r="AE524" s="60">
        <f t="shared" si="524"/>
        <v>64.8954381</v>
      </c>
      <c r="AF524" s="60">
        <f>IF(G524&gt;'Scope 3 Ratios'!$B$5,(G524-'Scope 3 Ratios'!$B$5)*('Scope 3 Ratios'!$B$6/'Scope 3 Ratios'!$B$5),0)</f>
        <v>155.3328</v>
      </c>
      <c r="AG524" s="60">
        <f>J524*IF(I524="SSD",'Scope 3 Ratios'!$B$9,'Scope 3 Ratios'!$B$8)</f>
        <v>0</v>
      </c>
      <c r="AH524" s="60">
        <f>IF(K524&lt;&gt;"N/A",K524*'Scope 3 Ratios'!$B$10,0)</f>
        <v>0</v>
      </c>
      <c r="AI524" s="60">
        <f>(VLOOKUP($E524,'AWS Platforms Ratios'!$A$2:$O$25,3,FALSE)-1)*'Scope 3 Ratios'!$B$7</f>
        <v>0</v>
      </c>
      <c r="AJ524" s="60">
        <f>'Scope 3 Ratios'!$B$2+AF524+AG524+AH524+AI524</f>
        <v>1155.3328</v>
      </c>
      <c r="AK524" s="60">
        <f>AJ524*'Scope 3 Ratios'!$B$4*(C524/D524)</f>
        <v>8.35744213</v>
      </c>
      <c r="AL524" s="61" t="s">
        <v>190</v>
      </c>
    </row>
    <row r="525" ht="15.75" customHeight="1">
      <c r="A525" s="76" t="s">
        <v>851</v>
      </c>
      <c r="B525" s="56" t="s">
        <v>188</v>
      </c>
      <c r="C525" s="63">
        <v>32.0</v>
      </c>
      <c r="D525" s="56">
        <f>VLOOKUP(E525,'AWS Platforms Ratios'!$A$2:$B$25,2,FALSE)</f>
        <v>64</v>
      </c>
      <c r="E525" s="63" t="s">
        <v>189</v>
      </c>
      <c r="F525" s="63">
        <v>64.0</v>
      </c>
      <c r="G525" s="63">
        <v>128.0</v>
      </c>
      <c r="H525" s="64" t="s">
        <v>71</v>
      </c>
      <c r="I525" s="56" t="s">
        <v>72</v>
      </c>
      <c r="J525" s="56">
        <v>0.0</v>
      </c>
      <c r="K525" s="58" t="s">
        <v>73</v>
      </c>
      <c r="L525" s="58" t="s">
        <v>73</v>
      </c>
      <c r="M525" s="58" t="s">
        <v>73</v>
      </c>
      <c r="N525" s="58" t="s">
        <v>73</v>
      </c>
      <c r="O525" s="59">
        <f>($C525/$D525)*VLOOKUP($E525,'AWS Platforms Ratios'!$A$2:$O$25,7,FALSE)</f>
        <v>8.709646302</v>
      </c>
      <c r="P525" s="59">
        <f>($C525/$D525)*VLOOKUP($E525,'AWS Platforms Ratios'!$A$2:$O$25,8,FALSE)</f>
        <v>23.86953376</v>
      </c>
      <c r="Q525" s="59">
        <f>($C525/$D525)*VLOOKUP($E525,'AWS Platforms Ratios'!$A$2:$O$25,9,FALSE)</f>
        <v>56.41977492</v>
      </c>
      <c r="R525" s="59">
        <f>($C525/$D525)*VLOOKUP($E525,'AWS Platforms Ratios'!$A$2:$O$25,10,FALSE)</f>
        <v>76.39087621</v>
      </c>
      <c r="S525" s="59">
        <f>$F525*VLOOKUP($E525,'AWS Platforms Ratios'!$A$2:$O$25,11,FALSE)</f>
        <v>12.8</v>
      </c>
      <c r="T525" s="59">
        <f>$F525*VLOOKUP($E525,'AWS Platforms Ratios'!$A$2:$O$25,12,FALSE)</f>
        <v>19.2</v>
      </c>
      <c r="U525" s="59">
        <f>$F525*VLOOKUP($E525,'AWS Platforms Ratios'!$A$2:$O$25,13,FALSE)</f>
        <v>25.6</v>
      </c>
      <c r="V525" s="59">
        <f>$F525*VLOOKUP($E525,'AWS Platforms Ratios'!$A$2:$O$25,14,FALSE)</f>
        <v>38.4</v>
      </c>
      <c r="W525" s="60">
        <f>IF($K525&lt;&gt;"N/A",$M525*(VLOOKUP($L525,'GPU Specs &amp; Ratios'!$B$2:$I$8,5,FALSE)),0)</f>
        <v>0</v>
      </c>
      <c r="X525" s="60">
        <f>IF($K525&lt;&gt;"N/A",$M525*(VLOOKUP($L525,'GPU Specs &amp; Ratios'!$B$2:$I$8,6,FALSE)),0)</f>
        <v>0</v>
      </c>
      <c r="Y525" s="60">
        <f>IF($K525&lt;&gt;"N/A",$M525*(VLOOKUP($L525,'GPU Specs &amp; Ratios'!$B$2:$I$8,7,FALSE)),0)</f>
        <v>0</v>
      </c>
      <c r="Z525" s="60">
        <f>IF($K525&lt;&gt;"N/A",$M525*(VLOOKUP($L525,'GPU Specs &amp; Ratios'!$B$2:$I$8,8,FALSE)),0)</f>
        <v>0</v>
      </c>
      <c r="AA525" s="60">
        <f>(C525/D525)*VLOOKUP($E525,'AWS Platforms Ratios'!$A$2:$O$25,15,FALSE)</f>
        <v>15</v>
      </c>
      <c r="AB525" s="60">
        <f t="shared" ref="AB525:AE525" si="525">O525+S525+W525+$AA525</f>
        <v>36.5096463</v>
      </c>
      <c r="AC525" s="60">
        <f t="shared" si="525"/>
        <v>58.06953376</v>
      </c>
      <c r="AD525" s="60">
        <f t="shared" si="525"/>
        <v>97.01977492</v>
      </c>
      <c r="AE525" s="60">
        <f t="shared" si="525"/>
        <v>129.7908762</v>
      </c>
      <c r="AF525" s="60">
        <f>IF(G525&gt;'Scope 3 Ratios'!$B$5,(G525-'Scope 3 Ratios'!$B$5)*('Scope 3 Ratios'!$B$6/'Scope 3 Ratios'!$B$5),0)</f>
        <v>155.3328</v>
      </c>
      <c r="AG525" s="60">
        <f>J525*IF(I525="SSD",'Scope 3 Ratios'!$B$9,'Scope 3 Ratios'!$B$8)</f>
        <v>0</v>
      </c>
      <c r="AH525" s="60">
        <f>IF(K525&lt;&gt;"N/A",K525*'Scope 3 Ratios'!$B$10,0)</f>
        <v>0</v>
      </c>
      <c r="AI525" s="60">
        <f>(VLOOKUP($E525,'AWS Platforms Ratios'!$A$2:$O$25,3,FALSE)-1)*'Scope 3 Ratios'!$B$7</f>
        <v>0</v>
      </c>
      <c r="AJ525" s="60">
        <f>'Scope 3 Ratios'!$B$2+AF525+AG525+AH525+AI525</f>
        <v>1155.3328</v>
      </c>
      <c r="AK525" s="60">
        <f>AJ525*'Scope 3 Ratios'!$B$4*(C525/D525)</f>
        <v>16.71488426</v>
      </c>
      <c r="AL525" s="61" t="s">
        <v>190</v>
      </c>
    </row>
    <row r="526" ht="15.75" customHeight="1">
      <c r="A526" s="76" t="s">
        <v>852</v>
      </c>
      <c r="B526" s="56" t="s">
        <v>188</v>
      </c>
      <c r="C526" s="63">
        <v>48.0</v>
      </c>
      <c r="D526" s="56">
        <f>VLOOKUP(E526,'AWS Platforms Ratios'!$A$2:$B$25,2,FALSE)</f>
        <v>64</v>
      </c>
      <c r="E526" s="63" t="s">
        <v>189</v>
      </c>
      <c r="F526" s="63">
        <v>96.0</v>
      </c>
      <c r="G526" s="63">
        <v>128.0</v>
      </c>
      <c r="H526" s="64" t="s">
        <v>71</v>
      </c>
      <c r="I526" s="56" t="s">
        <v>72</v>
      </c>
      <c r="J526" s="56">
        <v>0.0</v>
      </c>
      <c r="K526" s="58" t="s">
        <v>73</v>
      </c>
      <c r="L526" s="58" t="s">
        <v>73</v>
      </c>
      <c r="M526" s="58" t="s">
        <v>73</v>
      </c>
      <c r="N526" s="58" t="s">
        <v>73</v>
      </c>
      <c r="O526" s="59">
        <f>($C526/$D526)*VLOOKUP($E526,'AWS Platforms Ratios'!$A$2:$O$25,7,FALSE)</f>
        <v>13.06446945</v>
      </c>
      <c r="P526" s="59">
        <f>($C526/$D526)*VLOOKUP($E526,'AWS Platforms Ratios'!$A$2:$O$25,8,FALSE)</f>
        <v>35.80430064</v>
      </c>
      <c r="Q526" s="59">
        <f>($C526/$D526)*VLOOKUP($E526,'AWS Platforms Ratios'!$A$2:$O$25,9,FALSE)</f>
        <v>84.62966238</v>
      </c>
      <c r="R526" s="59">
        <f>($C526/$D526)*VLOOKUP($E526,'AWS Platforms Ratios'!$A$2:$O$25,10,FALSE)</f>
        <v>114.5863143</v>
      </c>
      <c r="S526" s="59">
        <f>$F526*VLOOKUP($E526,'AWS Platforms Ratios'!$A$2:$O$25,11,FALSE)</f>
        <v>19.2</v>
      </c>
      <c r="T526" s="59">
        <f>$F526*VLOOKUP($E526,'AWS Platforms Ratios'!$A$2:$O$25,12,FALSE)</f>
        <v>28.8</v>
      </c>
      <c r="U526" s="59">
        <f>$F526*VLOOKUP($E526,'AWS Platforms Ratios'!$A$2:$O$25,13,FALSE)</f>
        <v>38.4</v>
      </c>
      <c r="V526" s="59">
        <f>$F526*VLOOKUP($E526,'AWS Platforms Ratios'!$A$2:$O$25,14,FALSE)</f>
        <v>57.6</v>
      </c>
      <c r="W526" s="60">
        <f>IF($K526&lt;&gt;"N/A",$M526*(VLOOKUP($L526,'GPU Specs &amp; Ratios'!$B$2:$I$8,5,FALSE)),0)</f>
        <v>0</v>
      </c>
      <c r="X526" s="60">
        <f>IF($K526&lt;&gt;"N/A",$M526*(VLOOKUP($L526,'GPU Specs &amp; Ratios'!$B$2:$I$8,6,FALSE)),0)</f>
        <v>0</v>
      </c>
      <c r="Y526" s="60">
        <f>IF($K526&lt;&gt;"N/A",$M526*(VLOOKUP($L526,'GPU Specs &amp; Ratios'!$B$2:$I$8,7,FALSE)),0)</f>
        <v>0</v>
      </c>
      <c r="Z526" s="60">
        <f>IF($K526&lt;&gt;"N/A",$M526*(VLOOKUP($L526,'GPU Specs &amp; Ratios'!$B$2:$I$8,8,FALSE)),0)</f>
        <v>0</v>
      </c>
      <c r="AA526" s="60">
        <f>(C526/D526)*VLOOKUP($E526,'AWS Platforms Ratios'!$A$2:$O$25,15,FALSE)</f>
        <v>22.5</v>
      </c>
      <c r="AB526" s="60">
        <f t="shared" ref="AB526:AE526" si="526">O526+S526+W526+$AA526</f>
        <v>54.76446945</v>
      </c>
      <c r="AC526" s="60">
        <f t="shared" si="526"/>
        <v>87.10430064</v>
      </c>
      <c r="AD526" s="60">
        <f t="shared" si="526"/>
        <v>145.5296624</v>
      </c>
      <c r="AE526" s="60">
        <f t="shared" si="526"/>
        <v>194.6863143</v>
      </c>
      <c r="AF526" s="60">
        <f>IF(G526&gt;'Scope 3 Ratios'!$B$5,(G526-'Scope 3 Ratios'!$B$5)*('Scope 3 Ratios'!$B$6/'Scope 3 Ratios'!$B$5),0)</f>
        <v>155.3328</v>
      </c>
      <c r="AG526" s="60">
        <f>J526*IF(I526="SSD",'Scope 3 Ratios'!$B$9,'Scope 3 Ratios'!$B$8)</f>
        <v>0</v>
      </c>
      <c r="AH526" s="60">
        <f>IF(K526&lt;&gt;"N/A",K526*'Scope 3 Ratios'!$B$10,0)</f>
        <v>0</v>
      </c>
      <c r="AI526" s="60">
        <f>(VLOOKUP($E526,'AWS Platforms Ratios'!$A$2:$O$25,3,FALSE)-1)*'Scope 3 Ratios'!$B$7</f>
        <v>0</v>
      </c>
      <c r="AJ526" s="60">
        <f>'Scope 3 Ratios'!$B$2+AF526+AG526+AH526+AI526</f>
        <v>1155.3328</v>
      </c>
      <c r="AK526" s="60">
        <f>AJ526*'Scope 3 Ratios'!$B$4*(C526/D526)</f>
        <v>25.07232639</v>
      </c>
      <c r="AL526" s="61" t="s">
        <v>190</v>
      </c>
    </row>
    <row r="527" ht="15.75" customHeight="1">
      <c r="A527" s="76" t="s">
        <v>853</v>
      </c>
      <c r="B527" s="56" t="s">
        <v>188</v>
      </c>
      <c r="C527" s="63">
        <v>2.0</v>
      </c>
      <c r="D527" s="56">
        <f>VLOOKUP(E527,'AWS Platforms Ratios'!$A$2:$B$25,2,FALSE)</f>
        <v>64</v>
      </c>
      <c r="E527" s="63" t="s">
        <v>189</v>
      </c>
      <c r="F527" s="63">
        <v>16.0</v>
      </c>
      <c r="G527" s="63">
        <v>512.0</v>
      </c>
      <c r="H527" s="64" t="s">
        <v>71</v>
      </c>
      <c r="I527" s="56" t="s">
        <v>72</v>
      </c>
      <c r="J527" s="63">
        <v>0.0</v>
      </c>
      <c r="K527" s="58" t="s">
        <v>73</v>
      </c>
      <c r="L527" s="58" t="s">
        <v>73</v>
      </c>
      <c r="M527" s="58" t="s">
        <v>73</v>
      </c>
      <c r="N527" s="58" t="s">
        <v>73</v>
      </c>
      <c r="O527" s="59">
        <f>($C527/$D527)*VLOOKUP($E527,'AWS Platforms Ratios'!$A$2:$O$25,7,FALSE)</f>
        <v>0.5443528939</v>
      </c>
      <c r="P527" s="59">
        <f>($C527/$D527)*VLOOKUP($E527,'AWS Platforms Ratios'!$A$2:$O$25,8,FALSE)</f>
        <v>1.49184586</v>
      </c>
      <c r="Q527" s="59">
        <f>($C527/$D527)*VLOOKUP($E527,'AWS Platforms Ratios'!$A$2:$O$25,9,FALSE)</f>
        <v>3.526235932</v>
      </c>
      <c r="R527" s="59">
        <f>($C527/$D527)*VLOOKUP($E527,'AWS Platforms Ratios'!$A$2:$O$25,10,FALSE)</f>
        <v>4.774429763</v>
      </c>
      <c r="S527" s="59">
        <f>$F527*VLOOKUP($E527,'AWS Platforms Ratios'!$A$2:$O$25,11,FALSE)</f>
        <v>3.2</v>
      </c>
      <c r="T527" s="59">
        <f>$F527*VLOOKUP($E527,'AWS Platforms Ratios'!$A$2:$O$25,12,FALSE)</f>
        <v>4.8</v>
      </c>
      <c r="U527" s="59">
        <f>$F527*VLOOKUP($E527,'AWS Platforms Ratios'!$A$2:$O$25,13,FALSE)</f>
        <v>6.4</v>
      </c>
      <c r="V527" s="59">
        <f>$F527*VLOOKUP($E527,'AWS Platforms Ratios'!$A$2:$O$25,14,FALSE)</f>
        <v>9.6</v>
      </c>
      <c r="W527" s="60">
        <f>IF($K527&lt;&gt;"N/A",$M527*(VLOOKUP($L527,'GPU Specs &amp; Ratios'!$B$2:$I$8,5,FALSE)),0)</f>
        <v>0</v>
      </c>
      <c r="X527" s="60">
        <f>IF($K527&lt;&gt;"N/A",$M527*(VLOOKUP($L527,'GPU Specs &amp; Ratios'!$B$2:$I$8,6,FALSE)),0)</f>
        <v>0</v>
      </c>
      <c r="Y527" s="60">
        <f>IF($K527&lt;&gt;"N/A",$M527*(VLOOKUP($L527,'GPU Specs &amp; Ratios'!$B$2:$I$8,7,FALSE)),0)</f>
        <v>0</v>
      </c>
      <c r="Z527" s="60">
        <f>IF($K527&lt;&gt;"N/A",$M527*(VLOOKUP($L527,'GPU Specs &amp; Ratios'!$B$2:$I$8,8,FALSE)),0)</f>
        <v>0</v>
      </c>
      <c r="AA527" s="60">
        <f>(C527/D527)*VLOOKUP($E527,'AWS Platforms Ratios'!$A$2:$O$25,15,FALSE)</f>
        <v>0.9375</v>
      </c>
      <c r="AB527" s="60">
        <f t="shared" ref="AB527:AE527" si="527">O527+S527+W527+$AA527</f>
        <v>4.681852894</v>
      </c>
      <c r="AC527" s="60">
        <f t="shared" si="527"/>
        <v>7.22934586</v>
      </c>
      <c r="AD527" s="60">
        <f t="shared" si="527"/>
        <v>10.86373593</v>
      </c>
      <c r="AE527" s="60">
        <f t="shared" si="527"/>
        <v>15.31192976</v>
      </c>
      <c r="AF527" s="60">
        <f>IF(G527&gt;'Scope 3 Ratios'!$B$5,(G527-'Scope 3 Ratios'!$B$5)*('Scope 3 Ratios'!$B$6/'Scope 3 Ratios'!$B$5),0)</f>
        <v>687.9024</v>
      </c>
      <c r="AG527" s="60">
        <f>J527*IF(I527="SSD",'Scope 3 Ratios'!$B$9,'Scope 3 Ratios'!$B$8)</f>
        <v>0</v>
      </c>
      <c r="AH527" s="60">
        <f>IF(K527&lt;&gt;"N/A",K527*'Scope 3 Ratios'!$B$10,0)</f>
        <v>0</v>
      </c>
      <c r="AI527" s="60">
        <f>(VLOOKUP($E527,'AWS Platforms Ratios'!$A$2:$O$25,3,FALSE)-1)*'Scope 3 Ratios'!$B$7</f>
        <v>0</v>
      </c>
      <c r="AJ527" s="60">
        <f>'Scope 3 Ratios'!$B$2+AF527+AG527+AH527+AI527</f>
        <v>1687.9024</v>
      </c>
      <c r="AK527" s="60">
        <f>AJ527*'Scope 3 Ratios'!$B$4*(C527/D527)</f>
        <v>1.526242766</v>
      </c>
      <c r="AL527" s="61" t="s">
        <v>190</v>
      </c>
    </row>
    <row r="528" ht="15.75" customHeight="1">
      <c r="A528" s="76" t="s">
        <v>854</v>
      </c>
      <c r="B528" s="56" t="s">
        <v>188</v>
      </c>
      <c r="C528" s="63">
        <v>4.0</v>
      </c>
      <c r="D528" s="56">
        <f>VLOOKUP(E528,'AWS Platforms Ratios'!$A$2:$B$25,2,FALSE)</f>
        <v>64</v>
      </c>
      <c r="E528" s="63" t="s">
        <v>189</v>
      </c>
      <c r="F528" s="63">
        <v>32.0</v>
      </c>
      <c r="G528" s="63">
        <v>512.0</v>
      </c>
      <c r="H528" s="64" t="s">
        <v>71</v>
      </c>
      <c r="I528" s="56" t="s">
        <v>72</v>
      </c>
      <c r="J528" s="63">
        <v>0.0</v>
      </c>
      <c r="K528" s="58" t="s">
        <v>73</v>
      </c>
      <c r="L528" s="58" t="s">
        <v>73</v>
      </c>
      <c r="M528" s="58" t="s">
        <v>73</v>
      </c>
      <c r="N528" s="58" t="s">
        <v>73</v>
      </c>
      <c r="O528" s="59">
        <f>($C528/$D528)*VLOOKUP($E528,'AWS Platforms Ratios'!$A$2:$O$25,7,FALSE)</f>
        <v>1.088705788</v>
      </c>
      <c r="P528" s="59">
        <f>($C528/$D528)*VLOOKUP($E528,'AWS Platforms Ratios'!$A$2:$O$25,8,FALSE)</f>
        <v>2.98369172</v>
      </c>
      <c r="Q528" s="59">
        <f>($C528/$D528)*VLOOKUP($E528,'AWS Platforms Ratios'!$A$2:$O$25,9,FALSE)</f>
        <v>7.052471865</v>
      </c>
      <c r="R528" s="59">
        <f>($C528/$D528)*VLOOKUP($E528,'AWS Platforms Ratios'!$A$2:$O$25,10,FALSE)</f>
        <v>9.548859526</v>
      </c>
      <c r="S528" s="59">
        <f>$F528*VLOOKUP($E528,'AWS Platforms Ratios'!$A$2:$O$25,11,FALSE)</f>
        <v>6.4</v>
      </c>
      <c r="T528" s="59">
        <f>$F528*VLOOKUP($E528,'AWS Platforms Ratios'!$A$2:$O$25,12,FALSE)</f>
        <v>9.6</v>
      </c>
      <c r="U528" s="59">
        <f>$F528*VLOOKUP($E528,'AWS Platforms Ratios'!$A$2:$O$25,13,FALSE)</f>
        <v>12.8</v>
      </c>
      <c r="V528" s="59">
        <f>$F528*VLOOKUP($E528,'AWS Platforms Ratios'!$A$2:$O$25,14,FALSE)</f>
        <v>19.2</v>
      </c>
      <c r="W528" s="60">
        <f>IF($K528&lt;&gt;"N/A",$M528*(VLOOKUP($L528,'GPU Specs &amp; Ratios'!$B$2:$I$8,5,FALSE)),0)</f>
        <v>0</v>
      </c>
      <c r="X528" s="60">
        <f>IF($K528&lt;&gt;"N/A",$M528*(VLOOKUP($L528,'GPU Specs &amp; Ratios'!$B$2:$I$8,6,FALSE)),0)</f>
        <v>0</v>
      </c>
      <c r="Y528" s="60">
        <f>IF($K528&lt;&gt;"N/A",$M528*(VLOOKUP($L528,'GPU Specs &amp; Ratios'!$B$2:$I$8,7,FALSE)),0)</f>
        <v>0</v>
      </c>
      <c r="Z528" s="60">
        <f>IF($K528&lt;&gt;"N/A",$M528*(VLOOKUP($L528,'GPU Specs &amp; Ratios'!$B$2:$I$8,8,FALSE)),0)</f>
        <v>0</v>
      </c>
      <c r="AA528" s="60">
        <f>(C528/D528)*VLOOKUP($E528,'AWS Platforms Ratios'!$A$2:$O$25,15,FALSE)</f>
        <v>1.875</v>
      </c>
      <c r="AB528" s="60">
        <f t="shared" ref="AB528:AE528" si="528">O528+S528+W528+$AA528</f>
        <v>9.363705788</v>
      </c>
      <c r="AC528" s="60">
        <f t="shared" si="528"/>
        <v>14.45869172</v>
      </c>
      <c r="AD528" s="60">
        <f t="shared" si="528"/>
        <v>21.72747186</v>
      </c>
      <c r="AE528" s="60">
        <f t="shared" si="528"/>
        <v>30.62385953</v>
      </c>
      <c r="AF528" s="60">
        <f>IF(G528&gt;'Scope 3 Ratios'!$B$5,(G528-'Scope 3 Ratios'!$B$5)*('Scope 3 Ratios'!$B$6/'Scope 3 Ratios'!$B$5),0)</f>
        <v>687.9024</v>
      </c>
      <c r="AG528" s="60">
        <f>J528*IF(I528="SSD",'Scope 3 Ratios'!$B$9,'Scope 3 Ratios'!$B$8)</f>
        <v>0</v>
      </c>
      <c r="AH528" s="60">
        <f>IF(K528&lt;&gt;"N/A",K528*'Scope 3 Ratios'!$B$10,0)</f>
        <v>0</v>
      </c>
      <c r="AI528" s="60">
        <f>(VLOOKUP($E528,'AWS Platforms Ratios'!$A$2:$O$25,3,FALSE)-1)*'Scope 3 Ratios'!$B$7</f>
        <v>0</v>
      </c>
      <c r="AJ528" s="60">
        <f>'Scope 3 Ratios'!$B$2+AF528+AG528+AH528+AI528</f>
        <v>1687.9024</v>
      </c>
      <c r="AK528" s="60">
        <f>AJ528*'Scope 3 Ratios'!$B$4*(C528/D528)</f>
        <v>3.052485532</v>
      </c>
      <c r="AL528" s="61" t="s">
        <v>190</v>
      </c>
    </row>
    <row r="529" ht="15.75" customHeight="1">
      <c r="A529" s="76" t="s">
        <v>855</v>
      </c>
      <c r="B529" s="56" t="s">
        <v>188</v>
      </c>
      <c r="C529" s="63">
        <v>8.0</v>
      </c>
      <c r="D529" s="56">
        <f>VLOOKUP(E529,'AWS Platforms Ratios'!$A$2:$B$25,2,FALSE)</f>
        <v>64</v>
      </c>
      <c r="E529" s="63" t="s">
        <v>189</v>
      </c>
      <c r="F529" s="63">
        <v>64.0</v>
      </c>
      <c r="G529" s="63">
        <v>512.0</v>
      </c>
      <c r="H529" s="64" t="s">
        <v>71</v>
      </c>
      <c r="I529" s="56" t="s">
        <v>72</v>
      </c>
      <c r="J529" s="63">
        <v>0.0</v>
      </c>
      <c r="K529" s="58" t="s">
        <v>73</v>
      </c>
      <c r="L529" s="58" t="s">
        <v>73</v>
      </c>
      <c r="M529" s="58" t="s">
        <v>73</v>
      </c>
      <c r="N529" s="58" t="s">
        <v>73</v>
      </c>
      <c r="O529" s="59">
        <f>($C529/$D529)*VLOOKUP($E529,'AWS Platforms Ratios'!$A$2:$O$25,7,FALSE)</f>
        <v>2.177411576</v>
      </c>
      <c r="P529" s="59">
        <f>($C529/$D529)*VLOOKUP($E529,'AWS Platforms Ratios'!$A$2:$O$25,8,FALSE)</f>
        <v>5.967383441</v>
      </c>
      <c r="Q529" s="59">
        <f>($C529/$D529)*VLOOKUP($E529,'AWS Platforms Ratios'!$A$2:$O$25,9,FALSE)</f>
        <v>14.10494373</v>
      </c>
      <c r="R529" s="59">
        <f>($C529/$D529)*VLOOKUP($E529,'AWS Platforms Ratios'!$A$2:$O$25,10,FALSE)</f>
        <v>19.09771905</v>
      </c>
      <c r="S529" s="59">
        <f>$F529*VLOOKUP($E529,'AWS Platforms Ratios'!$A$2:$O$25,11,FALSE)</f>
        <v>12.8</v>
      </c>
      <c r="T529" s="59">
        <f>$F529*VLOOKUP($E529,'AWS Platforms Ratios'!$A$2:$O$25,12,FALSE)</f>
        <v>19.2</v>
      </c>
      <c r="U529" s="59">
        <f>$F529*VLOOKUP($E529,'AWS Platforms Ratios'!$A$2:$O$25,13,FALSE)</f>
        <v>25.6</v>
      </c>
      <c r="V529" s="59">
        <f>$F529*VLOOKUP($E529,'AWS Platforms Ratios'!$A$2:$O$25,14,FALSE)</f>
        <v>38.4</v>
      </c>
      <c r="W529" s="60">
        <f>IF($K529&lt;&gt;"N/A",$M529*(VLOOKUP($L529,'GPU Specs &amp; Ratios'!$B$2:$I$8,5,FALSE)),0)</f>
        <v>0</v>
      </c>
      <c r="X529" s="60">
        <f>IF($K529&lt;&gt;"N/A",$M529*(VLOOKUP($L529,'GPU Specs &amp; Ratios'!$B$2:$I$8,6,FALSE)),0)</f>
        <v>0</v>
      </c>
      <c r="Y529" s="60">
        <f>IF($K529&lt;&gt;"N/A",$M529*(VLOOKUP($L529,'GPU Specs &amp; Ratios'!$B$2:$I$8,7,FALSE)),0)</f>
        <v>0</v>
      </c>
      <c r="Z529" s="60">
        <f>IF($K529&lt;&gt;"N/A",$M529*(VLOOKUP($L529,'GPU Specs &amp; Ratios'!$B$2:$I$8,8,FALSE)),0)</f>
        <v>0</v>
      </c>
      <c r="AA529" s="60">
        <f>(C529/D529)*VLOOKUP($E529,'AWS Platforms Ratios'!$A$2:$O$25,15,FALSE)</f>
        <v>3.75</v>
      </c>
      <c r="AB529" s="60">
        <f t="shared" ref="AB529:AE529" si="529">O529+S529+W529+$AA529</f>
        <v>18.72741158</v>
      </c>
      <c r="AC529" s="60">
        <f t="shared" si="529"/>
        <v>28.91738344</v>
      </c>
      <c r="AD529" s="60">
        <f t="shared" si="529"/>
        <v>43.45494373</v>
      </c>
      <c r="AE529" s="60">
        <f t="shared" si="529"/>
        <v>61.24771905</v>
      </c>
      <c r="AF529" s="60">
        <f>IF(G529&gt;'Scope 3 Ratios'!$B$5,(G529-'Scope 3 Ratios'!$B$5)*('Scope 3 Ratios'!$B$6/'Scope 3 Ratios'!$B$5),0)</f>
        <v>687.9024</v>
      </c>
      <c r="AG529" s="60">
        <f>J529*IF(I529="SSD",'Scope 3 Ratios'!$B$9,'Scope 3 Ratios'!$B$8)</f>
        <v>0</v>
      </c>
      <c r="AH529" s="60">
        <f>IF(K529&lt;&gt;"N/A",K529*'Scope 3 Ratios'!$B$10,0)</f>
        <v>0</v>
      </c>
      <c r="AI529" s="60">
        <f>(VLOOKUP($E529,'AWS Platforms Ratios'!$A$2:$O$25,3,FALSE)-1)*'Scope 3 Ratios'!$B$7</f>
        <v>0</v>
      </c>
      <c r="AJ529" s="60">
        <f>'Scope 3 Ratios'!$B$2+AF529+AG529+AH529+AI529</f>
        <v>1687.9024</v>
      </c>
      <c r="AK529" s="60">
        <f>AJ529*'Scope 3 Ratios'!$B$4*(C529/D529)</f>
        <v>6.104971065</v>
      </c>
      <c r="AL529" s="61" t="s">
        <v>190</v>
      </c>
    </row>
    <row r="530" ht="15.75" customHeight="1">
      <c r="A530" s="76" t="s">
        <v>856</v>
      </c>
      <c r="B530" s="56" t="s">
        <v>188</v>
      </c>
      <c r="C530" s="63">
        <v>16.0</v>
      </c>
      <c r="D530" s="56">
        <f>VLOOKUP(E530,'AWS Platforms Ratios'!$A$2:$B$25,2,FALSE)</f>
        <v>64</v>
      </c>
      <c r="E530" s="63" t="s">
        <v>189</v>
      </c>
      <c r="F530" s="63">
        <v>128.0</v>
      </c>
      <c r="G530" s="63">
        <v>512.0</v>
      </c>
      <c r="H530" s="64" t="s">
        <v>71</v>
      </c>
      <c r="I530" s="56" t="s">
        <v>72</v>
      </c>
      <c r="J530" s="63">
        <v>0.0</v>
      </c>
      <c r="K530" s="58" t="s">
        <v>73</v>
      </c>
      <c r="L530" s="58" t="s">
        <v>73</v>
      </c>
      <c r="M530" s="58" t="s">
        <v>73</v>
      </c>
      <c r="N530" s="58" t="s">
        <v>73</v>
      </c>
      <c r="O530" s="59">
        <f>($C530/$D530)*VLOOKUP($E530,'AWS Platforms Ratios'!$A$2:$O$25,7,FALSE)</f>
        <v>4.354823151</v>
      </c>
      <c r="P530" s="59">
        <f>($C530/$D530)*VLOOKUP($E530,'AWS Platforms Ratios'!$A$2:$O$25,8,FALSE)</f>
        <v>11.93476688</v>
      </c>
      <c r="Q530" s="59">
        <f>($C530/$D530)*VLOOKUP($E530,'AWS Platforms Ratios'!$A$2:$O$25,9,FALSE)</f>
        <v>28.20988746</v>
      </c>
      <c r="R530" s="59">
        <f>($C530/$D530)*VLOOKUP($E530,'AWS Platforms Ratios'!$A$2:$O$25,10,FALSE)</f>
        <v>38.1954381</v>
      </c>
      <c r="S530" s="59">
        <f>$F530*VLOOKUP($E530,'AWS Platforms Ratios'!$A$2:$O$25,11,FALSE)</f>
        <v>25.6</v>
      </c>
      <c r="T530" s="59">
        <f>$F530*VLOOKUP($E530,'AWS Platforms Ratios'!$A$2:$O$25,12,FALSE)</f>
        <v>38.4</v>
      </c>
      <c r="U530" s="59">
        <f>$F530*VLOOKUP($E530,'AWS Platforms Ratios'!$A$2:$O$25,13,FALSE)</f>
        <v>51.2</v>
      </c>
      <c r="V530" s="59">
        <f>$F530*VLOOKUP($E530,'AWS Platforms Ratios'!$A$2:$O$25,14,FALSE)</f>
        <v>76.8</v>
      </c>
      <c r="W530" s="60">
        <f>IF($K530&lt;&gt;"N/A",$M530*(VLOOKUP($L530,'GPU Specs &amp; Ratios'!$B$2:$I$8,5,FALSE)),0)</f>
        <v>0</v>
      </c>
      <c r="X530" s="60">
        <f>IF($K530&lt;&gt;"N/A",$M530*(VLOOKUP($L530,'GPU Specs &amp; Ratios'!$B$2:$I$8,6,FALSE)),0)</f>
        <v>0</v>
      </c>
      <c r="Y530" s="60">
        <f>IF($K530&lt;&gt;"N/A",$M530*(VLOOKUP($L530,'GPU Specs &amp; Ratios'!$B$2:$I$8,7,FALSE)),0)</f>
        <v>0</v>
      </c>
      <c r="Z530" s="60">
        <f>IF($K530&lt;&gt;"N/A",$M530*(VLOOKUP($L530,'GPU Specs &amp; Ratios'!$B$2:$I$8,8,FALSE)),0)</f>
        <v>0</v>
      </c>
      <c r="AA530" s="60">
        <f>(C530/D530)*VLOOKUP($E530,'AWS Platforms Ratios'!$A$2:$O$25,15,FALSE)</f>
        <v>7.5</v>
      </c>
      <c r="AB530" s="60">
        <f t="shared" ref="AB530:AE530" si="530">O530+S530+W530+$AA530</f>
        <v>37.45482315</v>
      </c>
      <c r="AC530" s="60">
        <f t="shared" si="530"/>
        <v>57.83476688</v>
      </c>
      <c r="AD530" s="60">
        <f t="shared" si="530"/>
        <v>86.90988746</v>
      </c>
      <c r="AE530" s="60">
        <f t="shared" si="530"/>
        <v>122.4954381</v>
      </c>
      <c r="AF530" s="60">
        <f>IF(G530&gt;'Scope 3 Ratios'!$B$5,(G530-'Scope 3 Ratios'!$B$5)*('Scope 3 Ratios'!$B$6/'Scope 3 Ratios'!$B$5),0)</f>
        <v>687.9024</v>
      </c>
      <c r="AG530" s="60">
        <f>J530*IF(I530="SSD",'Scope 3 Ratios'!$B$9,'Scope 3 Ratios'!$B$8)</f>
        <v>0</v>
      </c>
      <c r="AH530" s="60">
        <f>IF(K530&lt;&gt;"N/A",K530*'Scope 3 Ratios'!$B$10,0)</f>
        <v>0</v>
      </c>
      <c r="AI530" s="60">
        <f>(VLOOKUP($E530,'AWS Platforms Ratios'!$A$2:$O$25,3,FALSE)-1)*'Scope 3 Ratios'!$B$7</f>
        <v>0</v>
      </c>
      <c r="AJ530" s="60">
        <f>'Scope 3 Ratios'!$B$2+AF530+AG530+AH530+AI530</f>
        <v>1687.9024</v>
      </c>
      <c r="AK530" s="60">
        <f>AJ530*'Scope 3 Ratios'!$B$4*(C530/D530)</f>
        <v>12.20994213</v>
      </c>
      <c r="AL530" s="61" t="s">
        <v>190</v>
      </c>
    </row>
    <row r="531" ht="15.75" customHeight="1">
      <c r="A531" s="76" t="s">
        <v>857</v>
      </c>
      <c r="B531" s="56" t="s">
        <v>188</v>
      </c>
      <c r="C531" s="63">
        <v>32.0</v>
      </c>
      <c r="D531" s="56">
        <f>VLOOKUP(E531,'AWS Platforms Ratios'!$A$2:$B$25,2,FALSE)</f>
        <v>64</v>
      </c>
      <c r="E531" s="63" t="s">
        <v>189</v>
      </c>
      <c r="F531" s="63">
        <v>256.0</v>
      </c>
      <c r="G531" s="63">
        <v>512.0</v>
      </c>
      <c r="H531" s="64" t="s">
        <v>71</v>
      </c>
      <c r="I531" s="56" t="s">
        <v>72</v>
      </c>
      <c r="J531" s="63">
        <v>0.0</v>
      </c>
      <c r="K531" s="58" t="s">
        <v>73</v>
      </c>
      <c r="L531" s="58" t="s">
        <v>73</v>
      </c>
      <c r="M531" s="58" t="s">
        <v>73</v>
      </c>
      <c r="N531" s="58" t="s">
        <v>73</v>
      </c>
      <c r="O531" s="59">
        <f>($C531/$D531)*VLOOKUP($E531,'AWS Platforms Ratios'!$A$2:$O$25,7,FALSE)</f>
        <v>8.709646302</v>
      </c>
      <c r="P531" s="59">
        <f>($C531/$D531)*VLOOKUP($E531,'AWS Platforms Ratios'!$A$2:$O$25,8,FALSE)</f>
        <v>23.86953376</v>
      </c>
      <c r="Q531" s="59">
        <f>($C531/$D531)*VLOOKUP($E531,'AWS Platforms Ratios'!$A$2:$O$25,9,FALSE)</f>
        <v>56.41977492</v>
      </c>
      <c r="R531" s="59">
        <f>($C531/$D531)*VLOOKUP($E531,'AWS Platforms Ratios'!$A$2:$O$25,10,FALSE)</f>
        <v>76.39087621</v>
      </c>
      <c r="S531" s="59">
        <f>$F531*VLOOKUP($E531,'AWS Platforms Ratios'!$A$2:$O$25,11,FALSE)</f>
        <v>51.2</v>
      </c>
      <c r="T531" s="59">
        <f>$F531*VLOOKUP($E531,'AWS Platforms Ratios'!$A$2:$O$25,12,FALSE)</f>
        <v>76.8</v>
      </c>
      <c r="U531" s="59">
        <f>$F531*VLOOKUP($E531,'AWS Platforms Ratios'!$A$2:$O$25,13,FALSE)</f>
        <v>102.4</v>
      </c>
      <c r="V531" s="59">
        <f>$F531*VLOOKUP($E531,'AWS Platforms Ratios'!$A$2:$O$25,14,FALSE)</f>
        <v>153.6</v>
      </c>
      <c r="W531" s="60">
        <f>IF($K531&lt;&gt;"N/A",$M531*(VLOOKUP($L531,'GPU Specs &amp; Ratios'!$B$2:$I$8,5,FALSE)),0)</f>
        <v>0</v>
      </c>
      <c r="X531" s="60">
        <f>IF($K531&lt;&gt;"N/A",$M531*(VLOOKUP($L531,'GPU Specs &amp; Ratios'!$B$2:$I$8,6,FALSE)),0)</f>
        <v>0</v>
      </c>
      <c r="Y531" s="60">
        <f>IF($K531&lt;&gt;"N/A",$M531*(VLOOKUP($L531,'GPU Specs &amp; Ratios'!$B$2:$I$8,7,FALSE)),0)</f>
        <v>0</v>
      </c>
      <c r="Z531" s="60">
        <f>IF($K531&lt;&gt;"N/A",$M531*(VLOOKUP($L531,'GPU Specs &amp; Ratios'!$B$2:$I$8,8,FALSE)),0)</f>
        <v>0</v>
      </c>
      <c r="AA531" s="60">
        <f>(C531/D531)*VLOOKUP($E531,'AWS Platforms Ratios'!$A$2:$O$25,15,FALSE)</f>
        <v>15</v>
      </c>
      <c r="AB531" s="60">
        <f t="shared" ref="AB531:AE531" si="531">O531+S531+W531+$AA531</f>
        <v>74.9096463</v>
      </c>
      <c r="AC531" s="60">
        <f t="shared" si="531"/>
        <v>115.6695338</v>
      </c>
      <c r="AD531" s="60">
        <f t="shared" si="531"/>
        <v>173.8197749</v>
      </c>
      <c r="AE531" s="60">
        <f t="shared" si="531"/>
        <v>244.9908762</v>
      </c>
      <c r="AF531" s="60">
        <f>IF(G531&gt;'Scope 3 Ratios'!$B$5,(G531-'Scope 3 Ratios'!$B$5)*('Scope 3 Ratios'!$B$6/'Scope 3 Ratios'!$B$5),0)</f>
        <v>687.9024</v>
      </c>
      <c r="AG531" s="60">
        <f>J531*IF(I531="SSD",'Scope 3 Ratios'!$B$9,'Scope 3 Ratios'!$B$8)</f>
        <v>0</v>
      </c>
      <c r="AH531" s="60">
        <f>IF(K531&lt;&gt;"N/A",K531*'Scope 3 Ratios'!$B$10,0)</f>
        <v>0</v>
      </c>
      <c r="AI531" s="60">
        <f>(VLOOKUP($E531,'AWS Platforms Ratios'!$A$2:$O$25,3,FALSE)-1)*'Scope 3 Ratios'!$B$7</f>
        <v>0</v>
      </c>
      <c r="AJ531" s="60">
        <f>'Scope 3 Ratios'!$B$2+AF531+AG531+AH531+AI531</f>
        <v>1687.9024</v>
      </c>
      <c r="AK531" s="60">
        <f>AJ531*'Scope 3 Ratios'!$B$4*(C531/D531)</f>
        <v>24.41988426</v>
      </c>
      <c r="AL531" s="61" t="s">
        <v>190</v>
      </c>
    </row>
    <row r="532" ht="15.75" customHeight="1">
      <c r="A532" s="76" t="s">
        <v>858</v>
      </c>
      <c r="B532" s="56" t="s">
        <v>188</v>
      </c>
      <c r="C532" s="63">
        <v>48.0</v>
      </c>
      <c r="D532" s="56">
        <f>VLOOKUP(E532,'AWS Platforms Ratios'!$A$2:$B$25,2,FALSE)</f>
        <v>64</v>
      </c>
      <c r="E532" s="63" t="s">
        <v>189</v>
      </c>
      <c r="F532" s="63">
        <v>384.0</v>
      </c>
      <c r="G532" s="63">
        <v>512.0</v>
      </c>
      <c r="H532" s="64" t="s">
        <v>71</v>
      </c>
      <c r="I532" s="56" t="s">
        <v>72</v>
      </c>
      <c r="J532" s="63">
        <v>0.0</v>
      </c>
      <c r="K532" s="58" t="s">
        <v>73</v>
      </c>
      <c r="L532" s="58" t="s">
        <v>73</v>
      </c>
      <c r="M532" s="58" t="s">
        <v>73</v>
      </c>
      <c r="N532" s="58" t="s">
        <v>73</v>
      </c>
      <c r="O532" s="59">
        <f>($C532/$D532)*VLOOKUP($E532,'AWS Platforms Ratios'!$A$2:$O$25,7,FALSE)</f>
        <v>13.06446945</v>
      </c>
      <c r="P532" s="59">
        <f>($C532/$D532)*VLOOKUP($E532,'AWS Platforms Ratios'!$A$2:$O$25,8,FALSE)</f>
        <v>35.80430064</v>
      </c>
      <c r="Q532" s="59">
        <f>($C532/$D532)*VLOOKUP($E532,'AWS Platforms Ratios'!$A$2:$O$25,9,FALSE)</f>
        <v>84.62966238</v>
      </c>
      <c r="R532" s="59">
        <f>($C532/$D532)*VLOOKUP($E532,'AWS Platforms Ratios'!$A$2:$O$25,10,FALSE)</f>
        <v>114.5863143</v>
      </c>
      <c r="S532" s="59">
        <f>$F532*VLOOKUP($E532,'AWS Platforms Ratios'!$A$2:$O$25,11,FALSE)</f>
        <v>76.8</v>
      </c>
      <c r="T532" s="59">
        <f>$F532*VLOOKUP($E532,'AWS Platforms Ratios'!$A$2:$O$25,12,FALSE)</f>
        <v>115.2</v>
      </c>
      <c r="U532" s="59">
        <f>$F532*VLOOKUP($E532,'AWS Platforms Ratios'!$A$2:$O$25,13,FALSE)</f>
        <v>153.6</v>
      </c>
      <c r="V532" s="59">
        <f>$F532*VLOOKUP($E532,'AWS Platforms Ratios'!$A$2:$O$25,14,FALSE)</f>
        <v>230.4</v>
      </c>
      <c r="W532" s="60">
        <f>IF($K532&lt;&gt;"N/A",$M532*(VLOOKUP($L532,'GPU Specs &amp; Ratios'!$B$2:$I$8,5,FALSE)),0)</f>
        <v>0</v>
      </c>
      <c r="X532" s="60">
        <f>IF($K532&lt;&gt;"N/A",$M532*(VLOOKUP($L532,'GPU Specs &amp; Ratios'!$B$2:$I$8,6,FALSE)),0)</f>
        <v>0</v>
      </c>
      <c r="Y532" s="60">
        <f>IF($K532&lt;&gt;"N/A",$M532*(VLOOKUP($L532,'GPU Specs &amp; Ratios'!$B$2:$I$8,7,FALSE)),0)</f>
        <v>0</v>
      </c>
      <c r="Z532" s="60">
        <f>IF($K532&lt;&gt;"N/A",$M532*(VLOOKUP($L532,'GPU Specs &amp; Ratios'!$B$2:$I$8,8,FALSE)),0)</f>
        <v>0</v>
      </c>
      <c r="AA532" s="60">
        <f>(C532/D532)*VLOOKUP($E532,'AWS Platforms Ratios'!$A$2:$O$25,15,FALSE)</f>
        <v>22.5</v>
      </c>
      <c r="AB532" s="60">
        <f t="shared" ref="AB532:AE532" si="532">O532+S532+W532+$AA532</f>
        <v>112.3644695</v>
      </c>
      <c r="AC532" s="60">
        <f t="shared" si="532"/>
        <v>173.5043006</v>
      </c>
      <c r="AD532" s="60">
        <f t="shared" si="532"/>
        <v>260.7296624</v>
      </c>
      <c r="AE532" s="60">
        <f t="shared" si="532"/>
        <v>367.4863143</v>
      </c>
      <c r="AF532" s="60">
        <f>IF(G532&gt;'Scope 3 Ratios'!$B$5,(G532-'Scope 3 Ratios'!$B$5)*('Scope 3 Ratios'!$B$6/'Scope 3 Ratios'!$B$5),0)</f>
        <v>687.9024</v>
      </c>
      <c r="AG532" s="60">
        <f>J532*IF(I532="SSD",'Scope 3 Ratios'!$B$9,'Scope 3 Ratios'!$B$8)</f>
        <v>0</v>
      </c>
      <c r="AH532" s="60">
        <f>IF(K532&lt;&gt;"N/A",K532*'Scope 3 Ratios'!$B$10,0)</f>
        <v>0</v>
      </c>
      <c r="AI532" s="60">
        <f>(VLOOKUP($E532,'AWS Platforms Ratios'!$A$2:$O$25,3,FALSE)-1)*'Scope 3 Ratios'!$B$7</f>
        <v>0</v>
      </c>
      <c r="AJ532" s="60">
        <f>'Scope 3 Ratios'!$B$2+AF532+AG532+AH532+AI532</f>
        <v>1687.9024</v>
      </c>
      <c r="AK532" s="60">
        <f>AJ532*'Scope 3 Ratios'!$B$4*(C532/D532)</f>
        <v>36.62982639</v>
      </c>
      <c r="AL532" s="61" t="s">
        <v>190</v>
      </c>
    </row>
    <row r="533" ht="15.75" customHeight="1">
      <c r="A533" s="76" t="s">
        <v>859</v>
      </c>
      <c r="B533" s="56" t="s">
        <v>188</v>
      </c>
      <c r="C533" s="63">
        <v>2.0</v>
      </c>
      <c r="D533" s="56">
        <f>VLOOKUP(E533,'AWS Platforms Ratios'!$A$2:$B$25,2,FALSE)</f>
        <v>64</v>
      </c>
      <c r="E533" s="63" t="s">
        <v>189</v>
      </c>
      <c r="F533" s="63">
        <v>16.0</v>
      </c>
      <c r="G533" s="63">
        <v>512.0</v>
      </c>
      <c r="H533" s="64" t="s">
        <v>202</v>
      </c>
      <c r="I533" s="63" t="s">
        <v>85</v>
      </c>
      <c r="J533" s="63">
        <v>2.0</v>
      </c>
      <c r="K533" s="58" t="s">
        <v>73</v>
      </c>
      <c r="L533" s="58" t="s">
        <v>73</v>
      </c>
      <c r="M533" s="58" t="s">
        <v>73</v>
      </c>
      <c r="N533" s="58" t="s">
        <v>73</v>
      </c>
      <c r="O533" s="59">
        <f>($C533/$D533)*VLOOKUP($E533,'AWS Platforms Ratios'!$A$2:$O$25,7,FALSE)</f>
        <v>0.5443528939</v>
      </c>
      <c r="P533" s="59">
        <f>($C533/$D533)*VLOOKUP($E533,'AWS Platforms Ratios'!$A$2:$O$25,8,FALSE)</f>
        <v>1.49184586</v>
      </c>
      <c r="Q533" s="59">
        <f>($C533/$D533)*VLOOKUP($E533,'AWS Platforms Ratios'!$A$2:$O$25,9,FALSE)</f>
        <v>3.526235932</v>
      </c>
      <c r="R533" s="59">
        <f>($C533/$D533)*VLOOKUP($E533,'AWS Platforms Ratios'!$A$2:$O$25,10,FALSE)</f>
        <v>4.774429763</v>
      </c>
      <c r="S533" s="59">
        <f>$F533*VLOOKUP($E533,'AWS Platforms Ratios'!$A$2:$O$25,11,FALSE)</f>
        <v>3.2</v>
      </c>
      <c r="T533" s="59">
        <f>$F533*VLOOKUP($E533,'AWS Platforms Ratios'!$A$2:$O$25,12,FALSE)</f>
        <v>4.8</v>
      </c>
      <c r="U533" s="59">
        <f>$F533*VLOOKUP($E533,'AWS Platforms Ratios'!$A$2:$O$25,13,FALSE)</f>
        <v>6.4</v>
      </c>
      <c r="V533" s="59">
        <f>$F533*VLOOKUP($E533,'AWS Platforms Ratios'!$A$2:$O$25,14,FALSE)</f>
        <v>9.6</v>
      </c>
      <c r="W533" s="60">
        <f>IF($K533&lt;&gt;"N/A",$M533*(VLOOKUP($L533,'GPU Specs &amp; Ratios'!$B$2:$I$8,5,FALSE)),0)</f>
        <v>0</v>
      </c>
      <c r="X533" s="60">
        <f>IF($K533&lt;&gt;"N/A",$M533*(VLOOKUP($L533,'GPU Specs &amp; Ratios'!$B$2:$I$8,6,FALSE)),0)</f>
        <v>0</v>
      </c>
      <c r="Y533" s="60">
        <f>IF($K533&lt;&gt;"N/A",$M533*(VLOOKUP($L533,'GPU Specs &amp; Ratios'!$B$2:$I$8,7,FALSE)),0)</f>
        <v>0</v>
      </c>
      <c r="Z533" s="60">
        <f>IF($K533&lt;&gt;"N/A",$M533*(VLOOKUP($L533,'GPU Specs &amp; Ratios'!$B$2:$I$8,8,FALSE)),0)</f>
        <v>0</v>
      </c>
      <c r="AA533" s="60">
        <f>(C533/D533)*VLOOKUP($E533,'AWS Platforms Ratios'!$A$2:$O$25,15,FALSE)</f>
        <v>0.9375</v>
      </c>
      <c r="AB533" s="60">
        <f t="shared" ref="AB533:AE533" si="533">O533+S533+W533+$AA533</f>
        <v>4.681852894</v>
      </c>
      <c r="AC533" s="60">
        <f t="shared" si="533"/>
        <v>7.22934586</v>
      </c>
      <c r="AD533" s="60">
        <f t="shared" si="533"/>
        <v>10.86373593</v>
      </c>
      <c r="AE533" s="60">
        <f t="shared" si="533"/>
        <v>15.31192976</v>
      </c>
      <c r="AF533" s="60">
        <f>IF(G533&gt;'Scope 3 Ratios'!$B$5,(G533-'Scope 3 Ratios'!$B$5)*('Scope 3 Ratios'!$B$6/'Scope 3 Ratios'!$B$5),0)</f>
        <v>687.9024</v>
      </c>
      <c r="AG533" s="60">
        <f>J533*IF(I533="SSD",'Scope 3 Ratios'!$B$9,'Scope 3 Ratios'!$B$8)</f>
        <v>200</v>
      </c>
      <c r="AH533" s="60">
        <f>IF(K533&lt;&gt;"N/A",K533*'Scope 3 Ratios'!$B$10,0)</f>
        <v>0</v>
      </c>
      <c r="AI533" s="60">
        <f>(VLOOKUP($E533,'AWS Platforms Ratios'!$A$2:$O$25,3,FALSE)-1)*'Scope 3 Ratios'!$B$7</f>
        <v>0</v>
      </c>
      <c r="AJ533" s="60">
        <f>'Scope 3 Ratios'!$B$2+AF533+AG533+AH533+AI533</f>
        <v>1887.9024</v>
      </c>
      <c r="AK533" s="60">
        <f>AJ533*'Scope 3 Ratios'!$B$4*(C533/D533)</f>
        <v>1.707087674</v>
      </c>
      <c r="AL533" s="61" t="s">
        <v>190</v>
      </c>
    </row>
    <row r="534" ht="15.75" customHeight="1">
      <c r="A534" s="76" t="s">
        <v>860</v>
      </c>
      <c r="B534" s="56" t="s">
        <v>188</v>
      </c>
      <c r="C534" s="63">
        <v>4.0</v>
      </c>
      <c r="D534" s="56">
        <f>VLOOKUP(E534,'AWS Platforms Ratios'!$A$2:$B$25,2,FALSE)</f>
        <v>64</v>
      </c>
      <c r="E534" s="63" t="s">
        <v>189</v>
      </c>
      <c r="F534" s="63">
        <v>32.0</v>
      </c>
      <c r="G534" s="63">
        <v>512.0</v>
      </c>
      <c r="H534" s="64" t="s">
        <v>204</v>
      </c>
      <c r="I534" s="63" t="s">
        <v>85</v>
      </c>
      <c r="J534" s="63">
        <v>2.0</v>
      </c>
      <c r="K534" s="58" t="s">
        <v>73</v>
      </c>
      <c r="L534" s="58" t="s">
        <v>73</v>
      </c>
      <c r="M534" s="58" t="s">
        <v>73</v>
      </c>
      <c r="N534" s="58" t="s">
        <v>73</v>
      </c>
      <c r="O534" s="59">
        <f>($C534/$D534)*VLOOKUP($E534,'AWS Platforms Ratios'!$A$2:$O$25,7,FALSE)</f>
        <v>1.088705788</v>
      </c>
      <c r="P534" s="59">
        <f>($C534/$D534)*VLOOKUP($E534,'AWS Platforms Ratios'!$A$2:$O$25,8,FALSE)</f>
        <v>2.98369172</v>
      </c>
      <c r="Q534" s="59">
        <f>($C534/$D534)*VLOOKUP($E534,'AWS Platforms Ratios'!$A$2:$O$25,9,FALSE)</f>
        <v>7.052471865</v>
      </c>
      <c r="R534" s="59">
        <f>($C534/$D534)*VLOOKUP($E534,'AWS Platforms Ratios'!$A$2:$O$25,10,FALSE)</f>
        <v>9.548859526</v>
      </c>
      <c r="S534" s="59">
        <f>$F534*VLOOKUP($E534,'AWS Platforms Ratios'!$A$2:$O$25,11,FALSE)</f>
        <v>6.4</v>
      </c>
      <c r="T534" s="59">
        <f>$F534*VLOOKUP($E534,'AWS Platforms Ratios'!$A$2:$O$25,12,FALSE)</f>
        <v>9.6</v>
      </c>
      <c r="U534" s="59">
        <f>$F534*VLOOKUP($E534,'AWS Platforms Ratios'!$A$2:$O$25,13,FALSE)</f>
        <v>12.8</v>
      </c>
      <c r="V534" s="59">
        <f>$F534*VLOOKUP($E534,'AWS Platforms Ratios'!$A$2:$O$25,14,FALSE)</f>
        <v>19.2</v>
      </c>
      <c r="W534" s="60">
        <f>IF($K534&lt;&gt;"N/A",$M534*(VLOOKUP($L534,'GPU Specs &amp; Ratios'!$B$2:$I$8,5,FALSE)),0)</f>
        <v>0</v>
      </c>
      <c r="X534" s="60">
        <f>IF($K534&lt;&gt;"N/A",$M534*(VLOOKUP($L534,'GPU Specs &amp; Ratios'!$B$2:$I$8,6,FALSE)),0)</f>
        <v>0</v>
      </c>
      <c r="Y534" s="60">
        <f>IF($K534&lt;&gt;"N/A",$M534*(VLOOKUP($L534,'GPU Specs &amp; Ratios'!$B$2:$I$8,7,FALSE)),0)</f>
        <v>0</v>
      </c>
      <c r="Z534" s="60">
        <f>IF($K534&lt;&gt;"N/A",$M534*(VLOOKUP($L534,'GPU Specs &amp; Ratios'!$B$2:$I$8,8,FALSE)),0)</f>
        <v>0</v>
      </c>
      <c r="AA534" s="60">
        <f>(C534/D534)*VLOOKUP($E534,'AWS Platforms Ratios'!$A$2:$O$25,15,FALSE)</f>
        <v>1.875</v>
      </c>
      <c r="AB534" s="60">
        <f t="shared" ref="AB534:AE534" si="534">O534+S534+W534+$AA534</f>
        <v>9.363705788</v>
      </c>
      <c r="AC534" s="60">
        <f t="shared" si="534"/>
        <v>14.45869172</v>
      </c>
      <c r="AD534" s="60">
        <f t="shared" si="534"/>
        <v>21.72747186</v>
      </c>
      <c r="AE534" s="60">
        <f t="shared" si="534"/>
        <v>30.62385953</v>
      </c>
      <c r="AF534" s="60">
        <f>IF(G534&gt;'Scope 3 Ratios'!$B$5,(G534-'Scope 3 Ratios'!$B$5)*('Scope 3 Ratios'!$B$6/'Scope 3 Ratios'!$B$5),0)</f>
        <v>687.9024</v>
      </c>
      <c r="AG534" s="60">
        <f>J534*IF(I534="SSD",'Scope 3 Ratios'!$B$9,'Scope 3 Ratios'!$B$8)</f>
        <v>200</v>
      </c>
      <c r="AH534" s="60">
        <f>IF(K534&lt;&gt;"N/A",K534*'Scope 3 Ratios'!$B$10,0)</f>
        <v>0</v>
      </c>
      <c r="AI534" s="60">
        <f>(VLOOKUP($E534,'AWS Platforms Ratios'!$A$2:$O$25,3,FALSE)-1)*'Scope 3 Ratios'!$B$7</f>
        <v>0</v>
      </c>
      <c r="AJ534" s="60">
        <f>'Scope 3 Ratios'!$B$2+AF534+AG534+AH534+AI534</f>
        <v>1887.9024</v>
      </c>
      <c r="AK534" s="60">
        <f>AJ534*'Scope 3 Ratios'!$B$4*(C534/D534)</f>
        <v>3.414175347</v>
      </c>
      <c r="AL534" s="61" t="s">
        <v>190</v>
      </c>
    </row>
    <row r="535" ht="15.75" customHeight="1">
      <c r="A535" s="76" t="s">
        <v>861</v>
      </c>
      <c r="B535" s="56" t="s">
        <v>188</v>
      </c>
      <c r="C535" s="63">
        <v>8.0</v>
      </c>
      <c r="D535" s="56">
        <f>VLOOKUP(E535,'AWS Platforms Ratios'!$A$2:$B$25,2,FALSE)</f>
        <v>64</v>
      </c>
      <c r="E535" s="63" t="s">
        <v>189</v>
      </c>
      <c r="F535" s="63">
        <v>64.0</v>
      </c>
      <c r="G535" s="63">
        <v>512.0</v>
      </c>
      <c r="H535" s="64" t="s">
        <v>206</v>
      </c>
      <c r="I535" s="63" t="s">
        <v>85</v>
      </c>
      <c r="J535" s="63">
        <v>2.0</v>
      </c>
      <c r="K535" s="58" t="s">
        <v>73</v>
      </c>
      <c r="L535" s="58" t="s">
        <v>73</v>
      </c>
      <c r="M535" s="58" t="s">
        <v>73</v>
      </c>
      <c r="N535" s="58" t="s">
        <v>73</v>
      </c>
      <c r="O535" s="59">
        <f>($C535/$D535)*VLOOKUP($E535,'AWS Platforms Ratios'!$A$2:$O$25,7,FALSE)</f>
        <v>2.177411576</v>
      </c>
      <c r="P535" s="59">
        <f>($C535/$D535)*VLOOKUP($E535,'AWS Platforms Ratios'!$A$2:$O$25,8,FALSE)</f>
        <v>5.967383441</v>
      </c>
      <c r="Q535" s="59">
        <f>($C535/$D535)*VLOOKUP($E535,'AWS Platforms Ratios'!$A$2:$O$25,9,FALSE)</f>
        <v>14.10494373</v>
      </c>
      <c r="R535" s="59">
        <f>($C535/$D535)*VLOOKUP($E535,'AWS Platforms Ratios'!$A$2:$O$25,10,FALSE)</f>
        <v>19.09771905</v>
      </c>
      <c r="S535" s="59">
        <f>$F535*VLOOKUP($E535,'AWS Platforms Ratios'!$A$2:$O$25,11,FALSE)</f>
        <v>12.8</v>
      </c>
      <c r="T535" s="59">
        <f>$F535*VLOOKUP($E535,'AWS Platforms Ratios'!$A$2:$O$25,12,FALSE)</f>
        <v>19.2</v>
      </c>
      <c r="U535" s="59">
        <f>$F535*VLOOKUP($E535,'AWS Platforms Ratios'!$A$2:$O$25,13,FALSE)</f>
        <v>25.6</v>
      </c>
      <c r="V535" s="59">
        <f>$F535*VLOOKUP($E535,'AWS Platforms Ratios'!$A$2:$O$25,14,FALSE)</f>
        <v>38.4</v>
      </c>
      <c r="W535" s="60">
        <f>IF($K535&lt;&gt;"N/A",$M535*(VLOOKUP($L535,'GPU Specs &amp; Ratios'!$B$2:$I$8,5,FALSE)),0)</f>
        <v>0</v>
      </c>
      <c r="X535" s="60">
        <f>IF($K535&lt;&gt;"N/A",$M535*(VLOOKUP($L535,'GPU Specs &amp; Ratios'!$B$2:$I$8,6,FALSE)),0)</f>
        <v>0</v>
      </c>
      <c r="Y535" s="60">
        <f>IF($K535&lt;&gt;"N/A",$M535*(VLOOKUP($L535,'GPU Specs &amp; Ratios'!$B$2:$I$8,7,FALSE)),0)</f>
        <v>0</v>
      </c>
      <c r="Z535" s="60">
        <f>IF($K535&lt;&gt;"N/A",$M535*(VLOOKUP($L535,'GPU Specs &amp; Ratios'!$B$2:$I$8,8,FALSE)),0)</f>
        <v>0</v>
      </c>
      <c r="AA535" s="60">
        <f>(C535/D535)*VLOOKUP($E535,'AWS Platforms Ratios'!$A$2:$O$25,15,FALSE)</f>
        <v>3.75</v>
      </c>
      <c r="AB535" s="60">
        <f t="shared" ref="AB535:AE535" si="535">O535+S535+W535+$AA535</f>
        <v>18.72741158</v>
      </c>
      <c r="AC535" s="60">
        <f t="shared" si="535"/>
        <v>28.91738344</v>
      </c>
      <c r="AD535" s="60">
        <f t="shared" si="535"/>
        <v>43.45494373</v>
      </c>
      <c r="AE535" s="60">
        <f t="shared" si="535"/>
        <v>61.24771905</v>
      </c>
      <c r="AF535" s="60">
        <f>IF(G535&gt;'Scope 3 Ratios'!$B$5,(G535-'Scope 3 Ratios'!$B$5)*('Scope 3 Ratios'!$B$6/'Scope 3 Ratios'!$B$5),0)</f>
        <v>687.9024</v>
      </c>
      <c r="AG535" s="60">
        <f>J535*IF(I535="SSD",'Scope 3 Ratios'!$B$9,'Scope 3 Ratios'!$B$8)</f>
        <v>200</v>
      </c>
      <c r="AH535" s="60">
        <f>IF(K535&lt;&gt;"N/A",K535*'Scope 3 Ratios'!$B$10,0)</f>
        <v>0</v>
      </c>
      <c r="AI535" s="60">
        <f>(VLOOKUP($E535,'AWS Platforms Ratios'!$A$2:$O$25,3,FALSE)-1)*'Scope 3 Ratios'!$B$7</f>
        <v>0</v>
      </c>
      <c r="AJ535" s="60">
        <f>'Scope 3 Ratios'!$B$2+AF535+AG535+AH535+AI535</f>
        <v>1887.9024</v>
      </c>
      <c r="AK535" s="60">
        <f>AJ535*'Scope 3 Ratios'!$B$4*(C535/D535)</f>
        <v>6.828350694</v>
      </c>
      <c r="AL535" s="61" t="s">
        <v>190</v>
      </c>
    </row>
    <row r="536" ht="15.75" customHeight="1">
      <c r="A536" s="76" t="s">
        <v>862</v>
      </c>
      <c r="B536" s="56" t="s">
        <v>188</v>
      </c>
      <c r="C536" s="63">
        <v>16.0</v>
      </c>
      <c r="D536" s="56">
        <f>VLOOKUP(E536,'AWS Platforms Ratios'!$A$2:$B$25,2,FALSE)</f>
        <v>64</v>
      </c>
      <c r="E536" s="63" t="s">
        <v>189</v>
      </c>
      <c r="F536" s="63">
        <v>128.0</v>
      </c>
      <c r="G536" s="63">
        <v>512.0</v>
      </c>
      <c r="H536" s="64" t="s">
        <v>208</v>
      </c>
      <c r="I536" s="63" t="s">
        <v>85</v>
      </c>
      <c r="J536" s="63">
        <v>2.0</v>
      </c>
      <c r="K536" s="58" t="s">
        <v>73</v>
      </c>
      <c r="L536" s="58" t="s">
        <v>73</v>
      </c>
      <c r="M536" s="58" t="s">
        <v>73</v>
      </c>
      <c r="N536" s="58" t="s">
        <v>73</v>
      </c>
      <c r="O536" s="59">
        <f>($C536/$D536)*VLOOKUP($E536,'AWS Platforms Ratios'!$A$2:$O$25,7,FALSE)</f>
        <v>4.354823151</v>
      </c>
      <c r="P536" s="59">
        <f>($C536/$D536)*VLOOKUP($E536,'AWS Platforms Ratios'!$A$2:$O$25,8,FALSE)</f>
        <v>11.93476688</v>
      </c>
      <c r="Q536" s="59">
        <f>($C536/$D536)*VLOOKUP($E536,'AWS Platforms Ratios'!$A$2:$O$25,9,FALSE)</f>
        <v>28.20988746</v>
      </c>
      <c r="R536" s="59">
        <f>($C536/$D536)*VLOOKUP($E536,'AWS Platforms Ratios'!$A$2:$O$25,10,FALSE)</f>
        <v>38.1954381</v>
      </c>
      <c r="S536" s="59">
        <f>$F536*VLOOKUP($E536,'AWS Platforms Ratios'!$A$2:$O$25,11,FALSE)</f>
        <v>25.6</v>
      </c>
      <c r="T536" s="59">
        <f>$F536*VLOOKUP($E536,'AWS Platforms Ratios'!$A$2:$O$25,12,FALSE)</f>
        <v>38.4</v>
      </c>
      <c r="U536" s="59">
        <f>$F536*VLOOKUP($E536,'AWS Platforms Ratios'!$A$2:$O$25,13,FALSE)</f>
        <v>51.2</v>
      </c>
      <c r="V536" s="59">
        <f>$F536*VLOOKUP($E536,'AWS Platforms Ratios'!$A$2:$O$25,14,FALSE)</f>
        <v>76.8</v>
      </c>
      <c r="W536" s="60">
        <f>IF($K536&lt;&gt;"N/A",$M536*(VLOOKUP($L536,'GPU Specs &amp; Ratios'!$B$2:$I$8,5,FALSE)),0)</f>
        <v>0</v>
      </c>
      <c r="X536" s="60">
        <f>IF($K536&lt;&gt;"N/A",$M536*(VLOOKUP($L536,'GPU Specs &amp; Ratios'!$B$2:$I$8,6,FALSE)),0)</f>
        <v>0</v>
      </c>
      <c r="Y536" s="60">
        <f>IF($K536&lt;&gt;"N/A",$M536*(VLOOKUP($L536,'GPU Specs &amp; Ratios'!$B$2:$I$8,7,FALSE)),0)</f>
        <v>0</v>
      </c>
      <c r="Z536" s="60">
        <f>IF($K536&lt;&gt;"N/A",$M536*(VLOOKUP($L536,'GPU Specs &amp; Ratios'!$B$2:$I$8,8,FALSE)),0)</f>
        <v>0</v>
      </c>
      <c r="AA536" s="60">
        <f>(C536/D536)*VLOOKUP($E536,'AWS Platforms Ratios'!$A$2:$O$25,15,FALSE)</f>
        <v>7.5</v>
      </c>
      <c r="AB536" s="60">
        <f t="shared" ref="AB536:AE536" si="536">O536+S536+W536+$AA536</f>
        <v>37.45482315</v>
      </c>
      <c r="AC536" s="60">
        <f t="shared" si="536"/>
        <v>57.83476688</v>
      </c>
      <c r="AD536" s="60">
        <f t="shared" si="536"/>
        <v>86.90988746</v>
      </c>
      <c r="AE536" s="60">
        <f t="shared" si="536"/>
        <v>122.4954381</v>
      </c>
      <c r="AF536" s="60">
        <f>IF(G536&gt;'Scope 3 Ratios'!$B$5,(G536-'Scope 3 Ratios'!$B$5)*('Scope 3 Ratios'!$B$6/'Scope 3 Ratios'!$B$5),0)</f>
        <v>687.9024</v>
      </c>
      <c r="AG536" s="60">
        <f>J536*IF(I536="SSD",'Scope 3 Ratios'!$B$9,'Scope 3 Ratios'!$B$8)</f>
        <v>200</v>
      </c>
      <c r="AH536" s="60">
        <f>IF(K536&lt;&gt;"N/A",K536*'Scope 3 Ratios'!$B$10,0)</f>
        <v>0</v>
      </c>
      <c r="AI536" s="60">
        <f>(VLOOKUP($E536,'AWS Platforms Ratios'!$A$2:$O$25,3,FALSE)-1)*'Scope 3 Ratios'!$B$7</f>
        <v>0</v>
      </c>
      <c r="AJ536" s="60">
        <f>'Scope 3 Ratios'!$B$2+AF536+AG536+AH536+AI536</f>
        <v>1887.9024</v>
      </c>
      <c r="AK536" s="60">
        <f>AJ536*'Scope 3 Ratios'!$B$4*(C536/D536)</f>
        <v>13.65670139</v>
      </c>
      <c r="AL536" s="61" t="s">
        <v>190</v>
      </c>
    </row>
    <row r="537" ht="15.75" customHeight="1">
      <c r="A537" s="76" t="s">
        <v>863</v>
      </c>
      <c r="B537" s="56" t="s">
        <v>188</v>
      </c>
      <c r="C537" s="63">
        <v>32.0</v>
      </c>
      <c r="D537" s="56">
        <f>VLOOKUP(E537,'AWS Platforms Ratios'!$A$2:$B$25,2,FALSE)</f>
        <v>64</v>
      </c>
      <c r="E537" s="63" t="s">
        <v>189</v>
      </c>
      <c r="F537" s="63">
        <v>256.0</v>
      </c>
      <c r="G537" s="63">
        <v>512.0</v>
      </c>
      <c r="H537" s="64" t="s">
        <v>210</v>
      </c>
      <c r="I537" s="63" t="s">
        <v>85</v>
      </c>
      <c r="J537" s="63">
        <v>2.0</v>
      </c>
      <c r="K537" s="58" t="s">
        <v>73</v>
      </c>
      <c r="L537" s="58" t="s">
        <v>73</v>
      </c>
      <c r="M537" s="58" t="s">
        <v>73</v>
      </c>
      <c r="N537" s="58" t="s">
        <v>73</v>
      </c>
      <c r="O537" s="59">
        <f>($C537/$D537)*VLOOKUP($E537,'AWS Platforms Ratios'!$A$2:$O$25,7,FALSE)</f>
        <v>8.709646302</v>
      </c>
      <c r="P537" s="59">
        <f>($C537/$D537)*VLOOKUP($E537,'AWS Platforms Ratios'!$A$2:$O$25,8,FALSE)</f>
        <v>23.86953376</v>
      </c>
      <c r="Q537" s="59">
        <f>($C537/$D537)*VLOOKUP($E537,'AWS Platforms Ratios'!$A$2:$O$25,9,FALSE)</f>
        <v>56.41977492</v>
      </c>
      <c r="R537" s="59">
        <f>($C537/$D537)*VLOOKUP($E537,'AWS Platforms Ratios'!$A$2:$O$25,10,FALSE)</f>
        <v>76.39087621</v>
      </c>
      <c r="S537" s="59">
        <f>$F537*VLOOKUP($E537,'AWS Platforms Ratios'!$A$2:$O$25,11,FALSE)</f>
        <v>51.2</v>
      </c>
      <c r="T537" s="59">
        <f>$F537*VLOOKUP($E537,'AWS Platforms Ratios'!$A$2:$O$25,12,FALSE)</f>
        <v>76.8</v>
      </c>
      <c r="U537" s="59">
        <f>$F537*VLOOKUP($E537,'AWS Platforms Ratios'!$A$2:$O$25,13,FALSE)</f>
        <v>102.4</v>
      </c>
      <c r="V537" s="59">
        <f>$F537*VLOOKUP($E537,'AWS Platforms Ratios'!$A$2:$O$25,14,FALSE)</f>
        <v>153.6</v>
      </c>
      <c r="W537" s="60">
        <f>IF($K537&lt;&gt;"N/A",$M537*(VLOOKUP($L537,'GPU Specs &amp; Ratios'!$B$2:$I$8,5,FALSE)),0)</f>
        <v>0</v>
      </c>
      <c r="X537" s="60">
        <f>IF($K537&lt;&gt;"N/A",$M537*(VLOOKUP($L537,'GPU Specs &amp; Ratios'!$B$2:$I$8,6,FALSE)),0)</f>
        <v>0</v>
      </c>
      <c r="Y537" s="60">
        <f>IF($K537&lt;&gt;"N/A",$M537*(VLOOKUP($L537,'GPU Specs &amp; Ratios'!$B$2:$I$8,7,FALSE)),0)</f>
        <v>0</v>
      </c>
      <c r="Z537" s="60">
        <f>IF($K537&lt;&gt;"N/A",$M537*(VLOOKUP($L537,'GPU Specs &amp; Ratios'!$B$2:$I$8,8,FALSE)),0)</f>
        <v>0</v>
      </c>
      <c r="AA537" s="60">
        <f>(C537/D537)*VLOOKUP($E537,'AWS Platforms Ratios'!$A$2:$O$25,15,FALSE)</f>
        <v>15</v>
      </c>
      <c r="AB537" s="60">
        <f t="shared" ref="AB537:AE537" si="537">O537+S537+W537+$AA537</f>
        <v>74.9096463</v>
      </c>
      <c r="AC537" s="60">
        <f t="shared" si="537"/>
        <v>115.6695338</v>
      </c>
      <c r="AD537" s="60">
        <f t="shared" si="537"/>
        <v>173.8197749</v>
      </c>
      <c r="AE537" s="60">
        <f t="shared" si="537"/>
        <v>244.9908762</v>
      </c>
      <c r="AF537" s="60">
        <f>IF(G537&gt;'Scope 3 Ratios'!$B$5,(G537-'Scope 3 Ratios'!$B$5)*('Scope 3 Ratios'!$B$6/'Scope 3 Ratios'!$B$5),0)</f>
        <v>687.9024</v>
      </c>
      <c r="AG537" s="60">
        <f>J537*IF(I537="SSD",'Scope 3 Ratios'!$B$9,'Scope 3 Ratios'!$B$8)</f>
        <v>200</v>
      </c>
      <c r="AH537" s="60">
        <f>IF(K537&lt;&gt;"N/A",K537*'Scope 3 Ratios'!$B$10,0)</f>
        <v>0</v>
      </c>
      <c r="AI537" s="60">
        <f>(VLOOKUP($E537,'AWS Platforms Ratios'!$A$2:$O$25,3,FALSE)-1)*'Scope 3 Ratios'!$B$7</f>
        <v>0</v>
      </c>
      <c r="AJ537" s="60">
        <f>'Scope 3 Ratios'!$B$2+AF537+AG537+AH537+AI537</f>
        <v>1887.9024</v>
      </c>
      <c r="AK537" s="60">
        <f>AJ537*'Scope 3 Ratios'!$B$4*(C537/D537)</f>
        <v>27.31340278</v>
      </c>
      <c r="AL537" s="61" t="s">
        <v>190</v>
      </c>
    </row>
    <row r="538" ht="15.75" customHeight="1">
      <c r="A538" s="76" t="s">
        <v>864</v>
      </c>
      <c r="B538" s="56" t="s">
        <v>188</v>
      </c>
      <c r="C538" s="63">
        <v>48.0</v>
      </c>
      <c r="D538" s="56">
        <f>VLOOKUP(E538,'AWS Platforms Ratios'!$A$2:$B$25,2,FALSE)</f>
        <v>64</v>
      </c>
      <c r="E538" s="63" t="s">
        <v>189</v>
      </c>
      <c r="F538" s="63">
        <v>384.0</v>
      </c>
      <c r="G538" s="63">
        <v>512.0</v>
      </c>
      <c r="H538" s="64" t="s">
        <v>212</v>
      </c>
      <c r="I538" s="63" t="s">
        <v>85</v>
      </c>
      <c r="J538" s="63">
        <v>2.0</v>
      </c>
      <c r="K538" s="58" t="s">
        <v>73</v>
      </c>
      <c r="L538" s="58" t="s">
        <v>73</v>
      </c>
      <c r="M538" s="58" t="s">
        <v>73</v>
      </c>
      <c r="N538" s="58" t="s">
        <v>73</v>
      </c>
      <c r="O538" s="59">
        <f>($C538/$D538)*VLOOKUP($E538,'AWS Platforms Ratios'!$A$2:$O$25,7,FALSE)</f>
        <v>13.06446945</v>
      </c>
      <c r="P538" s="59">
        <f>($C538/$D538)*VLOOKUP($E538,'AWS Platforms Ratios'!$A$2:$O$25,8,FALSE)</f>
        <v>35.80430064</v>
      </c>
      <c r="Q538" s="59">
        <f>($C538/$D538)*VLOOKUP($E538,'AWS Platforms Ratios'!$A$2:$O$25,9,FALSE)</f>
        <v>84.62966238</v>
      </c>
      <c r="R538" s="59">
        <f>($C538/$D538)*VLOOKUP($E538,'AWS Platforms Ratios'!$A$2:$O$25,10,FALSE)</f>
        <v>114.5863143</v>
      </c>
      <c r="S538" s="59">
        <f>$F538*VLOOKUP($E538,'AWS Platforms Ratios'!$A$2:$O$25,11,FALSE)</f>
        <v>76.8</v>
      </c>
      <c r="T538" s="59">
        <f>$F538*VLOOKUP($E538,'AWS Platforms Ratios'!$A$2:$O$25,12,FALSE)</f>
        <v>115.2</v>
      </c>
      <c r="U538" s="59">
        <f>$F538*VLOOKUP($E538,'AWS Platforms Ratios'!$A$2:$O$25,13,FALSE)</f>
        <v>153.6</v>
      </c>
      <c r="V538" s="59">
        <f>$F538*VLOOKUP($E538,'AWS Platforms Ratios'!$A$2:$O$25,14,FALSE)</f>
        <v>230.4</v>
      </c>
      <c r="W538" s="60">
        <f>IF($K538&lt;&gt;"N/A",$M538*(VLOOKUP($L538,'GPU Specs &amp; Ratios'!$B$2:$I$8,5,FALSE)),0)</f>
        <v>0</v>
      </c>
      <c r="X538" s="60">
        <f>IF($K538&lt;&gt;"N/A",$M538*(VLOOKUP($L538,'GPU Specs &amp; Ratios'!$B$2:$I$8,6,FALSE)),0)</f>
        <v>0</v>
      </c>
      <c r="Y538" s="60">
        <f>IF($K538&lt;&gt;"N/A",$M538*(VLOOKUP($L538,'GPU Specs &amp; Ratios'!$B$2:$I$8,7,FALSE)),0)</f>
        <v>0</v>
      </c>
      <c r="Z538" s="60">
        <f>IF($K538&lt;&gt;"N/A",$M538*(VLOOKUP($L538,'GPU Specs &amp; Ratios'!$B$2:$I$8,8,FALSE)),0)</f>
        <v>0</v>
      </c>
      <c r="AA538" s="60">
        <f>(C538/D538)*VLOOKUP($E538,'AWS Platforms Ratios'!$A$2:$O$25,15,FALSE)</f>
        <v>22.5</v>
      </c>
      <c r="AB538" s="60">
        <f t="shared" ref="AB538:AE538" si="538">O538+S538+W538+$AA538</f>
        <v>112.3644695</v>
      </c>
      <c r="AC538" s="60">
        <f t="shared" si="538"/>
        <v>173.5043006</v>
      </c>
      <c r="AD538" s="60">
        <f t="shared" si="538"/>
        <v>260.7296624</v>
      </c>
      <c r="AE538" s="60">
        <f t="shared" si="538"/>
        <v>367.4863143</v>
      </c>
      <c r="AF538" s="60">
        <f>IF(G538&gt;'Scope 3 Ratios'!$B$5,(G538-'Scope 3 Ratios'!$B$5)*('Scope 3 Ratios'!$B$6/'Scope 3 Ratios'!$B$5),0)</f>
        <v>687.9024</v>
      </c>
      <c r="AG538" s="60">
        <f>J538*IF(I538="SSD",'Scope 3 Ratios'!$B$9,'Scope 3 Ratios'!$B$8)</f>
        <v>200</v>
      </c>
      <c r="AH538" s="60">
        <f>IF(K538&lt;&gt;"N/A",K538*'Scope 3 Ratios'!$B$10,0)</f>
        <v>0</v>
      </c>
      <c r="AI538" s="60">
        <f>(VLOOKUP($E538,'AWS Platforms Ratios'!$A$2:$O$25,3,FALSE)-1)*'Scope 3 Ratios'!$B$7</f>
        <v>0</v>
      </c>
      <c r="AJ538" s="60">
        <f>'Scope 3 Ratios'!$B$2+AF538+AG538+AH538+AI538</f>
        <v>1887.9024</v>
      </c>
      <c r="AK538" s="60">
        <f>AJ538*'Scope 3 Ratios'!$B$4*(C538/D538)</f>
        <v>40.97010417</v>
      </c>
      <c r="AL538" s="61" t="s">
        <v>190</v>
      </c>
    </row>
    <row r="539" ht="15.75" customHeight="1">
      <c r="A539" s="76" t="s">
        <v>865</v>
      </c>
      <c r="B539" s="56" t="s">
        <v>188</v>
      </c>
      <c r="C539" s="63">
        <v>64.0</v>
      </c>
      <c r="D539" s="56">
        <f>VLOOKUP(E539,'AWS Platforms Ratios'!$A$2:$B$25,2,FALSE)</f>
        <v>64</v>
      </c>
      <c r="E539" s="63" t="s">
        <v>189</v>
      </c>
      <c r="F539" s="63">
        <v>512.0</v>
      </c>
      <c r="G539" s="63">
        <v>512.0</v>
      </c>
      <c r="H539" s="64" t="s">
        <v>160</v>
      </c>
      <c r="I539" s="63" t="s">
        <v>85</v>
      </c>
      <c r="J539" s="63">
        <v>2.0</v>
      </c>
      <c r="K539" s="58" t="s">
        <v>73</v>
      </c>
      <c r="L539" s="58" t="s">
        <v>73</v>
      </c>
      <c r="M539" s="58" t="s">
        <v>73</v>
      </c>
      <c r="N539" s="58" t="s">
        <v>73</v>
      </c>
      <c r="O539" s="59">
        <f>($C539/$D539)*VLOOKUP($E539,'AWS Platforms Ratios'!$A$2:$O$25,7,FALSE)</f>
        <v>17.4192926</v>
      </c>
      <c r="P539" s="59">
        <f>($C539/$D539)*VLOOKUP($E539,'AWS Platforms Ratios'!$A$2:$O$25,8,FALSE)</f>
        <v>47.73906752</v>
      </c>
      <c r="Q539" s="59">
        <f>($C539/$D539)*VLOOKUP($E539,'AWS Platforms Ratios'!$A$2:$O$25,9,FALSE)</f>
        <v>112.8395498</v>
      </c>
      <c r="R539" s="59">
        <f>($C539/$D539)*VLOOKUP($E539,'AWS Platforms Ratios'!$A$2:$O$25,10,FALSE)</f>
        <v>152.7817524</v>
      </c>
      <c r="S539" s="59">
        <f>$F539*VLOOKUP($E539,'AWS Platforms Ratios'!$A$2:$O$25,11,FALSE)</f>
        <v>102.4</v>
      </c>
      <c r="T539" s="59">
        <f>$F539*VLOOKUP($E539,'AWS Platforms Ratios'!$A$2:$O$25,12,FALSE)</f>
        <v>153.6</v>
      </c>
      <c r="U539" s="59">
        <f>$F539*VLOOKUP($E539,'AWS Platforms Ratios'!$A$2:$O$25,13,FALSE)</f>
        <v>204.8</v>
      </c>
      <c r="V539" s="59">
        <f>$F539*VLOOKUP($E539,'AWS Platforms Ratios'!$A$2:$O$25,14,FALSE)</f>
        <v>307.2</v>
      </c>
      <c r="W539" s="60">
        <f>IF($K539&lt;&gt;"N/A",$M539*(VLOOKUP($L539,'GPU Specs &amp; Ratios'!$B$2:$I$8,5,FALSE)),0)</f>
        <v>0</v>
      </c>
      <c r="X539" s="60">
        <f>IF($K539&lt;&gt;"N/A",$M539*(VLOOKUP($L539,'GPU Specs &amp; Ratios'!$B$2:$I$8,6,FALSE)),0)</f>
        <v>0</v>
      </c>
      <c r="Y539" s="60">
        <f>IF($K539&lt;&gt;"N/A",$M539*(VLOOKUP($L539,'GPU Specs &amp; Ratios'!$B$2:$I$8,7,FALSE)),0)</f>
        <v>0</v>
      </c>
      <c r="Z539" s="60">
        <f>IF($K539&lt;&gt;"N/A",$M539*(VLOOKUP($L539,'GPU Specs &amp; Ratios'!$B$2:$I$8,8,FALSE)),0)</f>
        <v>0</v>
      </c>
      <c r="AA539" s="60">
        <f>(C539/D539)*VLOOKUP($E539,'AWS Platforms Ratios'!$A$2:$O$25,15,FALSE)</f>
        <v>30</v>
      </c>
      <c r="AB539" s="60">
        <f t="shared" ref="AB539:AE539" si="539">O539+S539+W539+$AA539</f>
        <v>149.8192926</v>
      </c>
      <c r="AC539" s="60">
        <f t="shared" si="539"/>
        <v>231.3390675</v>
      </c>
      <c r="AD539" s="60">
        <f t="shared" si="539"/>
        <v>347.6395498</v>
      </c>
      <c r="AE539" s="60">
        <f t="shared" si="539"/>
        <v>489.9817524</v>
      </c>
      <c r="AF539" s="60">
        <f>IF(G539&gt;'Scope 3 Ratios'!$B$5,(G539-'Scope 3 Ratios'!$B$5)*('Scope 3 Ratios'!$B$6/'Scope 3 Ratios'!$B$5),0)</f>
        <v>687.9024</v>
      </c>
      <c r="AG539" s="60">
        <f>J539*IF(I539="SSD",'Scope 3 Ratios'!$B$9,'Scope 3 Ratios'!$B$8)</f>
        <v>200</v>
      </c>
      <c r="AH539" s="60">
        <f>IF(K539&lt;&gt;"N/A",K539*'Scope 3 Ratios'!$B$10,0)</f>
        <v>0</v>
      </c>
      <c r="AI539" s="60">
        <f>(VLOOKUP($E539,'AWS Platforms Ratios'!$A$2:$O$25,3,FALSE)-1)*'Scope 3 Ratios'!$B$7</f>
        <v>0</v>
      </c>
      <c r="AJ539" s="60">
        <f>'Scope 3 Ratios'!$B$2+AF539+AG539+AH539+AI539</f>
        <v>1887.9024</v>
      </c>
      <c r="AK539" s="60">
        <f>AJ539*'Scope 3 Ratios'!$B$4*(C539/D539)</f>
        <v>54.62680556</v>
      </c>
      <c r="AL539" s="61" t="s">
        <v>190</v>
      </c>
    </row>
    <row r="540" ht="15.0" customHeight="1">
      <c r="A540" s="56" t="s">
        <v>866</v>
      </c>
      <c r="B540" s="56" t="s">
        <v>188</v>
      </c>
      <c r="C540" s="56">
        <v>2.0</v>
      </c>
      <c r="D540" s="56">
        <f>VLOOKUP(E540,'AWS Platforms Ratios'!$A$2:$B$25,2,FALSE)</f>
        <v>64</v>
      </c>
      <c r="E540" s="57" t="s">
        <v>189</v>
      </c>
      <c r="F540" s="56">
        <v>8.0</v>
      </c>
      <c r="G540" s="56">
        <v>256.0</v>
      </c>
      <c r="H540" s="57" t="s">
        <v>71</v>
      </c>
      <c r="I540" s="56" t="s">
        <v>72</v>
      </c>
      <c r="J540" s="56">
        <v>0.0</v>
      </c>
      <c r="K540" s="58" t="s">
        <v>73</v>
      </c>
      <c r="L540" s="58" t="s">
        <v>73</v>
      </c>
      <c r="M540" s="58" t="s">
        <v>73</v>
      </c>
      <c r="N540" s="58" t="s">
        <v>73</v>
      </c>
      <c r="O540" s="59">
        <f>($C540/$D540)*VLOOKUP($E540,'AWS Platforms Ratios'!$A$2:$O$25,7,FALSE)</f>
        <v>0.5443528939</v>
      </c>
      <c r="P540" s="59">
        <f>($C540/$D540)*VLOOKUP($E540,'AWS Platforms Ratios'!$A$2:$O$25,8,FALSE)</f>
        <v>1.49184586</v>
      </c>
      <c r="Q540" s="59">
        <f>($C540/$D540)*VLOOKUP($E540,'AWS Platforms Ratios'!$A$2:$O$25,9,FALSE)</f>
        <v>3.526235932</v>
      </c>
      <c r="R540" s="59">
        <f>($C540/$D540)*VLOOKUP($E540,'AWS Platforms Ratios'!$A$2:$O$25,10,FALSE)</f>
        <v>4.774429763</v>
      </c>
      <c r="S540" s="59">
        <f>$F540*VLOOKUP($E540,'AWS Platforms Ratios'!$A$2:$O$25,11,FALSE)</f>
        <v>1.6</v>
      </c>
      <c r="T540" s="59">
        <f>$F540*VLOOKUP($E540,'AWS Platforms Ratios'!$A$2:$O$25,12,FALSE)</f>
        <v>2.4</v>
      </c>
      <c r="U540" s="59">
        <f>$F540*VLOOKUP($E540,'AWS Platforms Ratios'!$A$2:$O$25,13,FALSE)</f>
        <v>3.2</v>
      </c>
      <c r="V540" s="59">
        <f>$F540*VLOOKUP($E540,'AWS Platforms Ratios'!$A$2:$O$25,14,FALSE)</f>
        <v>4.8</v>
      </c>
      <c r="W540" s="60">
        <f>IF($K540&lt;&gt;"N/A",$M540*(VLOOKUP($L540,'GPU Specs &amp; Ratios'!$B$2:$I$8,5,FALSE)),0)</f>
        <v>0</v>
      </c>
      <c r="X540" s="60">
        <f>IF($K540&lt;&gt;"N/A",$M540*(VLOOKUP($L540,'GPU Specs &amp; Ratios'!$B$2:$I$8,6,FALSE)),0)</f>
        <v>0</v>
      </c>
      <c r="Y540" s="60">
        <f>IF($K540&lt;&gt;"N/A",$M540*(VLOOKUP($L540,'GPU Specs &amp; Ratios'!$B$2:$I$8,7,FALSE)),0)</f>
        <v>0</v>
      </c>
      <c r="Z540" s="60">
        <f>IF($K540&lt;&gt;"N/A",$M540*(VLOOKUP($L540,'GPU Specs &amp; Ratios'!$B$2:$I$8,8,FALSE)),0)</f>
        <v>0</v>
      </c>
      <c r="AA540" s="60">
        <f>(C540/D540)*VLOOKUP($E540,'AWS Platforms Ratios'!$A$2:$O$25,15,FALSE)</f>
        <v>0.9375</v>
      </c>
      <c r="AB540" s="60">
        <f t="shared" ref="AB540:AE540" si="540">O540+S540+W540+$AA540</f>
        <v>3.081852894</v>
      </c>
      <c r="AC540" s="60">
        <f t="shared" si="540"/>
        <v>4.82934586</v>
      </c>
      <c r="AD540" s="60">
        <f t="shared" si="540"/>
        <v>7.663735932</v>
      </c>
      <c r="AE540" s="60">
        <f t="shared" si="540"/>
        <v>10.51192976</v>
      </c>
      <c r="AF540" s="60">
        <f>IF(G540&gt;'Scope 3 Ratios'!$B$5,(G540-'Scope 3 Ratios'!$B$5)*('Scope 3 Ratios'!$B$6/'Scope 3 Ratios'!$B$5),0)</f>
        <v>332.856</v>
      </c>
      <c r="AG540" s="60">
        <f>J540*IF(I540="SSD",'Scope 3 Ratios'!$B$9,'Scope 3 Ratios'!$B$8)</f>
        <v>0</v>
      </c>
      <c r="AH540" s="60">
        <f>IF(K540&lt;&gt;"N/A",K540*'Scope 3 Ratios'!$B$10,0)</f>
        <v>0</v>
      </c>
      <c r="AI540" s="60">
        <f>(VLOOKUP($E540,'AWS Platforms Ratios'!$A$2:$O$25,3,FALSE)-1)*'Scope 3 Ratios'!$B$7</f>
        <v>0</v>
      </c>
      <c r="AJ540" s="60">
        <f>'Scope 3 Ratios'!$B$2+AF540+AG540+AH540+AI540</f>
        <v>1332.856</v>
      </c>
      <c r="AK540" s="60">
        <f>AJ540*'Scope 3 Ratios'!$B$4*(C540/D540)</f>
        <v>1.2052011</v>
      </c>
      <c r="AL540" s="61" t="s">
        <v>190</v>
      </c>
    </row>
    <row r="541" ht="15.0" customHeight="1">
      <c r="A541" s="56" t="s">
        <v>867</v>
      </c>
      <c r="B541" s="56" t="s">
        <v>188</v>
      </c>
      <c r="C541" s="56">
        <v>4.0</v>
      </c>
      <c r="D541" s="56">
        <f>VLOOKUP(E541,'AWS Platforms Ratios'!$A$2:$B$25,2,FALSE)</f>
        <v>64</v>
      </c>
      <c r="E541" s="57" t="s">
        <v>189</v>
      </c>
      <c r="F541" s="56">
        <v>16.0</v>
      </c>
      <c r="G541" s="56">
        <v>256.0</v>
      </c>
      <c r="H541" s="57" t="s">
        <v>71</v>
      </c>
      <c r="I541" s="56" t="s">
        <v>72</v>
      </c>
      <c r="J541" s="56">
        <v>0.0</v>
      </c>
      <c r="K541" s="58" t="s">
        <v>73</v>
      </c>
      <c r="L541" s="58" t="s">
        <v>73</v>
      </c>
      <c r="M541" s="58" t="s">
        <v>73</v>
      </c>
      <c r="N541" s="58" t="s">
        <v>73</v>
      </c>
      <c r="O541" s="59">
        <f>($C541/$D541)*VLOOKUP($E541,'AWS Platforms Ratios'!$A$2:$O$25,7,FALSE)</f>
        <v>1.088705788</v>
      </c>
      <c r="P541" s="59">
        <f>($C541/$D541)*VLOOKUP($E541,'AWS Platforms Ratios'!$A$2:$O$25,8,FALSE)</f>
        <v>2.98369172</v>
      </c>
      <c r="Q541" s="59">
        <f>($C541/$D541)*VLOOKUP($E541,'AWS Platforms Ratios'!$A$2:$O$25,9,FALSE)</f>
        <v>7.052471865</v>
      </c>
      <c r="R541" s="59">
        <f>($C541/$D541)*VLOOKUP($E541,'AWS Platforms Ratios'!$A$2:$O$25,10,FALSE)</f>
        <v>9.548859526</v>
      </c>
      <c r="S541" s="59">
        <f>$F541*VLOOKUP($E541,'AWS Platforms Ratios'!$A$2:$O$25,11,FALSE)</f>
        <v>3.2</v>
      </c>
      <c r="T541" s="59">
        <f>$F541*VLOOKUP($E541,'AWS Platforms Ratios'!$A$2:$O$25,12,FALSE)</f>
        <v>4.8</v>
      </c>
      <c r="U541" s="59">
        <f>$F541*VLOOKUP($E541,'AWS Platforms Ratios'!$A$2:$O$25,13,FALSE)</f>
        <v>6.4</v>
      </c>
      <c r="V541" s="59">
        <f>$F541*VLOOKUP($E541,'AWS Platforms Ratios'!$A$2:$O$25,14,FALSE)</f>
        <v>9.6</v>
      </c>
      <c r="W541" s="60">
        <f>IF($K541&lt;&gt;"N/A",$M541*(VLOOKUP($L541,'GPU Specs &amp; Ratios'!$B$2:$I$8,5,FALSE)),0)</f>
        <v>0</v>
      </c>
      <c r="X541" s="60">
        <f>IF($K541&lt;&gt;"N/A",$M541*(VLOOKUP($L541,'GPU Specs &amp; Ratios'!$B$2:$I$8,6,FALSE)),0)</f>
        <v>0</v>
      </c>
      <c r="Y541" s="60">
        <f>IF($K541&lt;&gt;"N/A",$M541*(VLOOKUP($L541,'GPU Specs &amp; Ratios'!$B$2:$I$8,7,FALSE)),0)</f>
        <v>0</v>
      </c>
      <c r="Z541" s="60">
        <f>IF($K541&lt;&gt;"N/A",$M541*(VLOOKUP($L541,'GPU Specs &amp; Ratios'!$B$2:$I$8,8,FALSE)),0)</f>
        <v>0</v>
      </c>
      <c r="AA541" s="60">
        <f>(C541/D541)*VLOOKUP($E541,'AWS Platforms Ratios'!$A$2:$O$25,15,FALSE)</f>
        <v>1.875</v>
      </c>
      <c r="AB541" s="60">
        <f t="shared" ref="AB541:AE541" si="541">O541+S541+W541+$AA541</f>
        <v>6.163705788</v>
      </c>
      <c r="AC541" s="60">
        <f t="shared" si="541"/>
        <v>9.65869172</v>
      </c>
      <c r="AD541" s="60">
        <f t="shared" si="541"/>
        <v>15.32747186</v>
      </c>
      <c r="AE541" s="60">
        <f t="shared" si="541"/>
        <v>21.02385953</v>
      </c>
      <c r="AF541" s="60">
        <f>IF(G541&gt;'Scope 3 Ratios'!$B$5,(G541-'Scope 3 Ratios'!$B$5)*('Scope 3 Ratios'!$B$6/'Scope 3 Ratios'!$B$5),0)</f>
        <v>332.856</v>
      </c>
      <c r="AG541" s="60">
        <f>J541*IF(I541="SSD",'Scope 3 Ratios'!$B$9,'Scope 3 Ratios'!$B$8)</f>
        <v>0</v>
      </c>
      <c r="AH541" s="60">
        <f>IF(K541&lt;&gt;"N/A",K541*'Scope 3 Ratios'!$B$10,0)</f>
        <v>0</v>
      </c>
      <c r="AI541" s="60">
        <f>(VLOOKUP($E541,'AWS Platforms Ratios'!$A$2:$O$25,3,FALSE)-1)*'Scope 3 Ratios'!$B$7</f>
        <v>0</v>
      </c>
      <c r="AJ541" s="60">
        <f>'Scope 3 Ratios'!$B$2+AF541+AG541+AH541+AI541</f>
        <v>1332.856</v>
      </c>
      <c r="AK541" s="60">
        <f>AJ541*'Scope 3 Ratios'!$B$4*(C541/D541)</f>
        <v>2.410402199</v>
      </c>
      <c r="AL541" s="61" t="s">
        <v>190</v>
      </c>
    </row>
    <row r="542" ht="15.0" customHeight="1">
      <c r="A542" s="56" t="s">
        <v>868</v>
      </c>
      <c r="B542" s="56" t="s">
        <v>188</v>
      </c>
      <c r="C542" s="56">
        <v>8.0</v>
      </c>
      <c r="D542" s="56">
        <f>VLOOKUP(E542,'AWS Platforms Ratios'!$A$2:$B$25,2,FALSE)</f>
        <v>64</v>
      </c>
      <c r="E542" s="57" t="s">
        <v>189</v>
      </c>
      <c r="F542" s="56">
        <v>32.0</v>
      </c>
      <c r="G542" s="56">
        <v>256.0</v>
      </c>
      <c r="H542" s="57" t="s">
        <v>71</v>
      </c>
      <c r="I542" s="56" t="s">
        <v>72</v>
      </c>
      <c r="J542" s="56">
        <v>0.0</v>
      </c>
      <c r="K542" s="58" t="s">
        <v>73</v>
      </c>
      <c r="L542" s="58" t="s">
        <v>73</v>
      </c>
      <c r="M542" s="58" t="s">
        <v>73</v>
      </c>
      <c r="N542" s="58" t="s">
        <v>73</v>
      </c>
      <c r="O542" s="59">
        <f>($C542/$D542)*VLOOKUP($E542,'AWS Platforms Ratios'!$A$2:$O$25,7,FALSE)</f>
        <v>2.177411576</v>
      </c>
      <c r="P542" s="59">
        <f>($C542/$D542)*VLOOKUP($E542,'AWS Platforms Ratios'!$A$2:$O$25,8,FALSE)</f>
        <v>5.967383441</v>
      </c>
      <c r="Q542" s="59">
        <f>($C542/$D542)*VLOOKUP($E542,'AWS Platforms Ratios'!$A$2:$O$25,9,FALSE)</f>
        <v>14.10494373</v>
      </c>
      <c r="R542" s="59">
        <f>($C542/$D542)*VLOOKUP($E542,'AWS Platforms Ratios'!$A$2:$O$25,10,FALSE)</f>
        <v>19.09771905</v>
      </c>
      <c r="S542" s="59">
        <f>$F542*VLOOKUP($E542,'AWS Platforms Ratios'!$A$2:$O$25,11,FALSE)</f>
        <v>6.4</v>
      </c>
      <c r="T542" s="59">
        <f>$F542*VLOOKUP($E542,'AWS Platforms Ratios'!$A$2:$O$25,12,FALSE)</f>
        <v>9.6</v>
      </c>
      <c r="U542" s="59">
        <f>$F542*VLOOKUP($E542,'AWS Platforms Ratios'!$A$2:$O$25,13,FALSE)</f>
        <v>12.8</v>
      </c>
      <c r="V542" s="59">
        <f>$F542*VLOOKUP($E542,'AWS Platforms Ratios'!$A$2:$O$25,14,FALSE)</f>
        <v>19.2</v>
      </c>
      <c r="W542" s="60">
        <f>IF($K542&lt;&gt;"N/A",$M542*(VLOOKUP($L542,'GPU Specs &amp; Ratios'!$B$2:$I$8,5,FALSE)),0)</f>
        <v>0</v>
      </c>
      <c r="X542" s="60">
        <f>IF($K542&lt;&gt;"N/A",$M542*(VLOOKUP($L542,'GPU Specs &amp; Ratios'!$B$2:$I$8,6,FALSE)),0)</f>
        <v>0</v>
      </c>
      <c r="Y542" s="60">
        <f>IF($K542&lt;&gt;"N/A",$M542*(VLOOKUP($L542,'GPU Specs &amp; Ratios'!$B$2:$I$8,7,FALSE)),0)</f>
        <v>0</v>
      </c>
      <c r="Z542" s="60">
        <f>IF($K542&lt;&gt;"N/A",$M542*(VLOOKUP($L542,'GPU Specs &amp; Ratios'!$B$2:$I$8,8,FALSE)),0)</f>
        <v>0</v>
      </c>
      <c r="AA542" s="60">
        <f>(C542/D542)*VLOOKUP($E542,'AWS Platforms Ratios'!$A$2:$O$25,15,FALSE)</f>
        <v>3.75</v>
      </c>
      <c r="AB542" s="60">
        <f t="shared" ref="AB542:AE542" si="542">O542+S542+W542+$AA542</f>
        <v>12.32741158</v>
      </c>
      <c r="AC542" s="60">
        <f t="shared" si="542"/>
        <v>19.31738344</v>
      </c>
      <c r="AD542" s="60">
        <f t="shared" si="542"/>
        <v>30.65494373</v>
      </c>
      <c r="AE542" s="60">
        <f t="shared" si="542"/>
        <v>42.04771905</v>
      </c>
      <c r="AF542" s="60">
        <f>IF(G542&gt;'Scope 3 Ratios'!$B$5,(G542-'Scope 3 Ratios'!$B$5)*('Scope 3 Ratios'!$B$6/'Scope 3 Ratios'!$B$5),0)</f>
        <v>332.856</v>
      </c>
      <c r="AG542" s="60">
        <f>J542*IF(I542="SSD",'Scope 3 Ratios'!$B$9,'Scope 3 Ratios'!$B$8)</f>
        <v>0</v>
      </c>
      <c r="AH542" s="60">
        <f>IF(K542&lt;&gt;"N/A",K542*'Scope 3 Ratios'!$B$10,0)</f>
        <v>0</v>
      </c>
      <c r="AI542" s="60">
        <f>(VLOOKUP($E542,'AWS Platforms Ratios'!$A$2:$O$25,3,FALSE)-1)*'Scope 3 Ratios'!$B$7</f>
        <v>0</v>
      </c>
      <c r="AJ542" s="60">
        <f>'Scope 3 Ratios'!$B$2+AF542+AG542+AH542+AI542</f>
        <v>1332.856</v>
      </c>
      <c r="AK542" s="60">
        <f>AJ542*'Scope 3 Ratios'!$B$4*(C542/D542)</f>
        <v>4.820804398</v>
      </c>
      <c r="AL542" s="61" t="s">
        <v>190</v>
      </c>
    </row>
    <row r="543" ht="15.0" customHeight="1">
      <c r="A543" s="56" t="s">
        <v>869</v>
      </c>
      <c r="B543" s="56" t="s">
        <v>188</v>
      </c>
      <c r="C543" s="56">
        <v>16.0</v>
      </c>
      <c r="D543" s="56">
        <f>VLOOKUP(E543,'AWS Platforms Ratios'!$A$2:$B$25,2,FALSE)</f>
        <v>64</v>
      </c>
      <c r="E543" s="57" t="s">
        <v>189</v>
      </c>
      <c r="F543" s="56">
        <v>64.0</v>
      </c>
      <c r="G543" s="56">
        <v>256.0</v>
      </c>
      <c r="H543" s="57" t="s">
        <v>71</v>
      </c>
      <c r="I543" s="56" t="s">
        <v>72</v>
      </c>
      <c r="J543" s="56">
        <v>0.0</v>
      </c>
      <c r="K543" s="58" t="s">
        <v>73</v>
      </c>
      <c r="L543" s="58" t="s">
        <v>73</v>
      </c>
      <c r="M543" s="58" t="s">
        <v>73</v>
      </c>
      <c r="N543" s="58" t="s">
        <v>73</v>
      </c>
      <c r="O543" s="59">
        <f>($C543/$D543)*VLOOKUP($E543,'AWS Platforms Ratios'!$A$2:$O$25,7,FALSE)</f>
        <v>4.354823151</v>
      </c>
      <c r="P543" s="59">
        <f>($C543/$D543)*VLOOKUP($E543,'AWS Platforms Ratios'!$A$2:$O$25,8,FALSE)</f>
        <v>11.93476688</v>
      </c>
      <c r="Q543" s="59">
        <f>($C543/$D543)*VLOOKUP($E543,'AWS Platforms Ratios'!$A$2:$O$25,9,FALSE)</f>
        <v>28.20988746</v>
      </c>
      <c r="R543" s="59">
        <f>($C543/$D543)*VLOOKUP($E543,'AWS Platforms Ratios'!$A$2:$O$25,10,FALSE)</f>
        <v>38.1954381</v>
      </c>
      <c r="S543" s="59">
        <f>$F543*VLOOKUP($E543,'AWS Platforms Ratios'!$A$2:$O$25,11,FALSE)</f>
        <v>12.8</v>
      </c>
      <c r="T543" s="59">
        <f>$F543*VLOOKUP($E543,'AWS Platforms Ratios'!$A$2:$O$25,12,FALSE)</f>
        <v>19.2</v>
      </c>
      <c r="U543" s="59">
        <f>$F543*VLOOKUP($E543,'AWS Platforms Ratios'!$A$2:$O$25,13,FALSE)</f>
        <v>25.6</v>
      </c>
      <c r="V543" s="59">
        <f>$F543*VLOOKUP($E543,'AWS Platforms Ratios'!$A$2:$O$25,14,FALSE)</f>
        <v>38.4</v>
      </c>
      <c r="W543" s="60">
        <f>IF($K543&lt;&gt;"N/A",$M543*(VLOOKUP($L543,'GPU Specs &amp; Ratios'!$B$2:$I$8,5,FALSE)),0)</f>
        <v>0</v>
      </c>
      <c r="X543" s="60">
        <f>IF($K543&lt;&gt;"N/A",$M543*(VLOOKUP($L543,'GPU Specs &amp; Ratios'!$B$2:$I$8,6,FALSE)),0)</f>
        <v>0</v>
      </c>
      <c r="Y543" s="60">
        <f>IF($K543&lt;&gt;"N/A",$M543*(VLOOKUP($L543,'GPU Specs &amp; Ratios'!$B$2:$I$8,7,FALSE)),0)</f>
        <v>0</v>
      </c>
      <c r="Z543" s="60">
        <f>IF($K543&lt;&gt;"N/A",$M543*(VLOOKUP($L543,'GPU Specs &amp; Ratios'!$B$2:$I$8,8,FALSE)),0)</f>
        <v>0</v>
      </c>
      <c r="AA543" s="60">
        <f>(C543/D543)*VLOOKUP($E543,'AWS Platforms Ratios'!$A$2:$O$25,15,FALSE)</f>
        <v>7.5</v>
      </c>
      <c r="AB543" s="60">
        <f t="shared" ref="AB543:AE543" si="543">O543+S543+W543+$AA543</f>
        <v>24.65482315</v>
      </c>
      <c r="AC543" s="60">
        <f t="shared" si="543"/>
        <v>38.63476688</v>
      </c>
      <c r="AD543" s="60">
        <f t="shared" si="543"/>
        <v>61.30988746</v>
      </c>
      <c r="AE543" s="60">
        <f t="shared" si="543"/>
        <v>84.0954381</v>
      </c>
      <c r="AF543" s="60">
        <f>IF(G543&gt;'Scope 3 Ratios'!$B$5,(G543-'Scope 3 Ratios'!$B$5)*('Scope 3 Ratios'!$B$6/'Scope 3 Ratios'!$B$5),0)</f>
        <v>332.856</v>
      </c>
      <c r="AG543" s="60">
        <f>J543*IF(I543="SSD",'Scope 3 Ratios'!$B$9,'Scope 3 Ratios'!$B$8)</f>
        <v>0</v>
      </c>
      <c r="AH543" s="60">
        <f>IF(K543&lt;&gt;"N/A",K543*'Scope 3 Ratios'!$B$10,0)</f>
        <v>0</v>
      </c>
      <c r="AI543" s="60">
        <f>(VLOOKUP($E543,'AWS Platforms Ratios'!$A$2:$O$25,3,FALSE)-1)*'Scope 3 Ratios'!$B$7</f>
        <v>0</v>
      </c>
      <c r="AJ543" s="60">
        <f>'Scope 3 Ratios'!$B$2+AF543+AG543+AH543+AI543</f>
        <v>1332.856</v>
      </c>
      <c r="AK543" s="60">
        <f>AJ543*'Scope 3 Ratios'!$B$4*(C543/D543)</f>
        <v>9.641608796</v>
      </c>
      <c r="AL543" s="61" t="s">
        <v>190</v>
      </c>
    </row>
    <row r="544" ht="15.0" customHeight="1">
      <c r="A544" s="56" t="s">
        <v>870</v>
      </c>
      <c r="B544" s="56" t="s">
        <v>188</v>
      </c>
      <c r="C544" s="56">
        <v>32.0</v>
      </c>
      <c r="D544" s="56">
        <f>VLOOKUP(E544,'AWS Platforms Ratios'!$A$2:$B$25,2,FALSE)</f>
        <v>64</v>
      </c>
      <c r="E544" s="57" t="s">
        <v>189</v>
      </c>
      <c r="F544" s="56">
        <v>128.0</v>
      </c>
      <c r="G544" s="56">
        <v>256.0</v>
      </c>
      <c r="H544" s="57" t="s">
        <v>71</v>
      </c>
      <c r="I544" s="56" t="s">
        <v>72</v>
      </c>
      <c r="J544" s="56">
        <v>0.0</v>
      </c>
      <c r="K544" s="58" t="s">
        <v>73</v>
      </c>
      <c r="L544" s="58" t="s">
        <v>73</v>
      </c>
      <c r="M544" s="58" t="s">
        <v>73</v>
      </c>
      <c r="N544" s="58" t="s">
        <v>73</v>
      </c>
      <c r="O544" s="59">
        <f>($C544/$D544)*VLOOKUP($E544,'AWS Platforms Ratios'!$A$2:$O$25,7,FALSE)</f>
        <v>8.709646302</v>
      </c>
      <c r="P544" s="59">
        <f>($C544/$D544)*VLOOKUP($E544,'AWS Platforms Ratios'!$A$2:$O$25,8,FALSE)</f>
        <v>23.86953376</v>
      </c>
      <c r="Q544" s="59">
        <f>($C544/$D544)*VLOOKUP($E544,'AWS Platforms Ratios'!$A$2:$O$25,9,FALSE)</f>
        <v>56.41977492</v>
      </c>
      <c r="R544" s="59">
        <f>($C544/$D544)*VLOOKUP($E544,'AWS Platforms Ratios'!$A$2:$O$25,10,FALSE)</f>
        <v>76.39087621</v>
      </c>
      <c r="S544" s="59">
        <f>$F544*VLOOKUP($E544,'AWS Platforms Ratios'!$A$2:$O$25,11,FALSE)</f>
        <v>25.6</v>
      </c>
      <c r="T544" s="59">
        <f>$F544*VLOOKUP($E544,'AWS Platforms Ratios'!$A$2:$O$25,12,FALSE)</f>
        <v>38.4</v>
      </c>
      <c r="U544" s="59">
        <f>$F544*VLOOKUP($E544,'AWS Platforms Ratios'!$A$2:$O$25,13,FALSE)</f>
        <v>51.2</v>
      </c>
      <c r="V544" s="59">
        <f>$F544*VLOOKUP($E544,'AWS Platforms Ratios'!$A$2:$O$25,14,FALSE)</f>
        <v>76.8</v>
      </c>
      <c r="W544" s="60">
        <f>IF($K544&lt;&gt;"N/A",$M544*(VLOOKUP($L544,'GPU Specs &amp; Ratios'!$B$2:$I$8,5,FALSE)),0)</f>
        <v>0</v>
      </c>
      <c r="X544" s="60">
        <f>IF($K544&lt;&gt;"N/A",$M544*(VLOOKUP($L544,'GPU Specs &amp; Ratios'!$B$2:$I$8,6,FALSE)),0)</f>
        <v>0</v>
      </c>
      <c r="Y544" s="60">
        <f>IF($K544&lt;&gt;"N/A",$M544*(VLOOKUP($L544,'GPU Specs &amp; Ratios'!$B$2:$I$8,7,FALSE)),0)</f>
        <v>0</v>
      </c>
      <c r="Z544" s="60">
        <f>IF($K544&lt;&gt;"N/A",$M544*(VLOOKUP($L544,'GPU Specs &amp; Ratios'!$B$2:$I$8,8,FALSE)),0)</f>
        <v>0</v>
      </c>
      <c r="AA544" s="60">
        <f>(C544/D544)*VLOOKUP($E544,'AWS Platforms Ratios'!$A$2:$O$25,15,FALSE)</f>
        <v>15</v>
      </c>
      <c r="AB544" s="60">
        <f t="shared" ref="AB544:AE544" si="544">O544+S544+W544+$AA544</f>
        <v>49.3096463</v>
      </c>
      <c r="AC544" s="60">
        <f t="shared" si="544"/>
        <v>77.26953376</v>
      </c>
      <c r="AD544" s="60">
        <f t="shared" si="544"/>
        <v>122.6197749</v>
      </c>
      <c r="AE544" s="60">
        <f t="shared" si="544"/>
        <v>168.1908762</v>
      </c>
      <c r="AF544" s="60">
        <f>IF(G544&gt;'Scope 3 Ratios'!$B$5,(G544-'Scope 3 Ratios'!$B$5)*('Scope 3 Ratios'!$B$6/'Scope 3 Ratios'!$B$5),0)</f>
        <v>332.856</v>
      </c>
      <c r="AG544" s="60">
        <f>J544*IF(I544="SSD",'Scope 3 Ratios'!$B$9,'Scope 3 Ratios'!$B$8)</f>
        <v>0</v>
      </c>
      <c r="AH544" s="60">
        <f>IF(K544&lt;&gt;"N/A",K544*'Scope 3 Ratios'!$B$10,0)</f>
        <v>0</v>
      </c>
      <c r="AI544" s="60">
        <f>(VLOOKUP($E544,'AWS Platforms Ratios'!$A$2:$O$25,3,FALSE)-1)*'Scope 3 Ratios'!$B$7</f>
        <v>0</v>
      </c>
      <c r="AJ544" s="60">
        <f>'Scope 3 Ratios'!$B$2+AF544+AG544+AH544+AI544</f>
        <v>1332.856</v>
      </c>
      <c r="AK544" s="60">
        <f>AJ544*'Scope 3 Ratios'!$B$4*(C544/D544)</f>
        <v>19.28321759</v>
      </c>
      <c r="AL544" s="61" t="s">
        <v>190</v>
      </c>
    </row>
    <row r="545" ht="15.0" customHeight="1">
      <c r="A545" s="56" t="s">
        <v>871</v>
      </c>
      <c r="B545" s="56" t="s">
        <v>188</v>
      </c>
      <c r="C545" s="56">
        <v>48.0</v>
      </c>
      <c r="D545" s="56">
        <f>VLOOKUP(E545,'AWS Platforms Ratios'!$A$2:$B$25,2,FALSE)</f>
        <v>64</v>
      </c>
      <c r="E545" s="57" t="s">
        <v>189</v>
      </c>
      <c r="F545" s="56">
        <v>192.0</v>
      </c>
      <c r="G545" s="56">
        <v>256.0</v>
      </c>
      <c r="H545" s="57" t="s">
        <v>71</v>
      </c>
      <c r="I545" s="56" t="s">
        <v>72</v>
      </c>
      <c r="J545" s="56">
        <v>0.0</v>
      </c>
      <c r="K545" s="58" t="s">
        <v>73</v>
      </c>
      <c r="L545" s="58" t="s">
        <v>73</v>
      </c>
      <c r="M545" s="58" t="s">
        <v>73</v>
      </c>
      <c r="N545" s="58" t="s">
        <v>73</v>
      </c>
      <c r="O545" s="59">
        <f>($C545/$D545)*VLOOKUP($E545,'AWS Platforms Ratios'!$A$2:$O$25,7,FALSE)</f>
        <v>13.06446945</v>
      </c>
      <c r="P545" s="59">
        <f>($C545/$D545)*VLOOKUP($E545,'AWS Platforms Ratios'!$A$2:$O$25,8,FALSE)</f>
        <v>35.80430064</v>
      </c>
      <c r="Q545" s="59">
        <f>($C545/$D545)*VLOOKUP($E545,'AWS Platforms Ratios'!$A$2:$O$25,9,FALSE)</f>
        <v>84.62966238</v>
      </c>
      <c r="R545" s="59">
        <f>($C545/$D545)*VLOOKUP($E545,'AWS Platforms Ratios'!$A$2:$O$25,10,FALSE)</f>
        <v>114.5863143</v>
      </c>
      <c r="S545" s="59">
        <f>$F545*VLOOKUP($E545,'AWS Platforms Ratios'!$A$2:$O$25,11,FALSE)</f>
        <v>38.4</v>
      </c>
      <c r="T545" s="59">
        <f>$F545*VLOOKUP($E545,'AWS Platforms Ratios'!$A$2:$O$25,12,FALSE)</f>
        <v>57.6</v>
      </c>
      <c r="U545" s="59">
        <f>$F545*VLOOKUP($E545,'AWS Platforms Ratios'!$A$2:$O$25,13,FALSE)</f>
        <v>76.8</v>
      </c>
      <c r="V545" s="59">
        <f>$F545*VLOOKUP($E545,'AWS Platforms Ratios'!$A$2:$O$25,14,FALSE)</f>
        <v>115.2</v>
      </c>
      <c r="W545" s="60">
        <f>IF($K545&lt;&gt;"N/A",$M545*(VLOOKUP($L545,'GPU Specs &amp; Ratios'!$B$2:$I$8,5,FALSE)),0)</f>
        <v>0</v>
      </c>
      <c r="X545" s="60">
        <f>IF($K545&lt;&gt;"N/A",$M545*(VLOOKUP($L545,'GPU Specs &amp; Ratios'!$B$2:$I$8,6,FALSE)),0)</f>
        <v>0</v>
      </c>
      <c r="Y545" s="60">
        <f>IF($K545&lt;&gt;"N/A",$M545*(VLOOKUP($L545,'GPU Specs &amp; Ratios'!$B$2:$I$8,7,FALSE)),0)</f>
        <v>0</v>
      </c>
      <c r="Z545" s="60">
        <f>IF($K545&lt;&gt;"N/A",$M545*(VLOOKUP($L545,'GPU Specs &amp; Ratios'!$B$2:$I$8,8,FALSE)),0)</f>
        <v>0</v>
      </c>
      <c r="AA545" s="60">
        <f>(C545/D545)*VLOOKUP($E545,'AWS Platforms Ratios'!$A$2:$O$25,15,FALSE)</f>
        <v>22.5</v>
      </c>
      <c r="AB545" s="60">
        <f t="shared" ref="AB545:AE545" si="545">O545+S545+W545+$AA545</f>
        <v>73.96446945</v>
      </c>
      <c r="AC545" s="60">
        <f t="shared" si="545"/>
        <v>115.9043006</v>
      </c>
      <c r="AD545" s="60">
        <f t="shared" si="545"/>
        <v>183.9296624</v>
      </c>
      <c r="AE545" s="60">
        <f t="shared" si="545"/>
        <v>252.2863143</v>
      </c>
      <c r="AF545" s="60">
        <f>IF(G545&gt;'Scope 3 Ratios'!$B$5,(G545-'Scope 3 Ratios'!$B$5)*('Scope 3 Ratios'!$B$6/'Scope 3 Ratios'!$B$5),0)</f>
        <v>332.856</v>
      </c>
      <c r="AG545" s="60">
        <f>J545*IF(I545="SSD",'Scope 3 Ratios'!$B$9,'Scope 3 Ratios'!$B$8)</f>
        <v>0</v>
      </c>
      <c r="AH545" s="60">
        <f>IF(K545&lt;&gt;"N/A",K545*'Scope 3 Ratios'!$B$10,0)</f>
        <v>0</v>
      </c>
      <c r="AI545" s="60">
        <f>(VLOOKUP($E545,'AWS Platforms Ratios'!$A$2:$O$25,3,FALSE)-1)*'Scope 3 Ratios'!$B$7</f>
        <v>0</v>
      </c>
      <c r="AJ545" s="60">
        <f>'Scope 3 Ratios'!$B$2+AF545+AG545+AH545+AI545</f>
        <v>1332.856</v>
      </c>
      <c r="AK545" s="60">
        <f>AJ545*'Scope 3 Ratios'!$B$4*(C545/D545)</f>
        <v>28.92482639</v>
      </c>
      <c r="AL545" s="61" t="s">
        <v>190</v>
      </c>
    </row>
    <row r="546" ht="15.0" customHeight="1">
      <c r="A546" s="56" t="s">
        <v>872</v>
      </c>
      <c r="B546" s="56" t="s">
        <v>188</v>
      </c>
      <c r="C546" s="56">
        <v>64.0</v>
      </c>
      <c r="D546" s="56">
        <f>VLOOKUP(E546,'AWS Platforms Ratios'!$A$2:$B$25,2,FALSE)</f>
        <v>64</v>
      </c>
      <c r="E546" s="57" t="s">
        <v>189</v>
      </c>
      <c r="F546" s="56">
        <v>256.0</v>
      </c>
      <c r="G546" s="56">
        <v>256.0</v>
      </c>
      <c r="H546" s="57" t="s">
        <v>71</v>
      </c>
      <c r="I546" s="56" t="s">
        <v>72</v>
      </c>
      <c r="J546" s="56">
        <v>0.0</v>
      </c>
      <c r="K546" s="58" t="s">
        <v>73</v>
      </c>
      <c r="L546" s="58" t="s">
        <v>73</v>
      </c>
      <c r="M546" s="58" t="s">
        <v>73</v>
      </c>
      <c r="N546" s="58" t="s">
        <v>73</v>
      </c>
      <c r="O546" s="59">
        <f>($C546/$D546)*VLOOKUP($E546,'AWS Platforms Ratios'!$A$2:$O$25,7,FALSE)</f>
        <v>17.4192926</v>
      </c>
      <c r="P546" s="59">
        <f>($C546/$D546)*VLOOKUP($E546,'AWS Platforms Ratios'!$A$2:$O$25,8,FALSE)</f>
        <v>47.73906752</v>
      </c>
      <c r="Q546" s="59">
        <f>($C546/$D546)*VLOOKUP($E546,'AWS Platforms Ratios'!$A$2:$O$25,9,FALSE)</f>
        <v>112.8395498</v>
      </c>
      <c r="R546" s="59">
        <f>($C546/$D546)*VLOOKUP($E546,'AWS Platforms Ratios'!$A$2:$O$25,10,FALSE)</f>
        <v>152.7817524</v>
      </c>
      <c r="S546" s="59">
        <f>$F546*VLOOKUP($E546,'AWS Platforms Ratios'!$A$2:$O$25,11,FALSE)</f>
        <v>51.2</v>
      </c>
      <c r="T546" s="59">
        <f>$F546*VLOOKUP($E546,'AWS Platforms Ratios'!$A$2:$O$25,12,FALSE)</f>
        <v>76.8</v>
      </c>
      <c r="U546" s="59">
        <f>$F546*VLOOKUP($E546,'AWS Platforms Ratios'!$A$2:$O$25,13,FALSE)</f>
        <v>102.4</v>
      </c>
      <c r="V546" s="59">
        <f>$F546*VLOOKUP($E546,'AWS Platforms Ratios'!$A$2:$O$25,14,FALSE)</f>
        <v>153.6</v>
      </c>
      <c r="W546" s="60">
        <f>IF($K546&lt;&gt;"N/A",$M546*(VLOOKUP($L546,'GPU Specs &amp; Ratios'!$B$2:$I$8,5,FALSE)),0)</f>
        <v>0</v>
      </c>
      <c r="X546" s="60">
        <f>IF($K546&lt;&gt;"N/A",$M546*(VLOOKUP($L546,'GPU Specs &amp; Ratios'!$B$2:$I$8,6,FALSE)),0)</f>
        <v>0</v>
      </c>
      <c r="Y546" s="60">
        <f>IF($K546&lt;&gt;"N/A",$M546*(VLOOKUP($L546,'GPU Specs &amp; Ratios'!$B$2:$I$8,7,FALSE)),0)</f>
        <v>0</v>
      </c>
      <c r="Z546" s="60">
        <f>IF($K546&lt;&gt;"N/A",$M546*(VLOOKUP($L546,'GPU Specs &amp; Ratios'!$B$2:$I$8,8,FALSE)),0)</f>
        <v>0</v>
      </c>
      <c r="AA546" s="60">
        <f>(C546/D546)*VLOOKUP($E546,'AWS Platforms Ratios'!$A$2:$O$25,15,FALSE)</f>
        <v>30</v>
      </c>
      <c r="AB546" s="60">
        <f t="shared" ref="AB546:AE546" si="546">O546+S546+W546+$AA546</f>
        <v>98.6192926</v>
      </c>
      <c r="AC546" s="60">
        <f t="shared" si="546"/>
        <v>154.5390675</v>
      </c>
      <c r="AD546" s="60">
        <f t="shared" si="546"/>
        <v>245.2395498</v>
      </c>
      <c r="AE546" s="60">
        <f t="shared" si="546"/>
        <v>336.3817524</v>
      </c>
      <c r="AF546" s="60">
        <f>IF(G546&gt;'Scope 3 Ratios'!$B$5,(G546-'Scope 3 Ratios'!$B$5)*('Scope 3 Ratios'!$B$6/'Scope 3 Ratios'!$B$5),0)</f>
        <v>332.856</v>
      </c>
      <c r="AG546" s="60">
        <f>J546*IF(I546="SSD",'Scope 3 Ratios'!$B$9,'Scope 3 Ratios'!$B$8)</f>
        <v>0</v>
      </c>
      <c r="AH546" s="60">
        <f>IF(K546&lt;&gt;"N/A",K546*'Scope 3 Ratios'!$B$10,0)</f>
        <v>0</v>
      </c>
      <c r="AI546" s="60">
        <f>(VLOOKUP($E546,'AWS Platforms Ratios'!$A$2:$O$25,3,FALSE)-1)*'Scope 3 Ratios'!$B$7</f>
        <v>0</v>
      </c>
      <c r="AJ546" s="60">
        <f>'Scope 3 Ratios'!$B$2+AF546+AG546+AH546+AI546</f>
        <v>1332.856</v>
      </c>
      <c r="AK546" s="60">
        <f>AJ546*'Scope 3 Ratios'!$B$4*(C546/D546)</f>
        <v>38.56643519</v>
      </c>
      <c r="AL546" s="61" t="s">
        <v>190</v>
      </c>
    </row>
    <row r="547" ht="15.0" customHeight="1">
      <c r="A547" s="56" t="s">
        <v>873</v>
      </c>
      <c r="B547" s="56" t="s">
        <v>313</v>
      </c>
      <c r="C547" s="56">
        <v>2.0</v>
      </c>
      <c r="D547" s="56">
        <f>VLOOKUP(E547,'AWS Platforms Ratios'!$A$2:$B$25,2,FALSE)</f>
        <v>96</v>
      </c>
      <c r="E547" s="57" t="s">
        <v>237</v>
      </c>
      <c r="F547" s="56">
        <v>8.0</v>
      </c>
      <c r="G547" s="70">
        <v>384.0</v>
      </c>
      <c r="H547" s="57" t="s">
        <v>71</v>
      </c>
      <c r="I547" s="56" t="s">
        <v>72</v>
      </c>
      <c r="J547" s="56">
        <v>0.0</v>
      </c>
      <c r="K547" s="58" t="s">
        <v>73</v>
      </c>
      <c r="L547" s="58" t="s">
        <v>73</v>
      </c>
      <c r="M547" s="58" t="s">
        <v>73</v>
      </c>
      <c r="N547" s="58" t="s">
        <v>73</v>
      </c>
      <c r="O547" s="59">
        <f>($C547/$D547)*VLOOKUP($E547,'AWS Platforms Ratios'!$A$2:$O$25,7,FALSE)</f>
        <v>1.139791667</v>
      </c>
      <c r="P547" s="59">
        <f>($C547/$D547)*VLOOKUP($E547,'AWS Platforms Ratios'!$A$2:$O$25,8,FALSE)</f>
        <v>2.873333333</v>
      </c>
      <c r="Q547" s="59">
        <f>($C547/$D547)*VLOOKUP($E547,'AWS Platforms Ratios'!$A$2:$O$25,9,FALSE)</f>
        <v>6.394375</v>
      </c>
      <c r="R547" s="59">
        <f>($C547/$D547)*VLOOKUP($E547,'AWS Platforms Ratios'!$A$2:$O$25,10,FALSE)</f>
        <v>9.278802083</v>
      </c>
      <c r="S547" s="59">
        <f>$F547*VLOOKUP($E547,'AWS Platforms Ratios'!$A$2:$O$25,11,FALSE)</f>
        <v>1.2440625</v>
      </c>
      <c r="T547" s="59">
        <f>$F547*VLOOKUP($E547,'AWS Platforms Ratios'!$A$2:$O$25,12,FALSE)</f>
        <v>2.058958333</v>
      </c>
      <c r="U547" s="59">
        <f>$F547*VLOOKUP($E547,'AWS Platforms Ratios'!$A$2:$O$25,13,FALSE)</f>
        <v>3.685208333</v>
      </c>
      <c r="V547" s="59">
        <f>$F547*VLOOKUP($E547,'AWS Platforms Ratios'!$A$2:$O$25,14,FALSE)</f>
        <v>5.311458333</v>
      </c>
      <c r="W547" s="60">
        <f>IF($K547&lt;&gt;"N/A",$M547*(VLOOKUP($L547,'GPU Specs &amp; Ratios'!$B$2:$I$8,5,FALSE)),0)</f>
        <v>0</v>
      </c>
      <c r="X547" s="60">
        <f>IF($K547&lt;&gt;"N/A",$M547*(VLOOKUP($L547,'GPU Specs &amp; Ratios'!$B$2:$I$8,6,FALSE)),0)</f>
        <v>0</v>
      </c>
      <c r="Y547" s="60">
        <f>IF($K547&lt;&gt;"N/A",$M547*(VLOOKUP($L547,'GPU Specs &amp; Ratios'!$B$2:$I$8,7,FALSE)),0)</f>
        <v>0</v>
      </c>
      <c r="Z547" s="60">
        <f>IF($K547&lt;&gt;"N/A",$M547*(VLOOKUP($L547,'GPU Specs &amp; Ratios'!$B$2:$I$8,8,FALSE)),0)</f>
        <v>0</v>
      </c>
      <c r="AA547" s="60">
        <f>(C547/D547)*VLOOKUP($E547,'AWS Platforms Ratios'!$A$2:$O$25,15,FALSE)</f>
        <v>1.75</v>
      </c>
      <c r="AB547" s="60">
        <f t="shared" ref="AB547:AE547" si="547">O547+S547+W547+$AA547</f>
        <v>4.133854167</v>
      </c>
      <c r="AC547" s="60">
        <f t="shared" si="547"/>
        <v>6.682291667</v>
      </c>
      <c r="AD547" s="60">
        <f t="shared" si="547"/>
        <v>11.82958333</v>
      </c>
      <c r="AE547" s="60">
        <f t="shared" si="547"/>
        <v>16.34026042</v>
      </c>
      <c r="AF547" s="60">
        <f>IF(G547&gt;'Scope 3 Ratios'!$B$5,(G547-'Scope 3 Ratios'!$B$5)*('Scope 3 Ratios'!$B$6/'Scope 3 Ratios'!$B$5),0)</f>
        <v>510.3792</v>
      </c>
      <c r="AG547" s="60">
        <f>J547*IF(I547="SSD",'Scope 3 Ratios'!$B$9,'Scope 3 Ratios'!$B$8)</f>
        <v>0</v>
      </c>
      <c r="AH547" s="60">
        <f>IF(K547&lt;&gt;"N/A",K547*'Scope 3 Ratios'!$B$10,0)</f>
        <v>0</v>
      </c>
      <c r="AI547" s="60">
        <f>(VLOOKUP($E547,'AWS Platforms Ratios'!$A$2:$O$25,3,FALSE)-1)*'Scope 3 Ratios'!$B$7</f>
        <v>100</v>
      </c>
      <c r="AJ547" s="60">
        <f>'Scope 3 Ratios'!$B$2+AF547+AG547+AH547+AI547</f>
        <v>1610.3792</v>
      </c>
      <c r="AK547" s="60">
        <f>AJ547*'Scope 3 Ratios'!$B$4*(C547/D547)</f>
        <v>0.9707629244</v>
      </c>
      <c r="AL547" s="61" t="s">
        <v>412</v>
      </c>
    </row>
    <row r="548" ht="15.0" customHeight="1">
      <c r="A548" s="56" t="s">
        <v>874</v>
      </c>
      <c r="B548" s="56" t="s">
        <v>313</v>
      </c>
      <c r="C548" s="56">
        <v>4.0</v>
      </c>
      <c r="D548" s="56">
        <f>VLOOKUP(E548,'AWS Platforms Ratios'!$A$2:$B$25,2,FALSE)</f>
        <v>96</v>
      </c>
      <c r="E548" s="57" t="s">
        <v>237</v>
      </c>
      <c r="F548" s="56">
        <v>16.0</v>
      </c>
      <c r="G548" s="70">
        <v>384.0</v>
      </c>
      <c r="H548" s="57" t="s">
        <v>71</v>
      </c>
      <c r="I548" s="56" t="s">
        <v>72</v>
      </c>
      <c r="J548" s="56">
        <v>0.0</v>
      </c>
      <c r="K548" s="58" t="s">
        <v>73</v>
      </c>
      <c r="L548" s="58" t="s">
        <v>73</v>
      </c>
      <c r="M548" s="58" t="s">
        <v>73</v>
      </c>
      <c r="N548" s="58" t="s">
        <v>73</v>
      </c>
      <c r="O548" s="59">
        <f>($C548/$D548)*VLOOKUP($E548,'AWS Platforms Ratios'!$A$2:$O$25,7,FALSE)</f>
        <v>2.279583333</v>
      </c>
      <c r="P548" s="59">
        <f>($C548/$D548)*VLOOKUP($E548,'AWS Platforms Ratios'!$A$2:$O$25,8,FALSE)</f>
        <v>5.746666667</v>
      </c>
      <c r="Q548" s="59">
        <f>($C548/$D548)*VLOOKUP($E548,'AWS Platforms Ratios'!$A$2:$O$25,9,FALSE)</f>
        <v>12.78875</v>
      </c>
      <c r="R548" s="59">
        <f>($C548/$D548)*VLOOKUP($E548,'AWS Platforms Ratios'!$A$2:$O$25,10,FALSE)</f>
        <v>18.55760417</v>
      </c>
      <c r="S548" s="59">
        <f>$F548*VLOOKUP($E548,'AWS Platforms Ratios'!$A$2:$O$25,11,FALSE)</f>
        <v>2.488125</v>
      </c>
      <c r="T548" s="59">
        <f>$F548*VLOOKUP($E548,'AWS Platforms Ratios'!$A$2:$O$25,12,FALSE)</f>
        <v>4.117916667</v>
      </c>
      <c r="U548" s="59">
        <f>$F548*VLOOKUP($E548,'AWS Platforms Ratios'!$A$2:$O$25,13,FALSE)</f>
        <v>7.370416667</v>
      </c>
      <c r="V548" s="59">
        <f>$F548*VLOOKUP($E548,'AWS Platforms Ratios'!$A$2:$O$25,14,FALSE)</f>
        <v>10.62291667</v>
      </c>
      <c r="W548" s="60">
        <f>IF($K548&lt;&gt;"N/A",$M548*(VLOOKUP($L548,'GPU Specs &amp; Ratios'!$B$2:$I$8,5,FALSE)),0)</f>
        <v>0</v>
      </c>
      <c r="X548" s="60">
        <f>IF($K548&lt;&gt;"N/A",$M548*(VLOOKUP($L548,'GPU Specs &amp; Ratios'!$B$2:$I$8,6,FALSE)),0)</f>
        <v>0</v>
      </c>
      <c r="Y548" s="60">
        <f>IF($K548&lt;&gt;"N/A",$M548*(VLOOKUP($L548,'GPU Specs &amp; Ratios'!$B$2:$I$8,7,FALSE)),0)</f>
        <v>0</v>
      </c>
      <c r="Z548" s="60">
        <f>IF($K548&lt;&gt;"N/A",$M548*(VLOOKUP($L548,'GPU Specs &amp; Ratios'!$B$2:$I$8,8,FALSE)),0)</f>
        <v>0</v>
      </c>
      <c r="AA548" s="60">
        <f>(C548/D548)*VLOOKUP($E548,'AWS Platforms Ratios'!$A$2:$O$25,15,FALSE)</f>
        <v>3.5</v>
      </c>
      <c r="AB548" s="60">
        <f t="shared" ref="AB548:AE548" si="548">O548+S548+W548+$AA548</f>
        <v>8.267708333</v>
      </c>
      <c r="AC548" s="60">
        <f t="shared" si="548"/>
        <v>13.36458333</v>
      </c>
      <c r="AD548" s="60">
        <f t="shared" si="548"/>
        <v>23.65916667</v>
      </c>
      <c r="AE548" s="60">
        <f t="shared" si="548"/>
        <v>32.68052083</v>
      </c>
      <c r="AF548" s="60">
        <f>IF(G548&gt;'Scope 3 Ratios'!$B$5,(G548-'Scope 3 Ratios'!$B$5)*('Scope 3 Ratios'!$B$6/'Scope 3 Ratios'!$B$5),0)</f>
        <v>510.3792</v>
      </c>
      <c r="AG548" s="60">
        <f>J548*IF(I548="SSD",'Scope 3 Ratios'!$B$9,'Scope 3 Ratios'!$B$8)</f>
        <v>0</v>
      </c>
      <c r="AH548" s="60">
        <f>IF(K548&lt;&gt;"N/A",K548*'Scope 3 Ratios'!$B$10,0)</f>
        <v>0</v>
      </c>
      <c r="AI548" s="60">
        <f>(VLOOKUP($E548,'AWS Platforms Ratios'!$A$2:$O$25,3,FALSE)-1)*'Scope 3 Ratios'!$B$7</f>
        <v>100</v>
      </c>
      <c r="AJ548" s="60">
        <f>'Scope 3 Ratios'!$B$2+AF548+AG548+AH548+AI548</f>
        <v>1610.3792</v>
      </c>
      <c r="AK548" s="60">
        <f>AJ548*'Scope 3 Ratios'!$B$4*(C548/D548)</f>
        <v>1.941525849</v>
      </c>
      <c r="AL548" s="61" t="s">
        <v>412</v>
      </c>
    </row>
    <row r="549" ht="15.0" customHeight="1">
      <c r="A549" s="56" t="s">
        <v>875</v>
      </c>
      <c r="B549" s="56" t="s">
        <v>313</v>
      </c>
      <c r="C549" s="56">
        <v>8.0</v>
      </c>
      <c r="D549" s="56">
        <f>VLOOKUP(E549,'AWS Platforms Ratios'!$A$2:$B$25,2,FALSE)</f>
        <v>96</v>
      </c>
      <c r="E549" s="57" t="s">
        <v>237</v>
      </c>
      <c r="F549" s="56">
        <v>32.0</v>
      </c>
      <c r="G549" s="70">
        <v>384.0</v>
      </c>
      <c r="H549" s="57" t="s">
        <v>71</v>
      </c>
      <c r="I549" s="56" t="s">
        <v>72</v>
      </c>
      <c r="J549" s="56">
        <v>0.0</v>
      </c>
      <c r="K549" s="58" t="s">
        <v>73</v>
      </c>
      <c r="L549" s="58" t="s">
        <v>73</v>
      </c>
      <c r="M549" s="58" t="s">
        <v>73</v>
      </c>
      <c r="N549" s="58" t="s">
        <v>73</v>
      </c>
      <c r="O549" s="59">
        <f>($C549/$D549)*VLOOKUP($E549,'AWS Platforms Ratios'!$A$2:$O$25,7,FALSE)</f>
        <v>4.559166667</v>
      </c>
      <c r="P549" s="59">
        <f>($C549/$D549)*VLOOKUP($E549,'AWS Platforms Ratios'!$A$2:$O$25,8,FALSE)</f>
        <v>11.49333333</v>
      </c>
      <c r="Q549" s="59">
        <f>($C549/$D549)*VLOOKUP($E549,'AWS Platforms Ratios'!$A$2:$O$25,9,FALSE)</f>
        <v>25.5775</v>
      </c>
      <c r="R549" s="59">
        <f>($C549/$D549)*VLOOKUP($E549,'AWS Platforms Ratios'!$A$2:$O$25,10,FALSE)</f>
        <v>37.11520833</v>
      </c>
      <c r="S549" s="59">
        <f>$F549*VLOOKUP($E549,'AWS Platforms Ratios'!$A$2:$O$25,11,FALSE)</f>
        <v>4.97625</v>
      </c>
      <c r="T549" s="59">
        <f>$F549*VLOOKUP($E549,'AWS Platforms Ratios'!$A$2:$O$25,12,FALSE)</f>
        <v>8.235833333</v>
      </c>
      <c r="U549" s="59">
        <f>$F549*VLOOKUP($E549,'AWS Platforms Ratios'!$A$2:$O$25,13,FALSE)</f>
        <v>14.74083333</v>
      </c>
      <c r="V549" s="59">
        <f>$F549*VLOOKUP($E549,'AWS Platforms Ratios'!$A$2:$O$25,14,FALSE)</f>
        <v>21.24583333</v>
      </c>
      <c r="W549" s="60">
        <f>IF($K549&lt;&gt;"N/A",$M549*(VLOOKUP($L549,'GPU Specs &amp; Ratios'!$B$2:$I$8,5,FALSE)),0)</f>
        <v>0</v>
      </c>
      <c r="X549" s="60">
        <f>IF($K549&lt;&gt;"N/A",$M549*(VLOOKUP($L549,'GPU Specs &amp; Ratios'!$B$2:$I$8,6,FALSE)),0)</f>
        <v>0</v>
      </c>
      <c r="Y549" s="60">
        <f>IF($K549&lt;&gt;"N/A",$M549*(VLOOKUP($L549,'GPU Specs &amp; Ratios'!$B$2:$I$8,7,FALSE)),0)</f>
        <v>0</v>
      </c>
      <c r="Z549" s="60">
        <f>IF($K549&lt;&gt;"N/A",$M549*(VLOOKUP($L549,'GPU Specs &amp; Ratios'!$B$2:$I$8,8,FALSE)),0)</f>
        <v>0</v>
      </c>
      <c r="AA549" s="60">
        <f>(C549/D549)*VLOOKUP($E549,'AWS Platforms Ratios'!$A$2:$O$25,15,FALSE)</f>
        <v>7</v>
      </c>
      <c r="AB549" s="60">
        <f t="shared" ref="AB549:AE549" si="549">O549+S549+W549+$AA549</f>
        <v>16.53541667</v>
      </c>
      <c r="AC549" s="60">
        <f t="shared" si="549"/>
        <v>26.72916667</v>
      </c>
      <c r="AD549" s="60">
        <f t="shared" si="549"/>
        <v>47.31833333</v>
      </c>
      <c r="AE549" s="60">
        <f t="shared" si="549"/>
        <v>65.36104167</v>
      </c>
      <c r="AF549" s="60">
        <f>IF(G549&gt;'Scope 3 Ratios'!$B$5,(G549-'Scope 3 Ratios'!$B$5)*('Scope 3 Ratios'!$B$6/'Scope 3 Ratios'!$B$5),0)</f>
        <v>510.3792</v>
      </c>
      <c r="AG549" s="60">
        <f>J549*IF(I549="SSD",'Scope 3 Ratios'!$B$9,'Scope 3 Ratios'!$B$8)</f>
        <v>0</v>
      </c>
      <c r="AH549" s="60">
        <f>IF(K549&lt;&gt;"N/A",K549*'Scope 3 Ratios'!$B$10,0)</f>
        <v>0</v>
      </c>
      <c r="AI549" s="60">
        <f>(VLOOKUP($E549,'AWS Platforms Ratios'!$A$2:$O$25,3,FALSE)-1)*'Scope 3 Ratios'!$B$7</f>
        <v>100</v>
      </c>
      <c r="AJ549" s="60">
        <f>'Scope 3 Ratios'!$B$2+AF549+AG549+AH549+AI549</f>
        <v>1610.3792</v>
      </c>
      <c r="AK549" s="60">
        <f>AJ549*'Scope 3 Ratios'!$B$4*(C549/D549)</f>
        <v>3.883051698</v>
      </c>
      <c r="AL549" s="61" t="s">
        <v>412</v>
      </c>
    </row>
    <row r="550" ht="15.0" customHeight="1">
      <c r="A550" s="56" t="s">
        <v>876</v>
      </c>
      <c r="B550" s="56" t="s">
        <v>313</v>
      </c>
      <c r="C550" s="56">
        <v>16.0</v>
      </c>
      <c r="D550" s="56">
        <f>VLOOKUP(E550,'AWS Platforms Ratios'!$A$2:$B$25,2,FALSE)</f>
        <v>96</v>
      </c>
      <c r="E550" s="57" t="s">
        <v>237</v>
      </c>
      <c r="F550" s="56">
        <v>64.0</v>
      </c>
      <c r="G550" s="70">
        <v>384.0</v>
      </c>
      <c r="H550" s="57" t="s">
        <v>71</v>
      </c>
      <c r="I550" s="56" t="s">
        <v>72</v>
      </c>
      <c r="J550" s="56">
        <v>0.0</v>
      </c>
      <c r="K550" s="58" t="s">
        <v>73</v>
      </c>
      <c r="L550" s="58" t="s">
        <v>73</v>
      </c>
      <c r="M550" s="58" t="s">
        <v>73</v>
      </c>
      <c r="N550" s="58" t="s">
        <v>73</v>
      </c>
      <c r="O550" s="59">
        <f>($C550/$D550)*VLOOKUP($E550,'AWS Platforms Ratios'!$A$2:$O$25,7,FALSE)</f>
        <v>9.118333333</v>
      </c>
      <c r="P550" s="59">
        <f>($C550/$D550)*VLOOKUP($E550,'AWS Platforms Ratios'!$A$2:$O$25,8,FALSE)</f>
        <v>22.98666667</v>
      </c>
      <c r="Q550" s="59">
        <f>($C550/$D550)*VLOOKUP($E550,'AWS Platforms Ratios'!$A$2:$O$25,9,FALSE)</f>
        <v>51.155</v>
      </c>
      <c r="R550" s="59">
        <f>($C550/$D550)*VLOOKUP($E550,'AWS Platforms Ratios'!$A$2:$O$25,10,FALSE)</f>
        <v>74.23041667</v>
      </c>
      <c r="S550" s="59">
        <f>$F550*VLOOKUP($E550,'AWS Platforms Ratios'!$A$2:$O$25,11,FALSE)</f>
        <v>9.9525</v>
      </c>
      <c r="T550" s="59">
        <f>$F550*VLOOKUP($E550,'AWS Platforms Ratios'!$A$2:$O$25,12,FALSE)</f>
        <v>16.47166667</v>
      </c>
      <c r="U550" s="59">
        <f>$F550*VLOOKUP($E550,'AWS Platforms Ratios'!$A$2:$O$25,13,FALSE)</f>
        <v>29.48166667</v>
      </c>
      <c r="V550" s="59">
        <f>$F550*VLOOKUP($E550,'AWS Platforms Ratios'!$A$2:$O$25,14,FALSE)</f>
        <v>42.49166667</v>
      </c>
      <c r="W550" s="60">
        <f>IF($K550&lt;&gt;"N/A",$M550*(VLOOKUP($L550,'GPU Specs &amp; Ratios'!$B$2:$I$8,5,FALSE)),0)</f>
        <v>0</v>
      </c>
      <c r="X550" s="60">
        <f>IF($K550&lt;&gt;"N/A",$M550*(VLOOKUP($L550,'GPU Specs &amp; Ratios'!$B$2:$I$8,6,FALSE)),0)</f>
        <v>0</v>
      </c>
      <c r="Y550" s="60">
        <f>IF($K550&lt;&gt;"N/A",$M550*(VLOOKUP($L550,'GPU Specs &amp; Ratios'!$B$2:$I$8,7,FALSE)),0)</f>
        <v>0</v>
      </c>
      <c r="Z550" s="60">
        <f>IF($K550&lt;&gt;"N/A",$M550*(VLOOKUP($L550,'GPU Specs &amp; Ratios'!$B$2:$I$8,8,FALSE)),0)</f>
        <v>0</v>
      </c>
      <c r="AA550" s="60">
        <f>(C550/D550)*VLOOKUP($E550,'AWS Platforms Ratios'!$A$2:$O$25,15,FALSE)</f>
        <v>14</v>
      </c>
      <c r="AB550" s="60">
        <f t="shared" ref="AB550:AE550" si="550">O550+S550+W550+$AA550</f>
        <v>33.07083333</v>
      </c>
      <c r="AC550" s="60">
        <f t="shared" si="550"/>
        <v>53.45833333</v>
      </c>
      <c r="AD550" s="60">
        <f t="shared" si="550"/>
        <v>94.63666667</v>
      </c>
      <c r="AE550" s="60">
        <f t="shared" si="550"/>
        <v>130.7220833</v>
      </c>
      <c r="AF550" s="60">
        <f>IF(G550&gt;'Scope 3 Ratios'!$B$5,(G550-'Scope 3 Ratios'!$B$5)*('Scope 3 Ratios'!$B$6/'Scope 3 Ratios'!$B$5),0)</f>
        <v>510.3792</v>
      </c>
      <c r="AG550" s="60">
        <f>J550*IF(I550="SSD",'Scope 3 Ratios'!$B$9,'Scope 3 Ratios'!$B$8)</f>
        <v>0</v>
      </c>
      <c r="AH550" s="60">
        <f>IF(K550&lt;&gt;"N/A",K550*'Scope 3 Ratios'!$B$10,0)</f>
        <v>0</v>
      </c>
      <c r="AI550" s="60">
        <f>(VLOOKUP($E550,'AWS Platforms Ratios'!$A$2:$O$25,3,FALSE)-1)*'Scope 3 Ratios'!$B$7</f>
        <v>100</v>
      </c>
      <c r="AJ550" s="60">
        <f>'Scope 3 Ratios'!$B$2+AF550+AG550+AH550+AI550</f>
        <v>1610.3792</v>
      </c>
      <c r="AK550" s="60">
        <f>AJ550*'Scope 3 Ratios'!$B$4*(C550/D550)</f>
        <v>7.766103395</v>
      </c>
      <c r="AL550" s="61" t="s">
        <v>412</v>
      </c>
    </row>
    <row r="551" ht="15.0" customHeight="1">
      <c r="A551" s="56" t="s">
        <v>877</v>
      </c>
      <c r="B551" s="56" t="s">
        <v>128</v>
      </c>
      <c r="C551" s="56">
        <v>32.0</v>
      </c>
      <c r="D551" s="56">
        <f>VLOOKUP(E551,'AWS Platforms Ratios'!$A$2:$B$25,2,FALSE)</f>
        <v>96</v>
      </c>
      <c r="E551" s="57" t="s">
        <v>237</v>
      </c>
      <c r="F551" s="56">
        <v>128.0</v>
      </c>
      <c r="G551" s="70">
        <v>384.0</v>
      </c>
      <c r="H551" s="57" t="s">
        <v>71</v>
      </c>
      <c r="I551" s="56" t="s">
        <v>72</v>
      </c>
      <c r="J551" s="56">
        <v>0.0</v>
      </c>
      <c r="K551" s="58" t="s">
        <v>73</v>
      </c>
      <c r="L551" s="58" t="s">
        <v>73</v>
      </c>
      <c r="M551" s="58" t="s">
        <v>73</v>
      </c>
      <c r="N551" s="58" t="s">
        <v>73</v>
      </c>
      <c r="O551" s="59">
        <f>($C551/$D551)*VLOOKUP($E551,'AWS Platforms Ratios'!$A$2:$O$25,7,FALSE)</f>
        <v>18.23666667</v>
      </c>
      <c r="P551" s="59">
        <f>($C551/$D551)*VLOOKUP($E551,'AWS Platforms Ratios'!$A$2:$O$25,8,FALSE)</f>
        <v>45.97333333</v>
      </c>
      <c r="Q551" s="59">
        <f>($C551/$D551)*VLOOKUP($E551,'AWS Platforms Ratios'!$A$2:$O$25,9,FALSE)</f>
        <v>102.31</v>
      </c>
      <c r="R551" s="59">
        <f>($C551/$D551)*VLOOKUP($E551,'AWS Platforms Ratios'!$A$2:$O$25,10,FALSE)</f>
        <v>148.4608333</v>
      </c>
      <c r="S551" s="59">
        <f>$F551*VLOOKUP($E551,'AWS Platforms Ratios'!$A$2:$O$25,11,FALSE)</f>
        <v>19.905</v>
      </c>
      <c r="T551" s="59">
        <f>$F551*VLOOKUP($E551,'AWS Platforms Ratios'!$A$2:$O$25,12,FALSE)</f>
        <v>32.94333333</v>
      </c>
      <c r="U551" s="59">
        <f>$F551*VLOOKUP($E551,'AWS Platforms Ratios'!$A$2:$O$25,13,FALSE)</f>
        <v>58.96333333</v>
      </c>
      <c r="V551" s="59">
        <f>$F551*VLOOKUP($E551,'AWS Platforms Ratios'!$A$2:$O$25,14,FALSE)</f>
        <v>84.98333333</v>
      </c>
      <c r="W551" s="60">
        <f>IF($K551&lt;&gt;"N/A",$M551*(VLOOKUP($L551,'GPU Specs &amp; Ratios'!$B$2:$I$8,5,FALSE)),0)</f>
        <v>0</v>
      </c>
      <c r="X551" s="60">
        <f>IF($K551&lt;&gt;"N/A",$M551*(VLOOKUP($L551,'GPU Specs &amp; Ratios'!$B$2:$I$8,6,FALSE)),0)</f>
        <v>0</v>
      </c>
      <c r="Y551" s="60">
        <f>IF($K551&lt;&gt;"N/A",$M551*(VLOOKUP($L551,'GPU Specs &amp; Ratios'!$B$2:$I$8,7,FALSE)),0)</f>
        <v>0</v>
      </c>
      <c r="Z551" s="60">
        <f>IF($K551&lt;&gt;"N/A",$M551*(VLOOKUP($L551,'GPU Specs &amp; Ratios'!$B$2:$I$8,8,FALSE)),0)</f>
        <v>0</v>
      </c>
      <c r="AA551" s="60">
        <f>(C551/D551)*VLOOKUP($E551,'AWS Platforms Ratios'!$A$2:$O$25,15,FALSE)</f>
        <v>28</v>
      </c>
      <c r="AB551" s="60">
        <f t="shared" ref="AB551:AE551" si="551">O551+S551+W551+$AA551</f>
        <v>66.14166667</v>
      </c>
      <c r="AC551" s="60">
        <f t="shared" si="551"/>
        <v>106.9166667</v>
      </c>
      <c r="AD551" s="60">
        <f t="shared" si="551"/>
        <v>189.2733333</v>
      </c>
      <c r="AE551" s="60">
        <f t="shared" si="551"/>
        <v>261.4441667</v>
      </c>
      <c r="AF551" s="60">
        <f>IF(G551&gt;'Scope 3 Ratios'!$B$5,(G551-'Scope 3 Ratios'!$B$5)*('Scope 3 Ratios'!$B$6/'Scope 3 Ratios'!$B$5),0)</f>
        <v>510.3792</v>
      </c>
      <c r="AG551" s="60">
        <f>J551*IF(I551="SSD",'Scope 3 Ratios'!$B$9,'Scope 3 Ratios'!$B$8)</f>
        <v>0</v>
      </c>
      <c r="AH551" s="60">
        <f>IF(K551&lt;&gt;"N/A",K551*'Scope 3 Ratios'!$B$10,0)</f>
        <v>0</v>
      </c>
      <c r="AI551" s="60">
        <f>(VLOOKUP($E551,'AWS Platforms Ratios'!$A$2:$O$25,3,FALSE)-1)*'Scope 3 Ratios'!$B$7</f>
        <v>100</v>
      </c>
      <c r="AJ551" s="60">
        <f>'Scope 3 Ratios'!$B$2+AF551+AG551+AH551+AI551</f>
        <v>1610.3792</v>
      </c>
      <c r="AK551" s="60">
        <f>AJ551*'Scope 3 Ratios'!$B$4*(C551/D551)</f>
        <v>15.53220679</v>
      </c>
      <c r="AL551" s="61" t="s">
        <v>412</v>
      </c>
    </row>
    <row r="552" ht="15.0" customHeight="1">
      <c r="A552" s="56" t="s">
        <v>878</v>
      </c>
      <c r="B552" s="56" t="s">
        <v>313</v>
      </c>
      <c r="C552" s="56">
        <v>48.0</v>
      </c>
      <c r="D552" s="56">
        <f>VLOOKUP(E552,'AWS Platforms Ratios'!$A$2:$B$25,2,FALSE)</f>
        <v>96</v>
      </c>
      <c r="E552" s="57" t="s">
        <v>237</v>
      </c>
      <c r="F552" s="56">
        <v>192.0</v>
      </c>
      <c r="G552" s="70">
        <v>384.0</v>
      </c>
      <c r="H552" s="57" t="s">
        <v>71</v>
      </c>
      <c r="I552" s="56" t="s">
        <v>72</v>
      </c>
      <c r="J552" s="56">
        <v>0.0</v>
      </c>
      <c r="K552" s="58" t="s">
        <v>73</v>
      </c>
      <c r="L552" s="58" t="s">
        <v>73</v>
      </c>
      <c r="M552" s="58" t="s">
        <v>73</v>
      </c>
      <c r="N552" s="58" t="s">
        <v>73</v>
      </c>
      <c r="O552" s="59">
        <f>($C552/$D552)*VLOOKUP($E552,'AWS Platforms Ratios'!$A$2:$O$25,7,FALSE)</f>
        <v>27.355</v>
      </c>
      <c r="P552" s="59">
        <f>($C552/$D552)*VLOOKUP($E552,'AWS Platforms Ratios'!$A$2:$O$25,8,FALSE)</f>
        <v>68.96</v>
      </c>
      <c r="Q552" s="59">
        <f>($C552/$D552)*VLOOKUP($E552,'AWS Platforms Ratios'!$A$2:$O$25,9,FALSE)</f>
        <v>153.465</v>
      </c>
      <c r="R552" s="59">
        <f>($C552/$D552)*VLOOKUP($E552,'AWS Platforms Ratios'!$A$2:$O$25,10,FALSE)</f>
        <v>222.69125</v>
      </c>
      <c r="S552" s="59">
        <f>$F552*VLOOKUP($E552,'AWS Platforms Ratios'!$A$2:$O$25,11,FALSE)</f>
        <v>29.8575</v>
      </c>
      <c r="T552" s="59">
        <f>$F552*VLOOKUP($E552,'AWS Platforms Ratios'!$A$2:$O$25,12,FALSE)</f>
        <v>49.415</v>
      </c>
      <c r="U552" s="59">
        <f>$F552*VLOOKUP($E552,'AWS Platforms Ratios'!$A$2:$O$25,13,FALSE)</f>
        <v>88.445</v>
      </c>
      <c r="V552" s="59">
        <f>$F552*VLOOKUP($E552,'AWS Platforms Ratios'!$A$2:$O$25,14,FALSE)</f>
        <v>127.475</v>
      </c>
      <c r="W552" s="60">
        <f>IF($K552&lt;&gt;"N/A",$M552*(VLOOKUP($L552,'GPU Specs &amp; Ratios'!$B$2:$I$8,5,FALSE)),0)</f>
        <v>0</v>
      </c>
      <c r="X552" s="60">
        <f>IF($K552&lt;&gt;"N/A",$M552*(VLOOKUP($L552,'GPU Specs &amp; Ratios'!$B$2:$I$8,6,FALSE)),0)</f>
        <v>0</v>
      </c>
      <c r="Y552" s="60">
        <f>IF($K552&lt;&gt;"N/A",$M552*(VLOOKUP($L552,'GPU Specs &amp; Ratios'!$B$2:$I$8,7,FALSE)),0)</f>
        <v>0</v>
      </c>
      <c r="Z552" s="60">
        <f>IF($K552&lt;&gt;"N/A",$M552*(VLOOKUP($L552,'GPU Specs &amp; Ratios'!$B$2:$I$8,8,FALSE)),0)</f>
        <v>0</v>
      </c>
      <c r="AA552" s="60">
        <f>(C552/D552)*VLOOKUP($E552,'AWS Platforms Ratios'!$A$2:$O$25,15,FALSE)</f>
        <v>42</v>
      </c>
      <c r="AB552" s="60">
        <f t="shared" ref="AB552:AE552" si="552">O552+S552+W552+$AA552</f>
        <v>99.2125</v>
      </c>
      <c r="AC552" s="60">
        <f t="shared" si="552"/>
        <v>160.375</v>
      </c>
      <c r="AD552" s="60">
        <f t="shared" si="552"/>
        <v>283.91</v>
      </c>
      <c r="AE552" s="60">
        <f t="shared" si="552"/>
        <v>392.16625</v>
      </c>
      <c r="AF552" s="60">
        <f>IF(G552&gt;'Scope 3 Ratios'!$B$5,(G552-'Scope 3 Ratios'!$B$5)*('Scope 3 Ratios'!$B$6/'Scope 3 Ratios'!$B$5),0)</f>
        <v>510.3792</v>
      </c>
      <c r="AG552" s="60">
        <f>J552*IF(I552="SSD",'Scope 3 Ratios'!$B$9,'Scope 3 Ratios'!$B$8)</f>
        <v>0</v>
      </c>
      <c r="AH552" s="60">
        <f>IF(K552&lt;&gt;"N/A",K552*'Scope 3 Ratios'!$B$10,0)</f>
        <v>0</v>
      </c>
      <c r="AI552" s="60">
        <f>(VLOOKUP($E552,'AWS Platforms Ratios'!$A$2:$O$25,3,FALSE)-1)*'Scope 3 Ratios'!$B$7</f>
        <v>100</v>
      </c>
      <c r="AJ552" s="60">
        <f>'Scope 3 Ratios'!$B$2+AF552+AG552+AH552+AI552</f>
        <v>1610.3792</v>
      </c>
      <c r="AK552" s="60">
        <f>AJ552*'Scope 3 Ratios'!$B$4*(C552/D552)</f>
        <v>23.29831019</v>
      </c>
      <c r="AL552" s="61" t="s">
        <v>412</v>
      </c>
    </row>
    <row r="553" ht="15.0" customHeight="1">
      <c r="A553" s="56" t="s">
        <v>879</v>
      </c>
      <c r="B553" s="56" t="s">
        <v>128</v>
      </c>
      <c r="C553" s="56">
        <v>64.0</v>
      </c>
      <c r="D553" s="56">
        <f>VLOOKUP(E553,'AWS Platforms Ratios'!$A$2:$B$25,2,FALSE)</f>
        <v>96</v>
      </c>
      <c r="E553" s="57" t="s">
        <v>237</v>
      </c>
      <c r="F553" s="56">
        <v>256.0</v>
      </c>
      <c r="G553" s="70">
        <v>384.0</v>
      </c>
      <c r="H553" s="57" t="s">
        <v>71</v>
      </c>
      <c r="I553" s="56" t="s">
        <v>72</v>
      </c>
      <c r="J553" s="56">
        <v>0.0</v>
      </c>
      <c r="K553" s="58" t="s">
        <v>73</v>
      </c>
      <c r="L553" s="58" t="s">
        <v>73</v>
      </c>
      <c r="M553" s="58" t="s">
        <v>73</v>
      </c>
      <c r="N553" s="58" t="s">
        <v>73</v>
      </c>
      <c r="O553" s="59">
        <f>($C553/$D553)*VLOOKUP($E553,'AWS Platforms Ratios'!$A$2:$O$25,7,FALSE)</f>
        <v>36.47333333</v>
      </c>
      <c r="P553" s="59">
        <f>($C553/$D553)*VLOOKUP($E553,'AWS Platforms Ratios'!$A$2:$O$25,8,FALSE)</f>
        <v>91.94666667</v>
      </c>
      <c r="Q553" s="59">
        <f>($C553/$D553)*VLOOKUP($E553,'AWS Platforms Ratios'!$A$2:$O$25,9,FALSE)</f>
        <v>204.62</v>
      </c>
      <c r="R553" s="59">
        <f>($C553/$D553)*VLOOKUP($E553,'AWS Platforms Ratios'!$A$2:$O$25,10,FALSE)</f>
        <v>296.9216667</v>
      </c>
      <c r="S553" s="59">
        <f>$F553*VLOOKUP($E553,'AWS Platforms Ratios'!$A$2:$O$25,11,FALSE)</f>
        <v>39.81</v>
      </c>
      <c r="T553" s="59">
        <f>$F553*VLOOKUP($E553,'AWS Platforms Ratios'!$A$2:$O$25,12,FALSE)</f>
        <v>65.88666667</v>
      </c>
      <c r="U553" s="59">
        <f>$F553*VLOOKUP($E553,'AWS Platforms Ratios'!$A$2:$O$25,13,FALSE)</f>
        <v>117.9266667</v>
      </c>
      <c r="V553" s="59">
        <f>$F553*VLOOKUP($E553,'AWS Platforms Ratios'!$A$2:$O$25,14,FALSE)</f>
        <v>169.9666667</v>
      </c>
      <c r="W553" s="60">
        <f>IF($K553&lt;&gt;"N/A",$M553*(VLOOKUP($L553,'GPU Specs &amp; Ratios'!$B$2:$I$8,5,FALSE)),0)</f>
        <v>0</v>
      </c>
      <c r="X553" s="60">
        <f>IF($K553&lt;&gt;"N/A",$M553*(VLOOKUP($L553,'GPU Specs &amp; Ratios'!$B$2:$I$8,6,FALSE)),0)</f>
        <v>0</v>
      </c>
      <c r="Y553" s="60">
        <f>IF($K553&lt;&gt;"N/A",$M553*(VLOOKUP($L553,'GPU Specs &amp; Ratios'!$B$2:$I$8,7,FALSE)),0)</f>
        <v>0</v>
      </c>
      <c r="Z553" s="60">
        <f>IF($K553&lt;&gt;"N/A",$M553*(VLOOKUP($L553,'GPU Specs &amp; Ratios'!$B$2:$I$8,8,FALSE)),0)</f>
        <v>0</v>
      </c>
      <c r="AA553" s="60">
        <f>(C553/D553)*VLOOKUP($E553,'AWS Platforms Ratios'!$A$2:$O$25,15,FALSE)</f>
        <v>56</v>
      </c>
      <c r="AB553" s="60">
        <f t="shared" ref="AB553:AE553" si="553">O553+S553+W553+$AA553</f>
        <v>132.2833333</v>
      </c>
      <c r="AC553" s="60">
        <f t="shared" si="553"/>
        <v>213.8333333</v>
      </c>
      <c r="AD553" s="60">
        <f t="shared" si="553"/>
        <v>378.5466667</v>
      </c>
      <c r="AE553" s="60">
        <f t="shared" si="553"/>
        <v>522.8883333</v>
      </c>
      <c r="AF553" s="60">
        <f>IF(G553&gt;'Scope 3 Ratios'!$B$5,(G553-'Scope 3 Ratios'!$B$5)*('Scope 3 Ratios'!$B$6/'Scope 3 Ratios'!$B$5),0)</f>
        <v>510.3792</v>
      </c>
      <c r="AG553" s="60">
        <f>J553*IF(I553="SSD",'Scope 3 Ratios'!$B$9,'Scope 3 Ratios'!$B$8)</f>
        <v>0</v>
      </c>
      <c r="AH553" s="60">
        <f>IF(K553&lt;&gt;"N/A",K553*'Scope 3 Ratios'!$B$10,0)</f>
        <v>0</v>
      </c>
      <c r="AI553" s="60">
        <f>(VLOOKUP($E553,'AWS Platforms Ratios'!$A$2:$O$25,3,FALSE)-1)*'Scope 3 Ratios'!$B$7</f>
        <v>100</v>
      </c>
      <c r="AJ553" s="60">
        <f>'Scope 3 Ratios'!$B$2+AF553+AG553+AH553+AI553</f>
        <v>1610.3792</v>
      </c>
      <c r="AK553" s="60">
        <f>AJ553*'Scope 3 Ratios'!$B$4*(C553/D553)</f>
        <v>31.06441358</v>
      </c>
      <c r="AL553" s="61" t="s">
        <v>412</v>
      </c>
    </row>
    <row r="554" ht="15.0" customHeight="1">
      <c r="A554" s="56" t="s">
        <v>880</v>
      </c>
      <c r="B554" s="56" t="s">
        <v>313</v>
      </c>
      <c r="C554" s="56">
        <v>96.0</v>
      </c>
      <c r="D554" s="56">
        <f>VLOOKUP(E554,'AWS Platforms Ratios'!$A$2:$B$25,2,FALSE)</f>
        <v>96</v>
      </c>
      <c r="E554" s="57" t="s">
        <v>237</v>
      </c>
      <c r="F554" s="56">
        <v>384.0</v>
      </c>
      <c r="G554" s="70">
        <v>384.0</v>
      </c>
      <c r="H554" s="57" t="s">
        <v>71</v>
      </c>
      <c r="I554" s="56" t="s">
        <v>72</v>
      </c>
      <c r="J554" s="56">
        <v>0.0</v>
      </c>
      <c r="K554" s="58" t="s">
        <v>73</v>
      </c>
      <c r="L554" s="58" t="s">
        <v>73</v>
      </c>
      <c r="M554" s="58" t="s">
        <v>73</v>
      </c>
      <c r="N554" s="58" t="s">
        <v>73</v>
      </c>
      <c r="O554" s="59">
        <f>($C554/$D554)*VLOOKUP($E554,'AWS Platforms Ratios'!$A$2:$O$25,7,FALSE)</f>
        <v>54.71</v>
      </c>
      <c r="P554" s="59">
        <f>($C554/$D554)*VLOOKUP($E554,'AWS Platforms Ratios'!$A$2:$O$25,8,FALSE)</f>
        <v>137.92</v>
      </c>
      <c r="Q554" s="59">
        <f>($C554/$D554)*VLOOKUP($E554,'AWS Platforms Ratios'!$A$2:$O$25,9,FALSE)</f>
        <v>306.93</v>
      </c>
      <c r="R554" s="59">
        <f>($C554/$D554)*VLOOKUP($E554,'AWS Platforms Ratios'!$A$2:$O$25,10,FALSE)</f>
        <v>445.3825</v>
      </c>
      <c r="S554" s="59">
        <f>$F554*VLOOKUP($E554,'AWS Platforms Ratios'!$A$2:$O$25,11,FALSE)</f>
        <v>59.715</v>
      </c>
      <c r="T554" s="59">
        <f>$F554*VLOOKUP($E554,'AWS Platforms Ratios'!$A$2:$O$25,12,FALSE)</f>
        <v>98.83</v>
      </c>
      <c r="U554" s="59">
        <f>$F554*VLOOKUP($E554,'AWS Platforms Ratios'!$A$2:$O$25,13,FALSE)</f>
        <v>176.89</v>
      </c>
      <c r="V554" s="59">
        <f>$F554*VLOOKUP($E554,'AWS Platforms Ratios'!$A$2:$O$25,14,FALSE)</f>
        <v>254.95</v>
      </c>
      <c r="W554" s="60">
        <f>IF($K554&lt;&gt;"N/A",$M554*(VLOOKUP($L554,'GPU Specs &amp; Ratios'!$B$2:$I$8,5,FALSE)),0)</f>
        <v>0</v>
      </c>
      <c r="X554" s="60">
        <f>IF($K554&lt;&gt;"N/A",$M554*(VLOOKUP($L554,'GPU Specs &amp; Ratios'!$B$2:$I$8,6,FALSE)),0)</f>
        <v>0</v>
      </c>
      <c r="Y554" s="60">
        <f>IF($K554&lt;&gt;"N/A",$M554*(VLOOKUP($L554,'GPU Specs &amp; Ratios'!$B$2:$I$8,7,FALSE)),0)</f>
        <v>0</v>
      </c>
      <c r="Z554" s="60">
        <f>IF($K554&lt;&gt;"N/A",$M554*(VLOOKUP($L554,'GPU Specs &amp; Ratios'!$B$2:$I$8,8,FALSE)),0)</f>
        <v>0</v>
      </c>
      <c r="AA554" s="60">
        <f>(C554/D554)*VLOOKUP($E554,'AWS Platforms Ratios'!$A$2:$O$25,15,FALSE)</f>
        <v>84</v>
      </c>
      <c r="AB554" s="60">
        <f t="shared" ref="AB554:AE554" si="554">O554+S554+W554+$AA554</f>
        <v>198.425</v>
      </c>
      <c r="AC554" s="60">
        <f t="shared" si="554"/>
        <v>320.75</v>
      </c>
      <c r="AD554" s="60">
        <f t="shared" si="554"/>
        <v>567.82</v>
      </c>
      <c r="AE554" s="60">
        <f t="shared" si="554"/>
        <v>784.3325</v>
      </c>
      <c r="AF554" s="60">
        <f>IF(G554&gt;'Scope 3 Ratios'!$B$5,(G554-'Scope 3 Ratios'!$B$5)*('Scope 3 Ratios'!$B$6/'Scope 3 Ratios'!$B$5),0)</f>
        <v>510.3792</v>
      </c>
      <c r="AG554" s="60">
        <f>J554*IF(I554="SSD",'Scope 3 Ratios'!$B$9,'Scope 3 Ratios'!$B$8)</f>
        <v>0</v>
      </c>
      <c r="AH554" s="60">
        <f>IF(K554&lt;&gt;"N/A",K554*'Scope 3 Ratios'!$B$10,0)</f>
        <v>0</v>
      </c>
      <c r="AI554" s="60">
        <f>(VLOOKUP($E554,'AWS Platforms Ratios'!$A$2:$O$25,3,FALSE)-1)*'Scope 3 Ratios'!$B$7</f>
        <v>100</v>
      </c>
      <c r="AJ554" s="60">
        <f>'Scope 3 Ratios'!$B$2+AF554+AG554+AH554+AI554</f>
        <v>1610.3792</v>
      </c>
      <c r="AK554" s="60">
        <f>AJ554*'Scope 3 Ratios'!$B$4*(C554/D554)</f>
        <v>46.59662037</v>
      </c>
      <c r="AL554" s="61" t="s">
        <v>412</v>
      </c>
    </row>
    <row r="555" ht="15.0" customHeight="1">
      <c r="A555" s="56" t="s">
        <v>881</v>
      </c>
      <c r="B555" s="56" t="s">
        <v>264</v>
      </c>
      <c r="C555" s="56">
        <v>2.0</v>
      </c>
      <c r="D555" s="56">
        <f>VLOOKUP(E555,'AWS Platforms Ratios'!$A$2:$B$25,2,FALSE)</f>
        <v>72</v>
      </c>
      <c r="E555" s="75" t="s">
        <v>269</v>
      </c>
      <c r="F555" s="56">
        <v>8.0</v>
      </c>
      <c r="G555" s="56">
        <v>256.0</v>
      </c>
      <c r="H555" s="57" t="s">
        <v>71</v>
      </c>
      <c r="I555" s="56" t="s">
        <v>72</v>
      </c>
      <c r="J555" s="56">
        <v>0.0</v>
      </c>
      <c r="K555" s="58" t="s">
        <v>73</v>
      </c>
      <c r="L555" s="58" t="s">
        <v>73</v>
      </c>
      <c r="M555" s="58" t="s">
        <v>73</v>
      </c>
      <c r="N555" s="58" t="s">
        <v>73</v>
      </c>
      <c r="O555" s="59">
        <f>($C555/$D555)*VLOOKUP($E555,'AWS Platforms Ratios'!$A$2:$O$25,7,FALSE)</f>
        <v>0.9716666667</v>
      </c>
      <c r="P555" s="59">
        <f>($C555/$D555)*VLOOKUP($E555,'AWS Platforms Ratios'!$A$2:$O$25,8,FALSE)</f>
        <v>2.773888889</v>
      </c>
      <c r="Q555" s="59">
        <f>($C555/$D555)*VLOOKUP($E555,'AWS Platforms Ratios'!$A$2:$O$25,9,FALSE)</f>
        <v>5.705277778</v>
      </c>
      <c r="R555" s="59">
        <f>($C555/$D555)*VLOOKUP($E555,'AWS Platforms Ratios'!$A$2:$O$25,10,FALSE)</f>
        <v>7.809236111</v>
      </c>
      <c r="S555" s="59">
        <f>$F555*VLOOKUP($E555,'AWS Platforms Ratios'!$A$2:$O$25,11,FALSE)</f>
        <v>1.6</v>
      </c>
      <c r="T555" s="59">
        <f>$F555*VLOOKUP($E555,'AWS Platforms Ratios'!$A$2:$O$25,12,FALSE)</f>
        <v>2.4</v>
      </c>
      <c r="U555" s="59">
        <f>$F555*VLOOKUP($E555,'AWS Platforms Ratios'!$A$2:$O$25,13,FALSE)</f>
        <v>3.2</v>
      </c>
      <c r="V555" s="59">
        <f>$F555*VLOOKUP($E555,'AWS Platforms Ratios'!$A$2:$O$25,14,FALSE)</f>
        <v>4.8</v>
      </c>
      <c r="W555" s="60">
        <f>IF($K555&lt;&gt;"N/A",$M555*(VLOOKUP($L555,'GPU Specs &amp; Ratios'!$B$2:$I$8,5,FALSE)),0)</f>
        <v>0</v>
      </c>
      <c r="X555" s="60">
        <f>IF($K555&lt;&gt;"N/A",$M555*(VLOOKUP($L555,'GPU Specs &amp; Ratios'!$B$2:$I$8,6,FALSE)),0)</f>
        <v>0</v>
      </c>
      <c r="Y555" s="60">
        <f>IF($K555&lt;&gt;"N/A",$M555*(VLOOKUP($L555,'GPU Specs &amp; Ratios'!$B$2:$I$8,7,FALSE)),0)</f>
        <v>0</v>
      </c>
      <c r="Z555" s="60">
        <f>IF($K555&lt;&gt;"N/A",$M555*(VLOOKUP($L555,'GPU Specs &amp; Ratios'!$B$2:$I$8,8,FALSE)),0)</f>
        <v>0</v>
      </c>
      <c r="AA555" s="60">
        <f>(C555/D555)*VLOOKUP($E555,'AWS Platforms Ratios'!$A$2:$O$25,15,FALSE)</f>
        <v>1.611111111</v>
      </c>
      <c r="AB555" s="60">
        <f t="shared" ref="AB555:AE555" si="555">O555+S555+W555+$AA555</f>
        <v>4.182777778</v>
      </c>
      <c r="AC555" s="60">
        <f t="shared" si="555"/>
        <v>6.785</v>
      </c>
      <c r="AD555" s="60">
        <f t="shared" si="555"/>
        <v>10.51638889</v>
      </c>
      <c r="AE555" s="60">
        <f t="shared" si="555"/>
        <v>14.22034722</v>
      </c>
      <c r="AF555" s="60">
        <f>IF(G555&gt;'Scope 3 Ratios'!$B$5,(G555-'Scope 3 Ratios'!$B$5)*('Scope 3 Ratios'!$B$6/'Scope 3 Ratios'!$B$5),0)</f>
        <v>332.856</v>
      </c>
      <c r="AG555" s="60">
        <f>J555*IF(I555="SSD",'Scope 3 Ratios'!$B$9,'Scope 3 Ratios'!$B$8)</f>
        <v>0</v>
      </c>
      <c r="AH555" s="60">
        <f>IF(K555&lt;&gt;"N/A",K555*'Scope 3 Ratios'!$B$10,0)</f>
        <v>0</v>
      </c>
      <c r="AI555" s="60">
        <f>(VLOOKUP($E555,'AWS Platforms Ratios'!$A$2:$O$25,3,FALSE)-1)*'Scope 3 Ratios'!$B$7</f>
        <v>100</v>
      </c>
      <c r="AJ555" s="60">
        <f>'Scope 3 Ratios'!$B$2+AF555+AG555+AH555+AI555</f>
        <v>1432.856</v>
      </c>
      <c r="AK555" s="60">
        <f>AJ555*'Scope 3 Ratios'!$B$4*(C555/D555)</f>
        <v>1.151665381</v>
      </c>
      <c r="AL555" s="61" t="s">
        <v>404</v>
      </c>
    </row>
    <row r="556" ht="15.0" customHeight="1">
      <c r="A556" s="56" t="s">
        <v>882</v>
      </c>
      <c r="B556" s="56" t="s">
        <v>264</v>
      </c>
      <c r="C556" s="56">
        <v>4.0</v>
      </c>
      <c r="D556" s="56">
        <f>VLOOKUP(E556,'AWS Platforms Ratios'!$A$2:$B$25,2,FALSE)</f>
        <v>72</v>
      </c>
      <c r="E556" s="75" t="s">
        <v>269</v>
      </c>
      <c r="F556" s="56">
        <v>16.0</v>
      </c>
      <c r="G556" s="56">
        <v>256.0</v>
      </c>
      <c r="H556" s="57" t="s">
        <v>71</v>
      </c>
      <c r="I556" s="56" t="s">
        <v>72</v>
      </c>
      <c r="J556" s="56">
        <v>0.0</v>
      </c>
      <c r="K556" s="58" t="s">
        <v>73</v>
      </c>
      <c r="L556" s="58" t="s">
        <v>73</v>
      </c>
      <c r="M556" s="58" t="s">
        <v>73</v>
      </c>
      <c r="N556" s="58" t="s">
        <v>73</v>
      </c>
      <c r="O556" s="59">
        <f>($C556/$D556)*VLOOKUP($E556,'AWS Platforms Ratios'!$A$2:$O$25,7,FALSE)</f>
        <v>1.943333333</v>
      </c>
      <c r="P556" s="59">
        <f>($C556/$D556)*VLOOKUP($E556,'AWS Platforms Ratios'!$A$2:$O$25,8,FALSE)</f>
        <v>5.547777778</v>
      </c>
      <c r="Q556" s="59">
        <f>($C556/$D556)*VLOOKUP($E556,'AWS Platforms Ratios'!$A$2:$O$25,9,FALSE)</f>
        <v>11.41055556</v>
      </c>
      <c r="R556" s="59">
        <f>($C556/$D556)*VLOOKUP($E556,'AWS Platforms Ratios'!$A$2:$O$25,10,FALSE)</f>
        <v>15.61847222</v>
      </c>
      <c r="S556" s="59">
        <f>$F556*VLOOKUP($E556,'AWS Platforms Ratios'!$A$2:$O$25,11,FALSE)</f>
        <v>3.2</v>
      </c>
      <c r="T556" s="59">
        <f>$F556*VLOOKUP($E556,'AWS Platforms Ratios'!$A$2:$O$25,12,FALSE)</f>
        <v>4.8</v>
      </c>
      <c r="U556" s="59">
        <f>$F556*VLOOKUP($E556,'AWS Platforms Ratios'!$A$2:$O$25,13,FALSE)</f>
        <v>6.4</v>
      </c>
      <c r="V556" s="59">
        <f>$F556*VLOOKUP($E556,'AWS Platforms Ratios'!$A$2:$O$25,14,FALSE)</f>
        <v>9.6</v>
      </c>
      <c r="W556" s="60">
        <f>IF($K556&lt;&gt;"N/A",$M556*(VLOOKUP($L556,'GPU Specs &amp; Ratios'!$B$2:$I$8,5,FALSE)),0)</f>
        <v>0</v>
      </c>
      <c r="X556" s="60">
        <f>IF($K556&lt;&gt;"N/A",$M556*(VLOOKUP($L556,'GPU Specs &amp; Ratios'!$B$2:$I$8,6,FALSE)),0)</f>
        <v>0</v>
      </c>
      <c r="Y556" s="60">
        <f>IF($K556&lt;&gt;"N/A",$M556*(VLOOKUP($L556,'GPU Specs &amp; Ratios'!$B$2:$I$8,7,FALSE)),0)</f>
        <v>0</v>
      </c>
      <c r="Z556" s="60">
        <f>IF($K556&lt;&gt;"N/A",$M556*(VLOOKUP($L556,'GPU Specs &amp; Ratios'!$B$2:$I$8,8,FALSE)),0)</f>
        <v>0</v>
      </c>
      <c r="AA556" s="60">
        <f>(C556/D556)*VLOOKUP($E556,'AWS Platforms Ratios'!$A$2:$O$25,15,FALSE)</f>
        <v>3.222222222</v>
      </c>
      <c r="AB556" s="60">
        <f t="shared" ref="AB556:AE556" si="556">O556+S556+W556+$AA556</f>
        <v>8.365555556</v>
      </c>
      <c r="AC556" s="60">
        <f t="shared" si="556"/>
        <v>13.57</v>
      </c>
      <c r="AD556" s="60">
        <f t="shared" si="556"/>
        <v>21.03277778</v>
      </c>
      <c r="AE556" s="60">
        <f t="shared" si="556"/>
        <v>28.44069444</v>
      </c>
      <c r="AF556" s="60">
        <f>IF(G556&gt;'Scope 3 Ratios'!$B$5,(G556-'Scope 3 Ratios'!$B$5)*('Scope 3 Ratios'!$B$6/'Scope 3 Ratios'!$B$5),0)</f>
        <v>332.856</v>
      </c>
      <c r="AG556" s="60">
        <f>J556*IF(I556="SSD",'Scope 3 Ratios'!$B$9,'Scope 3 Ratios'!$B$8)</f>
        <v>0</v>
      </c>
      <c r="AH556" s="60">
        <f>IF(K556&lt;&gt;"N/A",K556*'Scope 3 Ratios'!$B$10,0)</f>
        <v>0</v>
      </c>
      <c r="AI556" s="60">
        <f>(VLOOKUP($E556,'AWS Platforms Ratios'!$A$2:$O$25,3,FALSE)-1)*'Scope 3 Ratios'!$B$7</f>
        <v>100</v>
      </c>
      <c r="AJ556" s="60">
        <f>'Scope 3 Ratios'!$B$2+AF556+AG556+AH556+AI556</f>
        <v>1432.856</v>
      </c>
      <c r="AK556" s="60">
        <f>AJ556*'Scope 3 Ratios'!$B$4*(C556/D556)</f>
        <v>2.303330761</v>
      </c>
      <c r="AL556" s="61" t="s">
        <v>404</v>
      </c>
    </row>
    <row r="557" ht="15.0" customHeight="1">
      <c r="A557" s="56" t="s">
        <v>883</v>
      </c>
      <c r="B557" s="56" t="s">
        <v>264</v>
      </c>
      <c r="C557" s="56">
        <v>8.0</v>
      </c>
      <c r="D557" s="56">
        <f>VLOOKUP(E557,'AWS Platforms Ratios'!$A$2:$B$25,2,FALSE)</f>
        <v>72</v>
      </c>
      <c r="E557" s="75" t="s">
        <v>269</v>
      </c>
      <c r="F557" s="56">
        <v>32.0</v>
      </c>
      <c r="G557" s="56">
        <v>256.0</v>
      </c>
      <c r="H557" s="57" t="s">
        <v>71</v>
      </c>
      <c r="I557" s="56" t="s">
        <v>72</v>
      </c>
      <c r="J557" s="56">
        <v>0.0</v>
      </c>
      <c r="K557" s="58" t="s">
        <v>73</v>
      </c>
      <c r="L557" s="58" t="s">
        <v>73</v>
      </c>
      <c r="M557" s="58" t="s">
        <v>73</v>
      </c>
      <c r="N557" s="58" t="s">
        <v>73</v>
      </c>
      <c r="O557" s="59">
        <f>($C557/$D557)*VLOOKUP($E557,'AWS Platforms Ratios'!$A$2:$O$25,7,FALSE)</f>
        <v>3.886666667</v>
      </c>
      <c r="P557" s="59">
        <f>($C557/$D557)*VLOOKUP($E557,'AWS Platforms Ratios'!$A$2:$O$25,8,FALSE)</f>
        <v>11.09555556</v>
      </c>
      <c r="Q557" s="59">
        <f>($C557/$D557)*VLOOKUP($E557,'AWS Platforms Ratios'!$A$2:$O$25,9,FALSE)</f>
        <v>22.82111111</v>
      </c>
      <c r="R557" s="59">
        <f>($C557/$D557)*VLOOKUP($E557,'AWS Platforms Ratios'!$A$2:$O$25,10,FALSE)</f>
        <v>31.23694444</v>
      </c>
      <c r="S557" s="59">
        <f>$F557*VLOOKUP($E557,'AWS Platforms Ratios'!$A$2:$O$25,11,FALSE)</f>
        <v>6.4</v>
      </c>
      <c r="T557" s="59">
        <f>$F557*VLOOKUP($E557,'AWS Platforms Ratios'!$A$2:$O$25,12,FALSE)</f>
        <v>9.6</v>
      </c>
      <c r="U557" s="59">
        <f>$F557*VLOOKUP($E557,'AWS Platforms Ratios'!$A$2:$O$25,13,FALSE)</f>
        <v>12.8</v>
      </c>
      <c r="V557" s="59">
        <f>$F557*VLOOKUP($E557,'AWS Platforms Ratios'!$A$2:$O$25,14,FALSE)</f>
        <v>19.2</v>
      </c>
      <c r="W557" s="60">
        <f>IF($K557&lt;&gt;"N/A",$M557*(VLOOKUP($L557,'GPU Specs &amp; Ratios'!$B$2:$I$8,5,FALSE)),0)</f>
        <v>0</v>
      </c>
      <c r="X557" s="60">
        <f>IF($K557&lt;&gt;"N/A",$M557*(VLOOKUP($L557,'GPU Specs &amp; Ratios'!$B$2:$I$8,6,FALSE)),0)</f>
        <v>0</v>
      </c>
      <c r="Y557" s="60">
        <f>IF($K557&lt;&gt;"N/A",$M557*(VLOOKUP($L557,'GPU Specs &amp; Ratios'!$B$2:$I$8,7,FALSE)),0)</f>
        <v>0</v>
      </c>
      <c r="Z557" s="60">
        <f>IF($K557&lt;&gt;"N/A",$M557*(VLOOKUP($L557,'GPU Specs &amp; Ratios'!$B$2:$I$8,8,FALSE)),0)</f>
        <v>0</v>
      </c>
      <c r="AA557" s="60">
        <f>(C557/D557)*VLOOKUP($E557,'AWS Platforms Ratios'!$A$2:$O$25,15,FALSE)</f>
        <v>6.444444444</v>
      </c>
      <c r="AB557" s="60">
        <f t="shared" ref="AB557:AE557" si="557">O557+S557+W557+$AA557</f>
        <v>16.73111111</v>
      </c>
      <c r="AC557" s="60">
        <f t="shared" si="557"/>
        <v>27.14</v>
      </c>
      <c r="AD557" s="60">
        <f t="shared" si="557"/>
        <v>42.06555556</v>
      </c>
      <c r="AE557" s="60">
        <f t="shared" si="557"/>
        <v>56.88138889</v>
      </c>
      <c r="AF557" s="60">
        <f>IF(G557&gt;'Scope 3 Ratios'!$B$5,(G557-'Scope 3 Ratios'!$B$5)*('Scope 3 Ratios'!$B$6/'Scope 3 Ratios'!$B$5),0)</f>
        <v>332.856</v>
      </c>
      <c r="AG557" s="60">
        <f>J557*IF(I557="SSD",'Scope 3 Ratios'!$B$9,'Scope 3 Ratios'!$B$8)</f>
        <v>0</v>
      </c>
      <c r="AH557" s="60">
        <f>IF(K557&lt;&gt;"N/A",K557*'Scope 3 Ratios'!$B$10,0)</f>
        <v>0</v>
      </c>
      <c r="AI557" s="60">
        <f>(VLOOKUP($E557,'AWS Platforms Ratios'!$A$2:$O$25,3,FALSE)-1)*'Scope 3 Ratios'!$B$7</f>
        <v>100</v>
      </c>
      <c r="AJ557" s="60">
        <f>'Scope 3 Ratios'!$B$2+AF557+AG557+AH557+AI557</f>
        <v>1432.856</v>
      </c>
      <c r="AK557" s="60">
        <f>AJ557*'Scope 3 Ratios'!$B$4*(C557/D557)</f>
        <v>4.606661523</v>
      </c>
      <c r="AL557" s="61" t="s">
        <v>404</v>
      </c>
    </row>
    <row r="558" ht="15.0" customHeight="1">
      <c r="A558" s="56" t="s">
        <v>884</v>
      </c>
      <c r="B558" s="56" t="s">
        <v>264</v>
      </c>
      <c r="C558" s="56">
        <v>16.0</v>
      </c>
      <c r="D558" s="56">
        <f>VLOOKUP(E558,'AWS Platforms Ratios'!$A$2:$B$25,2,FALSE)</f>
        <v>72</v>
      </c>
      <c r="E558" s="75" t="s">
        <v>269</v>
      </c>
      <c r="F558" s="56">
        <v>64.0</v>
      </c>
      <c r="G558" s="56">
        <v>256.0</v>
      </c>
      <c r="H558" s="57" t="s">
        <v>71</v>
      </c>
      <c r="I558" s="56" t="s">
        <v>72</v>
      </c>
      <c r="J558" s="56">
        <v>0.0</v>
      </c>
      <c r="K558" s="58" t="s">
        <v>73</v>
      </c>
      <c r="L558" s="58" t="s">
        <v>73</v>
      </c>
      <c r="M558" s="58" t="s">
        <v>73</v>
      </c>
      <c r="N558" s="58" t="s">
        <v>73</v>
      </c>
      <c r="O558" s="59">
        <f>($C558/$D558)*VLOOKUP($E558,'AWS Platforms Ratios'!$A$2:$O$25,7,FALSE)</f>
        <v>7.773333333</v>
      </c>
      <c r="P558" s="59">
        <f>($C558/$D558)*VLOOKUP($E558,'AWS Platforms Ratios'!$A$2:$O$25,8,FALSE)</f>
        <v>22.19111111</v>
      </c>
      <c r="Q558" s="59">
        <f>($C558/$D558)*VLOOKUP($E558,'AWS Platforms Ratios'!$A$2:$O$25,9,FALSE)</f>
        <v>45.64222222</v>
      </c>
      <c r="R558" s="59">
        <f>($C558/$D558)*VLOOKUP($E558,'AWS Platforms Ratios'!$A$2:$O$25,10,FALSE)</f>
        <v>62.47388889</v>
      </c>
      <c r="S558" s="59">
        <f>$F558*VLOOKUP($E558,'AWS Platforms Ratios'!$A$2:$O$25,11,FALSE)</f>
        <v>12.8</v>
      </c>
      <c r="T558" s="59">
        <f>$F558*VLOOKUP($E558,'AWS Platforms Ratios'!$A$2:$O$25,12,FALSE)</f>
        <v>19.2</v>
      </c>
      <c r="U558" s="59">
        <f>$F558*VLOOKUP($E558,'AWS Platforms Ratios'!$A$2:$O$25,13,FALSE)</f>
        <v>25.6</v>
      </c>
      <c r="V558" s="59">
        <f>$F558*VLOOKUP($E558,'AWS Platforms Ratios'!$A$2:$O$25,14,FALSE)</f>
        <v>38.4</v>
      </c>
      <c r="W558" s="60">
        <f>IF($K558&lt;&gt;"N/A",$M558*(VLOOKUP($L558,'GPU Specs &amp; Ratios'!$B$2:$I$8,5,FALSE)),0)</f>
        <v>0</v>
      </c>
      <c r="X558" s="60">
        <f>IF($K558&lt;&gt;"N/A",$M558*(VLOOKUP($L558,'GPU Specs &amp; Ratios'!$B$2:$I$8,6,FALSE)),0)</f>
        <v>0</v>
      </c>
      <c r="Y558" s="60">
        <f>IF($K558&lt;&gt;"N/A",$M558*(VLOOKUP($L558,'GPU Specs &amp; Ratios'!$B$2:$I$8,7,FALSE)),0)</f>
        <v>0</v>
      </c>
      <c r="Z558" s="60">
        <f>IF($K558&lt;&gt;"N/A",$M558*(VLOOKUP($L558,'GPU Specs &amp; Ratios'!$B$2:$I$8,8,FALSE)),0)</f>
        <v>0</v>
      </c>
      <c r="AA558" s="60">
        <f>(C558/D558)*VLOOKUP($E558,'AWS Platforms Ratios'!$A$2:$O$25,15,FALSE)</f>
        <v>12.88888889</v>
      </c>
      <c r="AB558" s="60">
        <f t="shared" ref="AB558:AE558" si="558">O558+S558+W558+$AA558</f>
        <v>33.46222222</v>
      </c>
      <c r="AC558" s="60">
        <f t="shared" si="558"/>
        <v>54.28</v>
      </c>
      <c r="AD558" s="60">
        <f t="shared" si="558"/>
        <v>84.13111111</v>
      </c>
      <c r="AE558" s="60">
        <f t="shared" si="558"/>
        <v>113.7627778</v>
      </c>
      <c r="AF558" s="60">
        <f>IF(G558&gt;'Scope 3 Ratios'!$B$5,(G558-'Scope 3 Ratios'!$B$5)*('Scope 3 Ratios'!$B$6/'Scope 3 Ratios'!$B$5),0)</f>
        <v>332.856</v>
      </c>
      <c r="AG558" s="60">
        <f>J558*IF(I558="SSD",'Scope 3 Ratios'!$B$9,'Scope 3 Ratios'!$B$8)</f>
        <v>0</v>
      </c>
      <c r="AH558" s="60">
        <f>IF(K558&lt;&gt;"N/A",K558*'Scope 3 Ratios'!$B$10,0)</f>
        <v>0</v>
      </c>
      <c r="AI558" s="60">
        <f>(VLOOKUP($E558,'AWS Platforms Ratios'!$A$2:$O$25,3,FALSE)-1)*'Scope 3 Ratios'!$B$7</f>
        <v>100</v>
      </c>
      <c r="AJ558" s="60">
        <f>'Scope 3 Ratios'!$B$2+AF558+AG558+AH558+AI558</f>
        <v>1432.856</v>
      </c>
      <c r="AK558" s="60">
        <f>AJ558*'Scope 3 Ratios'!$B$4*(C558/D558)</f>
        <v>9.213323045</v>
      </c>
      <c r="AL558" s="61" t="s">
        <v>404</v>
      </c>
    </row>
    <row r="559" ht="15.0" customHeight="1">
      <c r="A559" s="56" t="s">
        <v>885</v>
      </c>
      <c r="B559" s="56" t="s">
        <v>264</v>
      </c>
      <c r="C559" s="56">
        <v>40.0</v>
      </c>
      <c r="D559" s="56">
        <f>VLOOKUP(E559,'AWS Platforms Ratios'!$A$2:$B$25,2,FALSE)</f>
        <v>48</v>
      </c>
      <c r="E559" s="57" t="s">
        <v>225</v>
      </c>
      <c r="F559" s="56">
        <v>160.0</v>
      </c>
      <c r="G559" s="56">
        <v>256.0</v>
      </c>
      <c r="H559" s="57" t="s">
        <v>71</v>
      </c>
      <c r="I559" s="56" t="s">
        <v>72</v>
      </c>
      <c r="J559" s="56">
        <v>0.0</v>
      </c>
      <c r="K559" s="58" t="s">
        <v>73</v>
      </c>
      <c r="L559" s="58" t="s">
        <v>73</v>
      </c>
      <c r="M559" s="58" t="s">
        <v>73</v>
      </c>
      <c r="N559" s="58" t="s">
        <v>73</v>
      </c>
      <c r="O559" s="59">
        <f>($C559/$D559)*VLOOKUP($E559,'AWS Platforms Ratios'!$A$2:$O$25,7,FALSE)</f>
        <v>24.12413793</v>
      </c>
      <c r="P559" s="59">
        <f>($C559/$D559)*VLOOKUP($E559,'AWS Platforms Ratios'!$A$2:$O$25,8,FALSE)</f>
        <v>68.86896552</v>
      </c>
      <c r="Q559" s="59">
        <f>($C559/$D559)*VLOOKUP($E559,'AWS Platforms Ratios'!$A$2:$O$25,9,FALSE)</f>
        <v>141.6482759</v>
      </c>
      <c r="R559" s="59">
        <f>($C559/$D559)*VLOOKUP($E559,'AWS Platforms Ratios'!$A$2:$O$25,10,FALSE)</f>
        <v>193.8844828</v>
      </c>
      <c r="S559" s="59">
        <f>$F559*VLOOKUP($E559,'AWS Platforms Ratios'!$A$2:$O$25,11,FALSE)</f>
        <v>32</v>
      </c>
      <c r="T559" s="59">
        <f>$F559*VLOOKUP($E559,'AWS Platforms Ratios'!$A$2:$O$25,12,FALSE)</f>
        <v>48</v>
      </c>
      <c r="U559" s="59">
        <f>$F559*VLOOKUP($E559,'AWS Platforms Ratios'!$A$2:$O$25,13,FALSE)</f>
        <v>64</v>
      </c>
      <c r="V559" s="59">
        <f>$F559*VLOOKUP($E559,'AWS Platforms Ratios'!$A$2:$O$25,14,FALSE)</f>
        <v>96</v>
      </c>
      <c r="W559" s="60">
        <f>IF($K559&lt;&gt;"N/A",$M559*(VLOOKUP($L559,'GPU Specs &amp; Ratios'!$B$2:$I$8,5,FALSE)),0)</f>
        <v>0</v>
      </c>
      <c r="X559" s="60">
        <f>IF($K559&lt;&gt;"N/A",$M559*(VLOOKUP($L559,'GPU Specs &amp; Ratios'!$B$2:$I$8,6,FALSE)),0)</f>
        <v>0</v>
      </c>
      <c r="Y559" s="60">
        <f>IF($K559&lt;&gt;"N/A",$M559*(VLOOKUP($L559,'GPU Specs &amp; Ratios'!$B$2:$I$8,7,FALSE)),0)</f>
        <v>0</v>
      </c>
      <c r="Z559" s="60">
        <f>IF($K559&lt;&gt;"N/A",$M559*(VLOOKUP($L559,'GPU Specs &amp; Ratios'!$B$2:$I$8,8,FALSE)),0)</f>
        <v>0</v>
      </c>
      <c r="AA559" s="60">
        <f>(C559/D559)*VLOOKUP($E559,'AWS Platforms Ratios'!$A$2:$O$25,15,FALSE)</f>
        <v>40</v>
      </c>
      <c r="AB559" s="60">
        <f t="shared" ref="AB559:AE559" si="559">O559+S559+W559+$AA559</f>
        <v>96.12413793</v>
      </c>
      <c r="AC559" s="60">
        <f t="shared" si="559"/>
        <v>156.8689655</v>
      </c>
      <c r="AD559" s="60">
        <f t="shared" si="559"/>
        <v>245.6482759</v>
      </c>
      <c r="AE559" s="60">
        <f t="shared" si="559"/>
        <v>329.8844828</v>
      </c>
      <c r="AF559" s="60">
        <f>IF(G559&gt;'Scope 3 Ratios'!$B$5,(G559-'Scope 3 Ratios'!$B$5)*('Scope 3 Ratios'!$B$6/'Scope 3 Ratios'!$B$5),0)</f>
        <v>332.856</v>
      </c>
      <c r="AG559" s="60">
        <f>J559*IF(I559="SSD",'Scope 3 Ratios'!$B$9,'Scope 3 Ratios'!$B$8)</f>
        <v>0</v>
      </c>
      <c r="AH559" s="60">
        <f>IF(K559&lt;&gt;"N/A",K559*'Scope 3 Ratios'!$B$10,0)</f>
        <v>0</v>
      </c>
      <c r="AI559" s="60">
        <f>(VLOOKUP($E559,'AWS Platforms Ratios'!$A$2:$O$25,3,FALSE)-1)*'Scope 3 Ratios'!$B$7</f>
        <v>100</v>
      </c>
      <c r="AJ559" s="60">
        <f>'Scope 3 Ratios'!$B$2+AF559+AG559+AH559+AI559</f>
        <v>1432.856</v>
      </c>
      <c r="AK559" s="60">
        <f>AJ559*'Scope 3 Ratios'!$B$4*(C559/D559)</f>
        <v>34.54996142</v>
      </c>
      <c r="AL559" s="61" t="s">
        <v>404</v>
      </c>
    </row>
    <row r="560" ht="15.0" customHeight="1">
      <c r="A560" s="56" t="s">
        <v>886</v>
      </c>
      <c r="B560" s="56" t="s">
        <v>410</v>
      </c>
      <c r="C560" s="56">
        <v>64.0</v>
      </c>
      <c r="D560" s="56">
        <f>VLOOKUP(E560,'AWS Platforms Ratios'!$A$2:$B$25,2,FALSE)</f>
        <v>72</v>
      </c>
      <c r="E560" s="57" t="s">
        <v>269</v>
      </c>
      <c r="F560" s="56">
        <v>256.0</v>
      </c>
      <c r="G560" s="56">
        <v>256.0</v>
      </c>
      <c r="H560" s="57" t="s">
        <v>71</v>
      </c>
      <c r="I560" s="56" t="s">
        <v>72</v>
      </c>
      <c r="J560" s="56">
        <v>0.0</v>
      </c>
      <c r="K560" s="58" t="s">
        <v>73</v>
      </c>
      <c r="L560" s="58" t="s">
        <v>73</v>
      </c>
      <c r="M560" s="58" t="s">
        <v>73</v>
      </c>
      <c r="N560" s="58" t="s">
        <v>73</v>
      </c>
      <c r="O560" s="59">
        <f>($C560/$D560)*VLOOKUP($E560,'AWS Platforms Ratios'!$A$2:$O$25,7,FALSE)</f>
        <v>31.09333333</v>
      </c>
      <c r="P560" s="59">
        <f>($C560/$D560)*VLOOKUP($E560,'AWS Platforms Ratios'!$A$2:$O$25,8,FALSE)</f>
        <v>88.76444444</v>
      </c>
      <c r="Q560" s="59">
        <f>($C560/$D560)*VLOOKUP($E560,'AWS Platforms Ratios'!$A$2:$O$25,9,FALSE)</f>
        <v>182.5688889</v>
      </c>
      <c r="R560" s="59">
        <f>($C560/$D560)*VLOOKUP($E560,'AWS Platforms Ratios'!$A$2:$O$25,10,FALSE)</f>
        <v>249.8955556</v>
      </c>
      <c r="S560" s="59">
        <f>$F560*VLOOKUP($E560,'AWS Platforms Ratios'!$A$2:$O$25,11,FALSE)</f>
        <v>51.2</v>
      </c>
      <c r="T560" s="59">
        <f>$F560*VLOOKUP($E560,'AWS Platforms Ratios'!$A$2:$O$25,12,FALSE)</f>
        <v>76.8</v>
      </c>
      <c r="U560" s="59">
        <f>$F560*VLOOKUP($E560,'AWS Platforms Ratios'!$A$2:$O$25,13,FALSE)</f>
        <v>102.4</v>
      </c>
      <c r="V560" s="59">
        <f>$F560*VLOOKUP($E560,'AWS Platforms Ratios'!$A$2:$O$25,14,FALSE)</f>
        <v>153.6</v>
      </c>
      <c r="W560" s="60">
        <f>IF($K560&lt;&gt;"N/A",$M560*(VLOOKUP($L560,'GPU Specs &amp; Ratios'!$B$2:$I$8,5,FALSE)),0)</f>
        <v>0</v>
      </c>
      <c r="X560" s="60">
        <f>IF($K560&lt;&gt;"N/A",$M560*(VLOOKUP($L560,'GPU Specs &amp; Ratios'!$B$2:$I$8,6,FALSE)),0)</f>
        <v>0</v>
      </c>
      <c r="Y560" s="60">
        <f>IF($K560&lt;&gt;"N/A",$M560*(VLOOKUP($L560,'GPU Specs &amp; Ratios'!$B$2:$I$8,7,FALSE)),0)</f>
        <v>0</v>
      </c>
      <c r="Z560" s="60">
        <f>IF($K560&lt;&gt;"N/A",$M560*(VLOOKUP($L560,'GPU Specs &amp; Ratios'!$B$2:$I$8,8,FALSE)),0)</f>
        <v>0</v>
      </c>
      <c r="AA560" s="60">
        <f>(C560/D560)*VLOOKUP($E560,'AWS Platforms Ratios'!$A$2:$O$25,15,FALSE)</f>
        <v>51.55555556</v>
      </c>
      <c r="AB560" s="60">
        <f t="shared" ref="AB560:AE560" si="560">O560+S560+W560+$AA560</f>
        <v>133.8488889</v>
      </c>
      <c r="AC560" s="60">
        <f t="shared" si="560"/>
        <v>217.12</v>
      </c>
      <c r="AD560" s="60">
        <f t="shared" si="560"/>
        <v>336.5244444</v>
      </c>
      <c r="AE560" s="60">
        <f t="shared" si="560"/>
        <v>455.0511111</v>
      </c>
      <c r="AF560" s="60">
        <f>IF(G560&gt;'Scope 3 Ratios'!$B$5,(G560-'Scope 3 Ratios'!$B$5)*('Scope 3 Ratios'!$B$6/'Scope 3 Ratios'!$B$5),0)</f>
        <v>332.856</v>
      </c>
      <c r="AG560" s="60">
        <f>J560*IF(I560="SSD",'Scope 3 Ratios'!$B$9,'Scope 3 Ratios'!$B$8)</f>
        <v>0</v>
      </c>
      <c r="AH560" s="60">
        <f>IF(K560&lt;&gt;"N/A",K560*'Scope 3 Ratios'!$B$10,0)</f>
        <v>0</v>
      </c>
      <c r="AI560" s="60">
        <f>(VLOOKUP($E560,'AWS Platforms Ratios'!$A$2:$O$25,3,FALSE)-1)*'Scope 3 Ratios'!$B$7</f>
        <v>100</v>
      </c>
      <c r="AJ560" s="60">
        <f>'Scope 3 Ratios'!$B$2+AF560+AG560+AH560+AI560</f>
        <v>1432.856</v>
      </c>
      <c r="AK560" s="60">
        <f>AJ560*'Scope 3 Ratios'!$B$4*(C560/D560)</f>
        <v>36.85329218</v>
      </c>
      <c r="AL560" s="61" t="s">
        <v>404</v>
      </c>
    </row>
    <row r="561" ht="15.0" customHeight="1">
      <c r="A561" s="56" t="s">
        <v>887</v>
      </c>
      <c r="B561" s="56" t="s">
        <v>395</v>
      </c>
      <c r="C561" s="56">
        <v>1.0</v>
      </c>
      <c r="D561" s="56">
        <f>VLOOKUP(E561,'AWS Platforms Ratios'!$A$2:$B$25,2,FALSE)</f>
        <v>32</v>
      </c>
      <c r="E561" s="57" t="s">
        <v>90</v>
      </c>
      <c r="F561" s="56">
        <v>3.75</v>
      </c>
      <c r="G561" s="56">
        <v>240.0</v>
      </c>
      <c r="H561" s="57" t="s">
        <v>71</v>
      </c>
      <c r="I561" s="56" t="s">
        <v>72</v>
      </c>
      <c r="J561" s="56">
        <v>0.0</v>
      </c>
      <c r="K561" s="58" t="s">
        <v>73</v>
      </c>
      <c r="L561" s="58" t="s">
        <v>73</v>
      </c>
      <c r="M561" s="58" t="s">
        <v>73</v>
      </c>
      <c r="N561" s="58" t="s">
        <v>73</v>
      </c>
      <c r="O561" s="59">
        <f>($C561/$D561)*VLOOKUP($E561,'AWS Platforms Ratios'!$A$2:$O$25,7,FALSE)</f>
        <v>0.8669612069</v>
      </c>
      <c r="P561" s="59">
        <f>($C561/$D561)*VLOOKUP($E561,'AWS Platforms Ratios'!$A$2:$O$25,8,FALSE)</f>
        <v>2.474978448</v>
      </c>
      <c r="Q561" s="59">
        <f>($C561/$D561)*VLOOKUP($E561,'AWS Platforms Ratios'!$A$2:$O$25,9,FALSE)</f>
        <v>5.090484914</v>
      </c>
      <c r="R561" s="59">
        <f>($C561/$D561)*VLOOKUP($E561,'AWS Platforms Ratios'!$A$2:$O$25,10,FALSE)</f>
        <v>6.967723599</v>
      </c>
      <c r="S561" s="59">
        <f>$F561*VLOOKUP($E561,'AWS Platforms Ratios'!$A$2:$O$25,11,FALSE)</f>
        <v>0.75</v>
      </c>
      <c r="T561" s="59">
        <f>$F561*VLOOKUP($E561,'AWS Platforms Ratios'!$A$2:$O$25,12,FALSE)</f>
        <v>1.125</v>
      </c>
      <c r="U561" s="59">
        <f>$F561*VLOOKUP($E561,'AWS Platforms Ratios'!$A$2:$O$25,13,FALSE)</f>
        <v>1.5</v>
      </c>
      <c r="V561" s="59">
        <f>$F561*VLOOKUP($E561,'AWS Platforms Ratios'!$A$2:$O$25,14,FALSE)</f>
        <v>2.25</v>
      </c>
      <c r="W561" s="60">
        <f>IF($K561&lt;&gt;"N/A",$M561*(VLOOKUP($L561,'GPU Specs &amp; Ratios'!$B$2:$I$8,5,FALSE)),0)</f>
        <v>0</v>
      </c>
      <c r="X561" s="60">
        <f>IF($K561&lt;&gt;"N/A",$M561*(VLOOKUP($L561,'GPU Specs &amp; Ratios'!$B$2:$I$8,6,FALSE)),0)</f>
        <v>0</v>
      </c>
      <c r="Y561" s="60">
        <f>IF($K561&lt;&gt;"N/A",$M561*(VLOOKUP($L561,'GPU Specs &amp; Ratios'!$B$2:$I$8,7,FALSE)),0)</f>
        <v>0</v>
      </c>
      <c r="Z561" s="60">
        <f>IF($K561&lt;&gt;"N/A",$M561*(VLOOKUP($L561,'GPU Specs &amp; Ratios'!$B$2:$I$8,8,FALSE)),0)</f>
        <v>0</v>
      </c>
      <c r="AA561" s="60">
        <f>(C561/D561)*VLOOKUP($E561,'AWS Platforms Ratios'!$A$2:$O$25,15,FALSE)</f>
        <v>1.4375</v>
      </c>
      <c r="AB561" s="60">
        <f t="shared" ref="AB561:AE561" si="561">O561+S561+W561+$AA561</f>
        <v>3.054461207</v>
      </c>
      <c r="AC561" s="60">
        <f t="shared" si="561"/>
        <v>5.037478448</v>
      </c>
      <c r="AD561" s="60">
        <f t="shared" si="561"/>
        <v>8.027984914</v>
      </c>
      <c r="AE561" s="60">
        <f t="shared" si="561"/>
        <v>10.6552236</v>
      </c>
      <c r="AF561" s="60">
        <f>IF(G561&gt;'Scope 3 Ratios'!$B$5,(G561-'Scope 3 Ratios'!$B$5)*('Scope 3 Ratios'!$B$6/'Scope 3 Ratios'!$B$5),0)</f>
        <v>310.6656</v>
      </c>
      <c r="AG561" s="60">
        <f>J561*IF(I561="SSD",'Scope 3 Ratios'!$B$9,'Scope 3 Ratios'!$B$8)</f>
        <v>0</v>
      </c>
      <c r="AH561" s="60">
        <f>IF(K561&lt;&gt;"N/A",K561*'Scope 3 Ratios'!$B$10,0)</f>
        <v>0</v>
      </c>
      <c r="AI561" s="60">
        <f>(VLOOKUP($E561,'AWS Platforms Ratios'!$A$2:$O$25,3,FALSE)-1)*'Scope 3 Ratios'!$B$7</f>
        <v>100</v>
      </c>
      <c r="AJ561" s="60">
        <f>'Scope 3 Ratios'!$B$2+AF561+AG561+AH561+AI561</f>
        <v>1410.6656</v>
      </c>
      <c r="AK561" s="60">
        <f>AJ561*'Scope 3 Ratios'!$B$4*(C561/D561)</f>
        <v>1.275558449</v>
      </c>
      <c r="AL561" s="61" t="s">
        <v>397</v>
      </c>
    </row>
    <row r="562" ht="15.0" customHeight="1">
      <c r="A562" s="56" t="s">
        <v>888</v>
      </c>
      <c r="B562" s="56" t="s">
        <v>395</v>
      </c>
      <c r="C562" s="56">
        <v>2.0</v>
      </c>
      <c r="D562" s="56">
        <f>VLOOKUP(E562,'AWS Platforms Ratios'!$A$2:$B$25,2,FALSE)</f>
        <v>32</v>
      </c>
      <c r="E562" s="57" t="s">
        <v>90</v>
      </c>
      <c r="F562" s="56">
        <v>7.5</v>
      </c>
      <c r="G562" s="56">
        <v>240.0</v>
      </c>
      <c r="H562" s="57" t="s">
        <v>71</v>
      </c>
      <c r="I562" s="56" t="s">
        <v>72</v>
      </c>
      <c r="J562" s="56">
        <v>0.0</v>
      </c>
      <c r="K562" s="58" t="s">
        <v>73</v>
      </c>
      <c r="L562" s="58" t="s">
        <v>73</v>
      </c>
      <c r="M562" s="58" t="s">
        <v>73</v>
      </c>
      <c r="N562" s="58" t="s">
        <v>73</v>
      </c>
      <c r="O562" s="59">
        <f>($C562/$D562)*VLOOKUP($E562,'AWS Platforms Ratios'!$A$2:$O$25,7,FALSE)</f>
        <v>1.733922414</v>
      </c>
      <c r="P562" s="59">
        <f>($C562/$D562)*VLOOKUP($E562,'AWS Platforms Ratios'!$A$2:$O$25,8,FALSE)</f>
        <v>4.949956897</v>
      </c>
      <c r="Q562" s="59">
        <f>($C562/$D562)*VLOOKUP($E562,'AWS Platforms Ratios'!$A$2:$O$25,9,FALSE)</f>
        <v>10.18096983</v>
      </c>
      <c r="R562" s="59">
        <f>($C562/$D562)*VLOOKUP($E562,'AWS Platforms Ratios'!$A$2:$O$25,10,FALSE)</f>
        <v>13.9354472</v>
      </c>
      <c r="S562" s="59">
        <f>$F562*VLOOKUP($E562,'AWS Platforms Ratios'!$A$2:$O$25,11,FALSE)</f>
        <v>1.5</v>
      </c>
      <c r="T562" s="59">
        <f>$F562*VLOOKUP($E562,'AWS Platforms Ratios'!$A$2:$O$25,12,FALSE)</f>
        <v>2.25</v>
      </c>
      <c r="U562" s="59">
        <f>$F562*VLOOKUP($E562,'AWS Platforms Ratios'!$A$2:$O$25,13,FALSE)</f>
        <v>3</v>
      </c>
      <c r="V562" s="59">
        <f>$F562*VLOOKUP($E562,'AWS Platforms Ratios'!$A$2:$O$25,14,FALSE)</f>
        <v>4.5</v>
      </c>
      <c r="W562" s="60">
        <f>IF($K562&lt;&gt;"N/A",$M562*(VLOOKUP($L562,'GPU Specs &amp; Ratios'!$B$2:$I$8,5,FALSE)),0)</f>
        <v>0</v>
      </c>
      <c r="X562" s="60">
        <f>IF($K562&lt;&gt;"N/A",$M562*(VLOOKUP($L562,'GPU Specs &amp; Ratios'!$B$2:$I$8,6,FALSE)),0)</f>
        <v>0</v>
      </c>
      <c r="Y562" s="60">
        <f>IF($K562&lt;&gt;"N/A",$M562*(VLOOKUP($L562,'GPU Specs &amp; Ratios'!$B$2:$I$8,7,FALSE)),0)</f>
        <v>0</v>
      </c>
      <c r="Z562" s="60">
        <f>IF($K562&lt;&gt;"N/A",$M562*(VLOOKUP($L562,'GPU Specs &amp; Ratios'!$B$2:$I$8,8,FALSE)),0)</f>
        <v>0</v>
      </c>
      <c r="AA562" s="60">
        <f>(C562/D562)*VLOOKUP($E562,'AWS Platforms Ratios'!$A$2:$O$25,15,FALSE)</f>
        <v>2.875</v>
      </c>
      <c r="AB562" s="60">
        <f t="shared" ref="AB562:AE562" si="562">O562+S562+W562+$AA562</f>
        <v>6.108922414</v>
      </c>
      <c r="AC562" s="60">
        <f t="shared" si="562"/>
        <v>10.0749569</v>
      </c>
      <c r="AD562" s="60">
        <f t="shared" si="562"/>
        <v>16.05596983</v>
      </c>
      <c r="AE562" s="60">
        <f t="shared" si="562"/>
        <v>21.3104472</v>
      </c>
      <c r="AF562" s="60">
        <f>IF(G562&gt;'Scope 3 Ratios'!$B$5,(G562-'Scope 3 Ratios'!$B$5)*('Scope 3 Ratios'!$B$6/'Scope 3 Ratios'!$B$5),0)</f>
        <v>310.6656</v>
      </c>
      <c r="AG562" s="60">
        <f>J562*IF(I562="SSD",'Scope 3 Ratios'!$B$9,'Scope 3 Ratios'!$B$8)</f>
        <v>0</v>
      </c>
      <c r="AH562" s="60">
        <f>IF(K562&lt;&gt;"N/A",K562*'Scope 3 Ratios'!$B$10,0)</f>
        <v>0</v>
      </c>
      <c r="AI562" s="60">
        <f>(VLOOKUP($E562,'AWS Platforms Ratios'!$A$2:$O$25,3,FALSE)-1)*'Scope 3 Ratios'!$B$7</f>
        <v>100</v>
      </c>
      <c r="AJ562" s="60">
        <f>'Scope 3 Ratios'!$B$2+AF562+AG562+AH562+AI562</f>
        <v>1410.6656</v>
      </c>
      <c r="AK562" s="60">
        <f>AJ562*'Scope 3 Ratios'!$B$4*(C562/D562)</f>
        <v>2.551116898</v>
      </c>
      <c r="AL562" s="61" t="s">
        <v>397</v>
      </c>
    </row>
    <row r="563" ht="15.0" customHeight="1">
      <c r="A563" s="56" t="s">
        <v>889</v>
      </c>
      <c r="B563" s="56" t="s">
        <v>401</v>
      </c>
      <c r="C563" s="56">
        <v>4.0</v>
      </c>
      <c r="D563" s="56">
        <f>VLOOKUP(E563,'AWS Platforms Ratios'!$A$2:$B$25,2,FALSE)</f>
        <v>32</v>
      </c>
      <c r="E563" s="57" t="s">
        <v>90</v>
      </c>
      <c r="F563" s="56">
        <v>15.0</v>
      </c>
      <c r="G563" s="56">
        <v>240.0</v>
      </c>
      <c r="H563" s="57" t="s">
        <v>71</v>
      </c>
      <c r="I563" s="56" t="s">
        <v>72</v>
      </c>
      <c r="J563" s="56">
        <v>0.0</v>
      </c>
      <c r="K563" s="58" t="s">
        <v>73</v>
      </c>
      <c r="L563" s="58" t="s">
        <v>73</v>
      </c>
      <c r="M563" s="58" t="s">
        <v>73</v>
      </c>
      <c r="N563" s="58" t="s">
        <v>73</v>
      </c>
      <c r="O563" s="59">
        <f>($C563/$D563)*VLOOKUP($E563,'AWS Platforms Ratios'!$A$2:$O$25,7,FALSE)</f>
        <v>3.467844828</v>
      </c>
      <c r="P563" s="59">
        <f>($C563/$D563)*VLOOKUP($E563,'AWS Platforms Ratios'!$A$2:$O$25,8,FALSE)</f>
        <v>9.899913793</v>
      </c>
      <c r="Q563" s="59">
        <f>($C563/$D563)*VLOOKUP($E563,'AWS Platforms Ratios'!$A$2:$O$25,9,FALSE)</f>
        <v>20.36193966</v>
      </c>
      <c r="R563" s="59">
        <f>($C563/$D563)*VLOOKUP($E563,'AWS Platforms Ratios'!$A$2:$O$25,10,FALSE)</f>
        <v>27.8708944</v>
      </c>
      <c r="S563" s="59">
        <f>$F563*VLOOKUP($E563,'AWS Platforms Ratios'!$A$2:$O$25,11,FALSE)</f>
        <v>3</v>
      </c>
      <c r="T563" s="59">
        <f>$F563*VLOOKUP($E563,'AWS Platforms Ratios'!$A$2:$O$25,12,FALSE)</f>
        <v>4.5</v>
      </c>
      <c r="U563" s="59">
        <f>$F563*VLOOKUP($E563,'AWS Platforms Ratios'!$A$2:$O$25,13,FALSE)</f>
        <v>6</v>
      </c>
      <c r="V563" s="59">
        <f>$F563*VLOOKUP($E563,'AWS Platforms Ratios'!$A$2:$O$25,14,FALSE)</f>
        <v>9</v>
      </c>
      <c r="W563" s="60">
        <f>IF($K563&lt;&gt;"N/A",$M563*(VLOOKUP($L563,'GPU Specs &amp; Ratios'!$B$2:$I$8,5,FALSE)),0)</f>
        <v>0</v>
      </c>
      <c r="X563" s="60">
        <f>IF($K563&lt;&gt;"N/A",$M563*(VLOOKUP($L563,'GPU Specs &amp; Ratios'!$B$2:$I$8,6,FALSE)),0)</f>
        <v>0</v>
      </c>
      <c r="Y563" s="60">
        <f>IF($K563&lt;&gt;"N/A",$M563*(VLOOKUP($L563,'GPU Specs &amp; Ratios'!$B$2:$I$8,7,FALSE)),0)</f>
        <v>0</v>
      </c>
      <c r="Z563" s="60">
        <f>IF($K563&lt;&gt;"N/A",$M563*(VLOOKUP($L563,'GPU Specs &amp; Ratios'!$B$2:$I$8,8,FALSE)),0)</f>
        <v>0</v>
      </c>
      <c r="AA563" s="60">
        <f>(C563/D563)*VLOOKUP($E563,'AWS Platforms Ratios'!$A$2:$O$25,15,FALSE)</f>
        <v>5.75</v>
      </c>
      <c r="AB563" s="60">
        <f t="shared" ref="AB563:AE563" si="563">O563+S563+W563+$AA563</f>
        <v>12.21784483</v>
      </c>
      <c r="AC563" s="60">
        <f t="shared" si="563"/>
        <v>20.14991379</v>
      </c>
      <c r="AD563" s="60">
        <f t="shared" si="563"/>
        <v>32.11193966</v>
      </c>
      <c r="AE563" s="60">
        <f t="shared" si="563"/>
        <v>42.6208944</v>
      </c>
      <c r="AF563" s="60">
        <f>IF(G563&gt;'Scope 3 Ratios'!$B$5,(G563-'Scope 3 Ratios'!$B$5)*('Scope 3 Ratios'!$B$6/'Scope 3 Ratios'!$B$5),0)</f>
        <v>310.6656</v>
      </c>
      <c r="AG563" s="60">
        <f>J563*IF(I563="SSD",'Scope 3 Ratios'!$B$9,'Scope 3 Ratios'!$B$8)</f>
        <v>0</v>
      </c>
      <c r="AH563" s="60">
        <f>IF(K563&lt;&gt;"N/A",K563*'Scope 3 Ratios'!$B$10,0)</f>
        <v>0</v>
      </c>
      <c r="AI563" s="60">
        <f>(VLOOKUP($E563,'AWS Platforms Ratios'!$A$2:$O$25,3,FALSE)-1)*'Scope 3 Ratios'!$B$7</f>
        <v>100</v>
      </c>
      <c r="AJ563" s="60">
        <f>'Scope 3 Ratios'!$B$2+AF563+AG563+AH563+AI563</f>
        <v>1410.6656</v>
      </c>
      <c r="AK563" s="60">
        <f>AJ563*'Scope 3 Ratios'!$B$4*(C563/D563)</f>
        <v>5.102233796</v>
      </c>
      <c r="AL563" s="61" t="s">
        <v>397</v>
      </c>
    </row>
    <row r="564" ht="15.0" customHeight="1">
      <c r="A564" s="56" t="s">
        <v>890</v>
      </c>
      <c r="B564" s="56" t="s">
        <v>401</v>
      </c>
      <c r="C564" s="56">
        <v>8.0</v>
      </c>
      <c r="D564" s="56">
        <f>VLOOKUP(E564,'AWS Platforms Ratios'!$A$2:$B$25,2,FALSE)</f>
        <v>32</v>
      </c>
      <c r="E564" s="57" t="s">
        <v>90</v>
      </c>
      <c r="F564" s="56">
        <v>30.0</v>
      </c>
      <c r="G564" s="56">
        <v>240.0</v>
      </c>
      <c r="H564" s="57" t="s">
        <v>71</v>
      </c>
      <c r="I564" s="56" t="s">
        <v>72</v>
      </c>
      <c r="J564" s="56">
        <v>0.0</v>
      </c>
      <c r="K564" s="58" t="s">
        <v>73</v>
      </c>
      <c r="L564" s="58" t="s">
        <v>73</v>
      </c>
      <c r="M564" s="58" t="s">
        <v>73</v>
      </c>
      <c r="N564" s="58" t="s">
        <v>73</v>
      </c>
      <c r="O564" s="59">
        <f>($C564/$D564)*VLOOKUP($E564,'AWS Platforms Ratios'!$A$2:$O$25,7,FALSE)</f>
        <v>6.935689655</v>
      </c>
      <c r="P564" s="59">
        <f>($C564/$D564)*VLOOKUP($E564,'AWS Platforms Ratios'!$A$2:$O$25,8,FALSE)</f>
        <v>19.79982759</v>
      </c>
      <c r="Q564" s="59">
        <f>($C564/$D564)*VLOOKUP($E564,'AWS Platforms Ratios'!$A$2:$O$25,9,FALSE)</f>
        <v>40.72387931</v>
      </c>
      <c r="R564" s="59">
        <f>($C564/$D564)*VLOOKUP($E564,'AWS Platforms Ratios'!$A$2:$O$25,10,FALSE)</f>
        <v>55.74178879</v>
      </c>
      <c r="S564" s="59">
        <f>$F564*VLOOKUP($E564,'AWS Platforms Ratios'!$A$2:$O$25,11,FALSE)</f>
        <v>6</v>
      </c>
      <c r="T564" s="59">
        <f>$F564*VLOOKUP($E564,'AWS Platforms Ratios'!$A$2:$O$25,12,FALSE)</f>
        <v>9</v>
      </c>
      <c r="U564" s="59">
        <f>$F564*VLOOKUP($E564,'AWS Platforms Ratios'!$A$2:$O$25,13,FALSE)</f>
        <v>12</v>
      </c>
      <c r="V564" s="59">
        <f>$F564*VLOOKUP($E564,'AWS Platforms Ratios'!$A$2:$O$25,14,FALSE)</f>
        <v>18</v>
      </c>
      <c r="W564" s="60">
        <f>IF($K564&lt;&gt;"N/A",$M564*(VLOOKUP($L564,'GPU Specs &amp; Ratios'!$B$2:$I$8,5,FALSE)),0)</f>
        <v>0</v>
      </c>
      <c r="X564" s="60">
        <f>IF($K564&lt;&gt;"N/A",$M564*(VLOOKUP($L564,'GPU Specs &amp; Ratios'!$B$2:$I$8,6,FALSE)),0)</f>
        <v>0</v>
      </c>
      <c r="Y564" s="60">
        <f>IF($K564&lt;&gt;"N/A",$M564*(VLOOKUP($L564,'GPU Specs &amp; Ratios'!$B$2:$I$8,7,FALSE)),0)</f>
        <v>0</v>
      </c>
      <c r="Z564" s="60">
        <f>IF($K564&lt;&gt;"N/A",$M564*(VLOOKUP($L564,'GPU Specs &amp; Ratios'!$B$2:$I$8,8,FALSE)),0)</f>
        <v>0</v>
      </c>
      <c r="AA564" s="60">
        <f>(C564/D564)*VLOOKUP($E564,'AWS Platforms Ratios'!$A$2:$O$25,15,FALSE)</f>
        <v>11.5</v>
      </c>
      <c r="AB564" s="60">
        <f t="shared" ref="AB564:AE564" si="564">O564+S564+W564+$AA564</f>
        <v>24.43568966</v>
      </c>
      <c r="AC564" s="60">
        <f t="shared" si="564"/>
        <v>40.29982759</v>
      </c>
      <c r="AD564" s="60">
        <f t="shared" si="564"/>
        <v>64.22387931</v>
      </c>
      <c r="AE564" s="60">
        <f t="shared" si="564"/>
        <v>85.24178879</v>
      </c>
      <c r="AF564" s="60">
        <f>IF(G564&gt;'Scope 3 Ratios'!$B$5,(G564-'Scope 3 Ratios'!$B$5)*('Scope 3 Ratios'!$B$6/'Scope 3 Ratios'!$B$5),0)</f>
        <v>310.6656</v>
      </c>
      <c r="AG564" s="60">
        <f>J564*IF(I564="SSD",'Scope 3 Ratios'!$B$9,'Scope 3 Ratios'!$B$8)</f>
        <v>0</v>
      </c>
      <c r="AH564" s="60">
        <f>IF(K564&lt;&gt;"N/A",K564*'Scope 3 Ratios'!$B$10,0)</f>
        <v>0</v>
      </c>
      <c r="AI564" s="60">
        <f>(VLOOKUP($E564,'AWS Platforms Ratios'!$A$2:$O$25,3,FALSE)-1)*'Scope 3 Ratios'!$B$7</f>
        <v>100</v>
      </c>
      <c r="AJ564" s="60">
        <f>'Scope 3 Ratios'!$B$2+AF564+AG564+AH564+AI564</f>
        <v>1410.6656</v>
      </c>
      <c r="AK564" s="60">
        <f>AJ564*'Scope 3 Ratios'!$B$4*(C564/D564)</f>
        <v>10.20446759</v>
      </c>
      <c r="AL564" s="61" t="s">
        <v>397</v>
      </c>
    </row>
    <row r="565" ht="15.0" customHeight="1">
      <c r="A565" s="56" t="s">
        <v>891</v>
      </c>
      <c r="B565" s="56" t="s">
        <v>375</v>
      </c>
      <c r="C565" s="56">
        <v>1.0</v>
      </c>
      <c r="D565" s="56">
        <f>VLOOKUP(E565,'AWS Platforms Ratios'!$A$2:$B$25,2,FALSE)</f>
        <v>32</v>
      </c>
      <c r="E565" s="57" t="s">
        <v>376</v>
      </c>
      <c r="F565" s="56">
        <v>1.7</v>
      </c>
      <c r="G565" s="70">
        <v>120.0</v>
      </c>
      <c r="H565" s="57" t="s">
        <v>71</v>
      </c>
      <c r="I565" s="56" t="s">
        <v>72</v>
      </c>
      <c r="J565" s="56">
        <v>0.0</v>
      </c>
      <c r="K565" s="58" t="s">
        <v>73</v>
      </c>
      <c r="L565" s="58" t="s">
        <v>73</v>
      </c>
      <c r="M565" s="58" t="s">
        <v>73</v>
      </c>
      <c r="N565" s="58" t="s">
        <v>73</v>
      </c>
      <c r="O565" s="59">
        <f>($C565/$D565)*VLOOKUP($E565,'AWS Platforms Ratios'!$A$2:$O$25,7,FALSE)</f>
        <v>0.7161853448</v>
      </c>
      <c r="P565" s="59">
        <f>($C565/$D565)*VLOOKUP($E565,'AWS Platforms Ratios'!$A$2:$O$25,8,FALSE)</f>
        <v>2.044547414</v>
      </c>
      <c r="Q565" s="59">
        <f>($C565/$D565)*VLOOKUP($E565,'AWS Platforms Ratios'!$A$2:$O$25,9,FALSE)</f>
        <v>4.20518319</v>
      </c>
      <c r="R565" s="59">
        <f>($C565/$D565)*VLOOKUP($E565,'AWS Platforms Ratios'!$A$2:$O$25,10,FALSE)</f>
        <v>5.755945582</v>
      </c>
      <c r="S565" s="59">
        <f>$F565*VLOOKUP($E565,'AWS Platforms Ratios'!$A$2:$O$25,11,FALSE)</f>
        <v>0.34</v>
      </c>
      <c r="T565" s="59">
        <f>$F565*VLOOKUP($E565,'AWS Platforms Ratios'!$A$2:$O$25,12,FALSE)</f>
        <v>0.51</v>
      </c>
      <c r="U565" s="59">
        <f>$F565*VLOOKUP($E565,'AWS Platforms Ratios'!$A$2:$O$25,13,FALSE)</f>
        <v>0.68</v>
      </c>
      <c r="V565" s="59">
        <f>$F565*VLOOKUP($E565,'AWS Platforms Ratios'!$A$2:$O$25,14,FALSE)</f>
        <v>1.02</v>
      </c>
      <c r="W565" s="60">
        <f>IF($K565&lt;&gt;"N/A",$M565*(VLOOKUP($L565,'GPU Specs &amp; Ratios'!$B$2:$I$8,5,FALSE)),0)</f>
        <v>0</v>
      </c>
      <c r="X565" s="60">
        <f>IF($K565&lt;&gt;"N/A",$M565*(VLOOKUP($L565,'GPU Specs &amp; Ratios'!$B$2:$I$8,6,FALSE)),0)</f>
        <v>0</v>
      </c>
      <c r="Y565" s="60">
        <f>IF($K565&lt;&gt;"N/A",$M565*(VLOOKUP($L565,'GPU Specs &amp; Ratios'!$B$2:$I$8,7,FALSE)),0)</f>
        <v>0</v>
      </c>
      <c r="Z565" s="60">
        <f>IF($K565&lt;&gt;"N/A",$M565*(VLOOKUP($L565,'GPU Specs &amp; Ratios'!$B$2:$I$8,8,FALSE)),0)</f>
        <v>0</v>
      </c>
      <c r="AA565" s="60">
        <f>(C565/D565)*VLOOKUP($E565,'AWS Platforms Ratios'!$A$2:$O$25,15,FALSE)</f>
        <v>1.1875</v>
      </c>
      <c r="AB565" s="60">
        <f t="shared" ref="AB565:AE565" si="565">O565+S565+W565+$AA565</f>
        <v>2.243685345</v>
      </c>
      <c r="AC565" s="60">
        <f t="shared" si="565"/>
        <v>3.742047414</v>
      </c>
      <c r="AD565" s="60">
        <f t="shared" si="565"/>
        <v>6.07268319</v>
      </c>
      <c r="AE565" s="60">
        <f t="shared" si="565"/>
        <v>7.963445582</v>
      </c>
      <c r="AF565" s="60">
        <f>IF(G565&gt;'Scope 3 Ratios'!$B$5,(G565-'Scope 3 Ratios'!$B$5)*('Scope 3 Ratios'!$B$6/'Scope 3 Ratios'!$B$5),0)</f>
        <v>144.2376</v>
      </c>
      <c r="AG565" s="60">
        <f>J565*IF(I565="SSD",'Scope 3 Ratios'!$B$9,'Scope 3 Ratios'!$B$8)</f>
        <v>0</v>
      </c>
      <c r="AH565" s="60">
        <f>IF(K565&lt;&gt;"N/A",K565*'Scope 3 Ratios'!$B$10,0)</f>
        <v>0</v>
      </c>
      <c r="AI565" s="60">
        <f>(VLOOKUP($E565,'AWS Platforms Ratios'!$A$2:$O$25,3,FALSE)-1)*'Scope 3 Ratios'!$B$7</f>
        <v>100</v>
      </c>
      <c r="AJ565" s="60">
        <f>'Scope 3 Ratios'!$B$2+AF565+AG565+AH565+AI565</f>
        <v>1244.2376</v>
      </c>
      <c r="AK565" s="60">
        <f>AJ565*'Scope 3 Ratios'!$B$4*(C565/D565)</f>
        <v>1.125070168</v>
      </c>
      <c r="AL565" s="61"/>
    </row>
    <row r="566" ht="15.0" customHeight="1">
      <c r="A566" s="56" t="s">
        <v>892</v>
      </c>
      <c r="B566" s="56" t="s">
        <v>379</v>
      </c>
      <c r="C566" s="56">
        <v>1.0</v>
      </c>
      <c r="D566" s="56">
        <f>VLOOKUP(E566,'AWS Platforms Ratios'!$A$2:$B$25,2,FALSE)</f>
        <v>32</v>
      </c>
      <c r="E566" s="57" t="s">
        <v>376</v>
      </c>
      <c r="F566" s="56">
        <v>3.75</v>
      </c>
      <c r="G566" s="70">
        <v>120.0</v>
      </c>
      <c r="H566" s="57" t="s">
        <v>71</v>
      </c>
      <c r="I566" s="56" t="s">
        <v>72</v>
      </c>
      <c r="J566" s="56">
        <v>0.0</v>
      </c>
      <c r="K566" s="58" t="s">
        <v>73</v>
      </c>
      <c r="L566" s="58" t="s">
        <v>73</v>
      </c>
      <c r="M566" s="58" t="s">
        <v>73</v>
      </c>
      <c r="N566" s="58" t="s">
        <v>73</v>
      </c>
      <c r="O566" s="59">
        <f>($C566/$D566)*VLOOKUP($E566,'AWS Platforms Ratios'!$A$2:$O$25,7,FALSE)</f>
        <v>0.7161853448</v>
      </c>
      <c r="P566" s="59">
        <f>($C566/$D566)*VLOOKUP($E566,'AWS Platforms Ratios'!$A$2:$O$25,8,FALSE)</f>
        <v>2.044547414</v>
      </c>
      <c r="Q566" s="59">
        <f>($C566/$D566)*VLOOKUP($E566,'AWS Platforms Ratios'!$A$2:$O$25,9,FALSE)</f>
        <v>4.20518319</v>
      </c>
      <c r="R566" s="59">
        <f>($C566/$D566)*VLOOKUP($E566,'AWS Platforms Ratios'!$A$2:$O$25,10,FALSE)</f>
        <v>5.755945582</v>
      </c>
      <c r="S566" s="59">
        <f>$F566*VLOOKUP($E566,'AWS Platforms Ratios'!$A$2:$O$25,11,FALSE)</f>
        <v>0.75</v>
      </c>
      <c r="T566" s="59">
        <f>$F566*VLOOKUP($E566,'AWS Platforms Ratios'!$A$2:$O$25,12,FALSE)</f>
        <v>1.125</v>
      </c>
      <c r="U566" s="59">
        <f>$F566*VLOOKUP($E566,'AWS Platforms Ratios'!$A$2:$O$25,13,FALSE)</f>
        <v>1.5</v>
      </c>
      <c r="V566" s="59">
        <f>$F566*VLOOKUP($E566,'AWS Platforms Ratios'!$A$2:$O$25,14,FALSE)</f>
        <v>2.25</v>
      </c>
      <c r="W566" s="60">
        <f>IF($K566&lt;&gt;"N/A",$M566*(VLOOKUP($L566,'GPU Specs &amp; Ratios'!$B$2:$I$8,5,FALSE)),0)</f>
        <v>0</v>
      </c>
      <c r="X566" s="60">
        <f>IF($K566&lt;&gt;"N/A",$M566*(VLOOKUP($L566,'GPU Specs &amp; Ratios'!$B$2:$I$8,6,FALSE)),0)</f>
        <v>0</v>
      </c>
      <c r="Y566" s="60">
        <f>IF($K566&lt;&gt;"N/A",$M566*(VLOOKUP($L566,'GPU Specs &amp; Ratios'!$B$2:$I$8,7,FALSE)),0)</f>
        <v>0</v>
      </c>
      <c r="Z566" s="60">
        <f>IF($K566&lt;&gt;"N/A",$M566*(VLOOKUP($L566,'GPU Specs &amp; Ratios'!$B$2:$I$8,8,FALSE)),0)</f>
        <v>0</v>
      </c>
      <c r="AA566" s="60">
        <f>(C566/D566)*VLOOKUP($E566,'AWS Platforms Ratios'!$A$2:$O$25,15,FALSE)</f>
        <v>1.1875</v>
      </c>
      <c r="AB566" s="60">
        <f t="shared" ref="AB566:AE566" si="566">O566+S566+W566+$AA566</f>
        <v>2.653685345</v>
      </c>
      <c r="AC566" s="60">
        <f t="shared" si="566"/>
        <v>4.357047414</v>
      </c>
      <c r="AD566" s="60">
        <f t="shared" si="566"/>
        <v>6.89268319</v>
      </c>
      <c r="AE566" s="60">
        <f t="shared" si="566"/>
        <v>9.193445582</v>
      </c>
      <c r="AF566" s="60">
        <f>IF(G566&gt;'Scope 3 Ratios'!$B$5,(G566-'Scope 3 Ratios'!$B$5)*('Scope 3 Ratios'!$B$6/'Scope 3 Ratios'!$B$5),0)</f>
        <v>144.2376</v>
      </c>
      <c r="AG566" s="60">
        <f>J566*IF(I566="SSD",'Scope 3 Ratios'!$B$9,'Scope 3 Ratios'!$B$8)</f>
        <v>0</v>
      </c>
      <c r="AH566" s="60">
        <f>IF(K566&lt;&gt;"N/A",K566*'Scope 3 Ratios'!$B$10,0)</f>
        <v>0</v>
      </c>
      <c r="AI566" s="60">
        <f>(VLOOKUP($E566,'AWS Platforms Ratios'!$A$2:$O$25,3,FALSE)-1)*'Scope 3 Ratios'!$B$7</f>
        <v>100</v>
      </c>
      <c r="AJ566" s="60">
        <f>'Scope 3 Ratios'!$B$2+AF566+AG566+AH566+AI566</f>
        <v>1244.2376</v>
      </c>
      <c r="AK566" s="60">
        <f>AJ566*'Scope 3 Ratios'!$B$4*(C566/D566)</f>
        <v>1.125070168</v>
      </c>
      <c r="AL566" s="61"/>
    </row>
    <row r="567" ht="15.0" customHeight="1">
      <c r="A567" s="56" t="s">
        <v>893</v>
      </c>
      <c r="B567" s="56" t="s">
        <v>382</v>
      </c>
      <c r="C567" s="56">
        <v>2.0</v>
      </c>
      <c r="D567" s="56">
        <f>VLOOKUP(E567,'AWS Platforms Ratios'!$A$2:$B$25,2,FALSE)</f>
        <v>32</v>
      </c>
      <c r="E567" s="57" t="s">
        <v>376</v>
      </c>
      <c r="F567" s="56">
        <v>7.5</v>
      </c>
      <c r="G567" s="70">
        <v>120.0</v>
      </c>
      <c r="H567" s="57" t="s">
        <v>71</v>
      </c>
      <c r="I567" s="56" t="s">
        <v>72</v>
      </c>
      <c r="J567" s="56">
        <v>0.0</v>
      </c>
      <c r="K567" s="58" t="s">
        <v>73</v>
      </c>
      <c r="L567" s="58" t="s">
        <v>73</v>
      </c>
      <c r="M567" s="58" t="s">
        <v>73</v>
      </c>
      <c r="N567" s="58" t="s">
        <v>73</v>
      </c>
      <c r="O567" s="59">
        <f>($C567/$D567)*VLOOKUP($E567,'AWS Platforms Ratios'!$A$2:$O$25,7,FALSE)</f>
        <v>1.43237069</v>
      </c>
      <c r="P567" s="59">
        <f>($C567/$D567)*VLOOKUP($E567,'AWS Platforms Ratios'!$A$2:$O$25,8,FALSE)</f>
        <v>4.089094828</v>
      </c>
      <c r="Q567" s="59">
        <f>($C567/$D567)*VLOOKUP($E567,'AWS Platforms Ratios'!$A$2:$O$25,9,FALSE)</f>
        <v>8.410366379</v>
      </c>
      <c r="R567" s="59">
        <f>($C567/$D567)*VLOOKUP($E567,'AWS Platforms Ratios'!$A$2:$O$25,10,FALSE)</f>
        <v>11.51189116</v>
      </c>
      <c r="S567" s="59">
        <f>$F567*VLOOKUP($E567,'AWS Platforms Ratios'!$A$2:$O$25,11,FALSE)</f>
        <v>1.5</v>
      </c>
      <c r="T567" s="59">
        <f>$F567*VLOOKUP($E567,'AWS Platforms Ratios'!$A$2:$O$25,12,FALSE)</f>
        <v>2.25</v>
      </c>
      <c r="U567" s="59">
        <f>$F567*VLOOKUP($E567,'AWS Platforms Ratios'!$A$2:$O$25,13,FALSE)</f>
        <v>3</v>
      </c>
      <c r="V567" s="59">
        <f>$F567*VLOOKUP($E567,'AWS Platforms Ratios'!$A$2:$O$25,14,FALSE)</f>
        <v>4.5</v>
      </c>
      <c r="W567" s="60">
        <f>IF($K567&lt;&gt;"N/A",$M567*(VLOOKUP($L567,'GPU Specs &amp; Ratios'!$B$2:$I$8,5,FALSE)),0)</f>
        <v>0</v>
      </c>
      <c r="X567" s="60">
        <f>IF($K567&lt;&gt;"N/A",$M567*(VLOOKUP($L567,'GPU Specs &amp; Ratios'!$B$2:$I$8,6,FALSE)),0)</f>
        <v>0</v>
      </c>
      <c r="Y567" s="60">
        <f>IF($K567&lt;&gt;"N/A",$M567*(VLOOKUP($L567,'GPU Specs &amp; Ratios'!$B$2:$I$8,7,FALSE)),0)</f>
        <v>0</v>
      </c>
      <c r="Z567" s="60">
        <f>IF($K567&lt;&gt;"N/A",$M567*(VLOOKUP($L567,'GPU Specs &amp; Ratios'!$B$2:$I$8,8,FALSE)),0)</f>
        <v>0</v>
      </c>
      <c r="AA567" s="60">
        <f>(C567/D567)*VLOOKUP($E567,'AWS Platforms Ratios'!$A$2:$O$25,15,FALSE)</f>
        <v>2.375</v>
      </c>
      <c r="AB567" s="60">
        <f t="shared" ref="AB567:AE567" si="567">O567+S567+W567+$AA567</f>
        <v>5.30737069</v>
      </c>
      <c r="AC567" s="60">
        <f t="shared" si="567"/>
        <v>8.714094828</v>
      </c>
      <c r="AD567" s="60">
        <f t="shared" si="567"/>
        <v>13.78536638</v>
      </c>
      <c r="AE567" s="60">
        <f t="shared" si="567"/>
        <v>18.38689116</v>
      </c>
      <c r="AF567" s="60">
        <f>IF(G567&gt;'Scope 3 Ratios'!$B$5,(G567-'Scope 3 Ratios'!$B$5)*('Scope 3 Ratios'!$B$6/'Scope 3 Ratios'!$B$5),0)</f>
        <v>144.2376</v>
      </c>
      <c r="AG567" s="60">
        <f>J567*IF(I567="SSD",'Scope 3 Ratios'!$B$9,'Scope 3 Ratios'!$B$8)</f>
        <v>0</v>
      </c>
      <c r="AH567" s="60">
        <f>IF(K567&lt;&gt;"N/A",K567*'Scope 3 Ratios'!$B$10,0)</f>
        <v>0</v>
      </c>
      <c r="AI567" s="60">
        <f>(VLOOKUP($E567,'AWS Platforms Ratios'!$A$2:$O$25,3,FALSE)-1)*'Scope 3 Ratios'!$B$7</f>
        <v>100</v>
      </c>
      <c r="AJ567" s="60">
        <f>'Scope 3 Ratios'!$B$2+AF567+AG567+AH567+AI567</f>
        <v>1244.2376</v>
      </c>
      <c r="AK567" s="60">
        <f>AJ567*'Scope 3 Ratios'!$B$4*(C567/D567)</f>
        <v>2.250140336</v>
      </c>
      <c r="AL567" s="61"/>
    </row>
    <row r="568" ht="15.0" customHeight="1">
      <c r="A568" s="56" t="s">
        <v>894</v>
      </c>
      <c r="B568" s="56" t="s">
        <v>382</v>
      </c>
      <c r="C568" s="56">
        <v>4.0</v>
      </c>
      <c r="D568" s="56">
        <f>VLOOKUP(E568,'AWS Platforms Ratios'!$A$2:$B$25,2,FALSE)</f>
        <v>32</v>
      </c>
      <c r="E568" s="57" t="s">
        <v>376</v>
      </c>
      <c r="F568" s="56">
        <v>15.0</v>
      </c>
      <c r="G568" s="70">
        <v>120.0</v>
      </c>
      <c r="H568" s="57" t="s">
        <v>71</v>
      </c>
      <c r="I568" s="56" t="s">
        <v>72</v>
      </c>
      <c r="J568" s="56">
        <v>0.0</v>
      </c>
      <c r="K568" s="58" t="s">
        <v>73</v>
      </c>
      <c r="L568" s="58" t="s">
        <v>73</v>
      </c>
      <c r="M568" s="58" t="s">
        <v>73</v>
      </c>
      <c r="N568" s="58" t="s">
        <v>73</v>
      </c>
      <c r="O568" s="59">
        <f>($C568/$D568)*VLOOKUP($E568,'AWS Platforms Ratios'!$A$2:$O$25,7,FALSE)</f>
        <v>2.864741379</v>
      </c>
      <c r="P568" s="59">
        <f>($C568/$D568)*VLOOKUP($E568,'AWS Platforms Ratios'!$A$2:$O$25,8,FALSE)</f>
        <v>8.178189655</v>
      </c>
      <c r="Q568" s="59">
        <f>($C568/$D568)*VLOOKUP($E568,'AWS Platforms Ratios'!$A$2:$O$25,9,FALSE)</f>
        <v>16.82073276</v>
      </c>
      <c r="R568" s="59">
        <f>($C568/$D568)*VLOOKUP($E568,'AWS Platforms Ratios'!$A$2:$O$25,10,FALSE)</f>
        <v>23.02378233</v>
      </c>
      <c r="S568" s="59">
        <f>$F568*VLOOKUP($E568,'AWS Platforms Ratios'!$A$2:$O$25,11,FALSE)</f>
        <v>3</v>
      </c>
      <c r="T568" s="59">
        <f>$F568*VLOOKUP($E568,'AWS Platforms Ratios'!$A$2:$O$25,12,FALSE)</f>
        <v>4.5</v>
      </c>
      <c r="U568" s="59">
        <f>$F568*VLOOKUP($E568,'AWS Platforms Ratios'!$A$2:$O$25,13,FALSE)</f>
        <v>6</v>
      </c>
      <c r="V568" s="59">
        <f>$F568*VLOOKUP($E568,'AWS Platforms Ratios'!$A$2:$O$25,14,FALSE)</f>
        <v>9</v>
      </c>
      <c r="W568" s="60">
        <f>IF($K568&lt;&gt;"N/A",$M568*(VLOOKUP($L568,'GPU Specs &amp; Ratios'!$B$2:$I$8,5,FALSE)),0)</f>
        <v>0</v>
      </c>
      <c r="X568" s="60">
        <f>IF($K568&lt;&gt;"N/A",$M568*(VLOOKUP($L568,'GPU Specs &amp; Ratios'!$B$2:$I$8,6,FALSE)),0)</f>
        <v>0</v>
      </c>
      <c r="Y568" s="60">
        <f>IF($K568&lt;&gt;"N/A",$M568*(VLOOKUP($L568,'GPU Specs &amp; Ratios'!$B$2:$I$8,7,FALSE)),0)</f>
        <v>0</v>
      </c>
      <c r="Z568" s="60">
        <f>IF($K568&lt;&gt;"N/A",$M568*(VLOOKUP($L568,'GPU Specs &amp; Ratios'!$B$2:$I$8,8,FALSE)),0)</f>
        <v>0</v>
      </c>
      <c r="AA568" s="60">
        <f>(C568/D568)*VLOOKUP($E568,'AWS Platforms Ratios'!$A$2:$O$25,15,FALSE)</f>
        <v>4.75</v>
      </c>
      <c r="AB568" s="60">
        <f t="shared" ref="AB568:AE568" si="568">O568+S568+W568+$AA568</f>
        <v>10.61474138</v>
      </c>
      <c r="AC568" s="60">
        <f t="shared" si="568"/>
        <v>17.42818966</v>
      </c>
      <c r="AD568" s="60">
        <f t="shared" si="568"/>
        <v>27.57073276</v>
      </c>
      <c r="AE568" s="60">
        <f t="shared" si="568"/>
        <v>36.77378233</v>
      </c>
      <c r="AF568" s="60">
        <f>IF(G568&gt;'Scope 3 Ratios'!$B$5,(G568-'Scope 3 Ratios'!$B$5)*('Scope 3 Ratios'!$B$6/'Scope 3 Ratios'!$B$5),0)</f>
        <v>144.2376</v>
      </c>
      <c r="AG568" s="60">
        <f>J568*IF(I568="SSD",'Scope 3 Ratios'!$B$9,'Scope 3 Ratios'!$B$8)</f>
        <v>0</v>
      </c>
      <c r="AH568" s="60">
        <f>IF(K568&lt;&gt;"N/A",K568*'Scope 3 Ratios'!$B$10,0)</f>
        <v>0</v>
      </c>
      <c r="AI568" s="60">
        <f>(VLOOKUP($E568,'AWS Platforms Ratios'!$A$2:$O$25,3,FALSE)-1)*'Scope 3 Ratios'!$B$7</f>
        <v>100</v>
      </c>
      <c r="AJ568" s="60">
        <f>'Scope 3 Ratios'!$B$2+AF568+AG568+AH568+AI568</f>
        <v>1244.2376</v>
      </c>
      <c r="AK568" s="60">
        <f>AJ568*'Scope 3 Ratios'!$B$4*(C568/D568)</f>
        <v>4.500280671</v>
      </c>
      <c r="AL568" s="61"/>
    </row>
    <row r="569" ht="15.0" customHeight="1">
      <c r="A569" s="56" t="s">
        <v>895</v>
      </c>
      <c r="B569" s="56" t="s">
        <v>556</v>
      </c>
      <c r="C569" s="56">
        <v>48.0</v>
      </c>
      <c r="D569" s="56">
        <f>VLOOKUP(E569,'AWS Platforms Ratios'!$A$2:$B$25,2,FALSE)</f>
        <v>48</v>
      </c>
      <c r="E569" s="57" t="s">
        <v>726</v>
      </c>
      <c r="F569" s="56">
        <v>384.0</v>
      </c>
      <c r="G569" s="70">
        <v>384.0</v>
      </c>
      <c r="H569" s="57" t="s">
        <v>71</v>
      </c>
      <c r="I569" s="56" t="s">
        <v>72</v>
      </c>
      <c r="J569" s="56">
        <v>0.0</v>
      </c>
      <c r="K569" s="58" t="s">
        <v>73</v>
      </c>
      <c r="L569" s="58" t="s">
        <v>73</v>
      </c>
      <c r="M569" s="58" t="s">
        <v>73</v>
      </c>
      <c r="N569" s="58" t="s">
        <v>73</v>
      </c>
      <c r="O569" s="59">
        <f>($C569/$D569)*VLOOKUP($E569,'AWS Platforms Ratios'!$A$2:$O$25,7,FALSE)</f>
        <v>48</v>
      </c>
      <c r="P569" s="59">
        <f>($C569/$D569)*VLOOKUP($E569,'AWS Platforms Ratios'!$A$2:$O$25,8,FALSE)</f>
        <v>148</v>
      </c>
      <c r="Q569" s="59">
        <f>($C569/$D569)*VLOOKUP($E569,'AWS Platforms Ratios'!$A$2:$O$25,9,FALSE)</f>
        <v>361</v>
      </c>
      <c r="R569" s="59">
        <f>($C569/$D569)*VLOOKUP($E569,'AWS Platforms Ratios'!$A$2:$O$25,10,FALSE)</f>
        <v>441</v>
      </c>
      <c r="S569" s="59">
        <f>$F569*VLOOKUP($E569,'AWS Platforms Ratios'!$A$2:$O$25,11,FALSE)</f>
        <v>50</v>
      </c>
      <c r="T569" s="59">
        <f>$F569*VLOOKUP($E569,'AWS Platforms Ratios'!$A$2:$O$25,12,FALSE)</f>
        <v>92</v>
      </c>
      <c r="U569" s="59">
        <f>$F569*VLOOKUP($E569,'AWS Platforms Ratios'!$A$2:$O$25,13,FALSE)</f>
        <v>174</v>
      </c>
      <c r="V569" s="59">
        <f>$F569*VLOOKUP($E569,'AWS Platforms Ratios'!$A$2:$O$25,14,FALSE)</f>
        <v>256</v>
      </c>
      <c r="W569" s="60">
        <f>IF($K569&lt;&gt;"N/A",$M569*(VLOOKUP($L569,'GPU Specs &amp; Ratios'!$B$2:$I$8,5,FALSE)),0)</f>
        <v>0</v>
      </c>
      <c r="X569" s="60">
        <f>IF($K569&lt;&gt;"N/A",$M569*(VLOOKUP($L569,'GPU Specs &amp; Ratios'!$B$2:$I$8,6,FALSE)),0)</f>
        <v>0</v>
      </c>
      <c r="Y569" s="60">
        <f>IF($K569&lt;&gt;"N/A",$M569*(VLOOKUP($L569,'GPU Specs &amp; Ratios'!$B$2:$I$8,7,FALSE)),0)</f>
        <v>0</v>
      </c>
      <c r="Z569" s="60">
        <f>IF($K569&lt;&gt;"N/A",$M569*(VLOOKUP($L569,'GPU Specs &amp; Ratios'!$B$2:$I$8,8,FALSE)),0)</f>
        <v>0</v>
      </c>
      <c r="AA569" s="60">
        <f>(C569/D569)*VLOOKUP($E569,'AWS Platforms Ratios'!$A$2:$O$25,15,FALSE)</f>
        <v>96</v>
      </c>
      <c r="AB569" s="60">
        <f t="shared" ref="AB569:AE569" si="569">O569+S569+W569+$AA569</f>
        <v>194</v>
      </c>
      <c r="AC569" s="60">
        <f t="shared" si="569"/>
        <v>336</v>
      </c>
      <c r="AD569" s="60">
        <f t="shared" si="569"/>
        <v>631</v>
      </c>
      <c r="AE569" s="60">
        <f t="shared" si="569"/>
        <v>793</v>
      </c>
      <c r="AF569" s="60">
        <f>IF(G569&gt;'Scope 3 Ratios'!$B$5,(G569-'Scope 3 Ratios'!$B$5)*('Scope 3 Ratios'!$B$6/'Scope 3 Ratios'!$B$5),0)</f>
        <v>510.3792</v>
      </c>
      <c r="AG569" s="60">
        <f>J569*IF(I569="SSD",'Scope 3 Ratios'!$B$9,'Scope 3 Ratios'!$B$8)</f>
        <v>0</v>
      </c>
      <c r="AH569" s="60">
        <f>IF(K569&lt;&gt;"N/A",K569*'Scope 3 Ratios'!$B$10,0)</f>
        <v>0</v>
      </c>
      <c r="AI569" s="60">
        <f>(VLOOKUP($E569,'AWS Platforms Ratios'!$A$2:$O$25,3,FALSE)-1)*'Scope 3 Ratios'!$B$7</f>
        <v>100</v>
      </c>
      <c r="AJ569" s="60">
        <f>'Scope 3 Ratios'!$B$2+AF569+AG569+AH569+AI569</f>
        <v>1610.3792</v>
      </c>
      <c r="AK569" s="60">
        <f>AJ569*'Scope 3 Ratios'!$B$4*(C569/D569)</f>
        <v>46.59662037</v>
      </c>
      <c r="AL569" s="61" t="s">
        <v>727</v>
      </c>
    </row>
    <row r="570" ht="15.0" customHeight="1">
      <c r="A570" s="56" t="s">
        <v>896</v>
      </c>
      <c r="B570" s="56" t="s">
        <v>556</v>
      </c>
      <c r="C570" s="56">
        <v>2.0</v>
      </c>
      <c r="D570" s="56">
        <f>VLOOKUP(E570,'AWS Platforms Ratios'!$A$2:$B$25,2,FALSE)</f>
        <v>48</v>
      </c>
      <c r="E570" s="57" t="s">
        <v>726</v>
      </c>
      <c r="F570" s="56">
        <v>16.0</v>
      </c>
      <c r="G570" s="70">
        <v>384.0</v>
      </c>
      <c r="H570" s="57" t="s">
        <v>71</v>
      </c>
      <c r="I570" s="56" t="s">
        <v>72</v>
      </c>
      <c r="J570" s="56">
        <v>0.0</v>
      </c>
      <c r="K570" s="58" t="s">
        <v>73</v>
      </c>
      <c r="L570" s="58" t="s">
        <v>73</v>
      </c>
      <c r="M570" s="58" t="s">
        <v>73</v>
      </c>
      <c r="N570" s="58" t="s">
        <v>73</v>
      </c>
      <c r="O570" s="59">
        <f>($C570/$D570)*VLOOKUP($E570,'AWS Platforms Ratios'!$A$2:$O$25,7,FALSE)</f>
        <v>2</v>
      </c>
      <c r="P570" s="59">
        <f>($C570/$D570)*VLOOKUP($E570,'AWS Platforms Ratios'!$A$2:$O$25,8,FALSE)</f>
        <v>6.166666667</v>
      </c>
      <c r="Q570" s="59">
        <f>($C570/$D570)*VLOOKUP($E570,'AWS Platforms Ratios'!$A$2:$O$25,9,FALSE)</f>
        <v>15.04166667</v>
      </c>
      <c r="R570" s="59">
        <f>($C570/$D570)*VLOOKUP($E570,'AWS Platforms Ratios'!$A$2:$O$25,10,FALSE)</f>
        <v>18.375</v>
      </c>
      <c r="S570" s="59">
        <f>$F570*VLOOKUP($E570,'AWS Platforms Ratios'!$A$2:$O$25,11,FALSE)</f>
        <v>2.083333333</v>
      </c>
      <c r="T570" s="59">
        <f>$F570*VLOOKUP($E570,'AWS Platforms Ratios'!$A$2:$O$25,12,FALSE)</f>
        <v>3.833333333</v>
      </c>
      <c r="U570" s="59">
        <f>$F570*VLOOKUP($E570,'AWS Platforms Ratios'!$A$2:$O$25,13,FALSE)</f>
        <v>7.25</v>
      </c>
      <c r="V570" s="59">
        <f>$F570*VLOOKUP($E570,'AWS Platforms Ratios'!$A$2:$O$25,14,FALSE)</f>
        <v>10.66666667</v>
      </c>
      <c r="W570" s="60">
        <f>IF($K570&lt;&gt;"N/A",$M570*(VLOOKUP($L570,'GPU Specs &amp; Ratios'!$B$2:$I$8,5,FALSE)),0)</f>
        <v>0</v>
      </c>
      <c r="X570" s="60">
        <f>IF($K570&lt;&gt;"N/A",$M570*(VLOOKUP($L570,'GPU Specs &amp; Ratios'!$B$2:$I$8,6,FALSE)),0)</f>
        <v>0</v>
      </c>
      <c r="Y570" s="60">
        <f>IF($K570&lt;&gt;"N/A",$M570*(VLOOKUP($L570,'GPU Specs &amp; Ratios'!$B$2:$I$8,7,FALSE)),0)</f>
        <v>0</v>
      </c>
      <c r="Z570" s="60">
        <f>IF($K570&lt;&gt;"N/A",$M570*(VLOOKUP($L570,'GPU Specs &amp; Ratios'!$B$2:$I$8,8,FALSE)),0)</f>
        <v>0</v>
      </c>
      <c r="AA570" s="60">
        <f>(C570/D570)*VLOOKUP($E570,'AWS Platforms Ratios'!$A$2:$O$25,15,FALSE)</f>
        <v>4</v>
      </c>
      <c r="AB570" s="60">
        <f t="shared" ref="AB570:AE570" si="570">O570+S570+W570+$AA570</f>
        <v>8.083333333</v>
      </c>
      <c r="AC570" s="60">
        <f t="shared" si="570"/>
        <v>14</v>
      </c>
      <c r="AD570" s="60">
        <f t="shared" si="570"/>
        <v>26.29166667</v>
      </c>
      <c r="AE570" s="60">
        <f t="shared" si="570"/>
        <v>33.04166667</v>
      </c>
      <c r="AF570" s="60">
        <f>IF(G570&gt;'Scope 3 Ratios'!$B$5,(G570-'Scope 3 Ratios'!$B$5)*('Scope 3 Ratios'!$B$6/'Scope 3 Ratios'!$B$5),0)</f>
        <v>510.3792</v>
      </c>
      <c r="AG570" s="60">
        <f>J570*IF(I570="SSD",'Scope 3 Ratios'!$B$9,'Scope 3 Ratios'!$B$8)</f>
        <v>0</v>
      </c>
      <c r="AH570" s="60">
        <f>IF(K570&lt;&gt;"N/A",K570*'Scope 3 Ratios'!$B$10,0)</f>
        <v>0</v>
      </c>
      <c r="AI570" s="60">
        <f>(VLOOKUP($E570,'AWS Platforms Ratios'!$A$2:$O$25,3,FALSE)-1)*'Scope 3 Ratios'!$B$7</f>
        <v>100</v>
      </c>
      <c r="AJ570" s="60">
        <f>'Scope 3 Ratios'!$B$2+AF570+AG570+AH570+AI570</f>
        <v>1610.3792</v>
      </c>
      <c r="AK570" s="60">
        <f>AJ570*'Scope 3 Ratios'!$B$4*(C570/D570)</f>
        <v>1.941525849</v>
      </c>
      <c r="AL570" s="61" t="s">
        <v>727</v>
      </c>
    </row>
    <row r="571" ht="15.0" customHeight="1">
      <c r="A571" s="56" t="s">
        <v>897</v>
      </c>
      <c r="B571" s="56" t="s">
        <v>556</v>
      </c>
      <c r="C571" s="56">
        <v>4.0</v>
      </c>
      <c r="D571" s="56">
        <f>VLOOKUP(E571,'AWS Platforms Ratios'!$A$2:$B$25,2,FALSE)</f>
        <v>48</v>
      </c>
      <c r="E571" s="57" t="s">
        <v>726</v>
      </c>
      <c r="F571" s="56">
        <v>32.0</v>
      </c>
      <c r="G571" s="70">
        <v>384.0</v>
      </c>
      <c r="H571" s="57" t="s">
        <v>71</v>
      </c>
      <c r="I571" s="56" t="s">
        <v>72</v>
      </c>
      <c r="J571" s="56">
        <v>0.0</v>
      </c>
      <c r="K571" s="58" t="s">
        <v>73</v>
      </c>
      <c r="L571" s="58" t="s">
        <v>73</v>
      </c>
      <c r="M571" s="58" t="s">
        <v>73</v>
      </c>
      <c r="N571" s="58" t="s">
        <v>73</v>
      </c>
      <c r="O571" s="59">
        <f>($C571/$D571)*VLOOKUP($E571,'AWS Platforms Ratios'!$A$2:$O$25,7,FALSE)</f>
        <v>4</v>
      </c>
      <c r="P571" s="59">
        <f>($C571/$D571)*VLOOKUP($E571,'AWS Platforms Ratios'!$A$2:$O$25,8,FALSE)</f>
        <v>12.33333333</v>
      </c>
      <c r="Q571" s="59">
        <f>($C571/$D571)*VLOOKUP($E571,'AWS Platforms Ratios'!$A$2:$O$25,9,FALSE)</f>
        <v>30.08333333</v>
      </c>
      <c r="R571" s="59">
        <f>($C571/$D571)*VLOOKUP($E571,'AWS Platforms Ratios'!$A$2:$O$25,10,FALSE)</f>
        <v>36.75</v>
      </c>
      <c r="S571" s="59">
        <f>$F571*VLOOKUP($E571,'AWS Platforms Ratios'!$A$2:$O$25,11,FALSE)</f>
        <v>4.166666667</v>
      </c>
      <c r="T571" s="59">
        <f>$F571*VLOOKUP($E571,'AWS Platforms Ratios'!$A$2:$O$25,12,FALSE)</f>
        <v>7.666666667</v>
      </c>
      <c r="U571" s="59">
        <f>$F571*VLOOKUP($E571,'AWS Platforms Ratios'!$A$2:$O$25,13,FALSE)</f>
        <v>14.5</v>
      </c>
      <c r="V571" s="59">
        <f>$F571*VLOOKUP($E571,'AWS Platforms Ratios'!$A$2:$O$25,14,FALSE)</f>
        <v>21.33333333</v>
      </c>
      <c r="W571" s="60">
        <f>IF($K571&lt;&gt;"N/A",$M571*(VLOOKUP($L571,'GPU Specs &amp; Ratios'!$B$2:$I$8,5,FALSE)),0)</f>
        <v>0</v>
      </c>
      <c r="X571" s="60">
        <f>IF($K571&lt;&gt;"N/A",$M571*(VLOOKUP($L571,'GPU Specs &amp; Ratios'!$B$2:$I$8,6,FALSE)),0)</f>
        <v>0</v>
      </c>
      <c r="Y571" s="60">
        <f>IF($K571&lt;&gt;"N/A",$M571*(VLOOKUP($L571,'GPU Specs &amp; Ratios'!$B$2:$I$8,7,FALSE)),0)</f>
        <v>0</v>
      </c>
      <c r="Z571" s="60">
        <f>IF($K571&lt;&gt;"N/A",$M571*(VLOOKUP($L571,'GPU Specs &amp; Ratios'!$B$2:$I$8,8,FALSE)),0)</f>
        <v>0</v>
      </c>
      <c r="AA571" s="60">
        <f>(C571/D571)*VLOOKUP($E571,'AWS Platforms Ratios'!$A$2:$O$25,15,FALSE)</f>
        <v>8</v>
      </c>
      <c r="AB571" s="60">
        <f t="shared" ref="AB571:AE571" si="571">O571+S571+W571+$AA571</f>
        <v>16.16666667</v>
      </c>
      <c r="AC571" s="60">
        <f t="shared" si="571"/>
        <v>28</v>
      </c>
      <c r="AD571" s="60">
        <f t="shared" si="571"/>
        <v>52.58333333</v>
      </c>
      <c r="AE571" s="60">
        <f t="shared" si="571"/>
        <v>66.08333333</v>
      </c>
      <c r="AF571" s="60">
        <f>IF(G571&gt;'Scope 3 Ratios'!$B$5,(G571-'Scope 3 Ratios'!$B$5)*('Scope 3 Ratios'!$B$6/'Scope 3 Ratios'!$B$5),0)</f>
        <v>510.3792</v>
      </c>
      <c r="AG571" s="60">
        <f>J571*IF(I571="SSD",'Scope 3 Ratios'!$B$9,'Scope 3 Ratios'!$B$8)</f>
        <v>0</v>
      </c>
      <c r="AH571" s="60">
        <f>IF(K571&lt;&gt;"N/A",K571*'Scope 3 Ratios'!$B$10,0)</f>
        <v>0</v>
      </c>
      <c r="AI571" s="60">
        <f>(VLOOKUP($E571,'AWS Platforms Ratios'!$A$2:$O$25,3,FALSE)-1)*'Scope 3 Ratios'!$B$7</f>
        <v>100</v>
      </c>
      <c r="AJ571" s="60">
        <f>'Scope 3 Ratios'!$B$2+AF571+AG571+AH571+AI571</f>
        <v>1610.3792</v>
      </c>
      <c r="AK571" s="60">
        <f>AJ571*'Scope 3 Ratios'!$B$4*(C571/D571)</f>
        <v>3.883051698</v>
      </c>
      <c r="AL571" s="61" t="s">
        <v>727</v>
      </c>
    </row>
    <row r="572" ht="15.0" customHeight="1">
      <c r="A572" s="56" t="s">
        <v>898</v>
      </c>
      <c r="B572" s="56" t="s">
        <v>556</v>
      </c>
      <c r="C572" s="56">
        <v>8.0</v>
      </c>
      <c r="D572" s="56">
        <f>VLOOKUP(E572,'AWS Platforms Ratios'!$A$2:$B$25,2,FALSE)</f>
        <v>48</v>
      </c>
      <c r="E572" s="57" t="s">
        <v>726</v>
      </c>
      <c r="F572" s="56">
        <v>64.0</v>
      </c>
      <c r="G572" s="70">
        <v>384.0</v>
      </c>
      <c r="H572" s="57" t="s">
        <v>71</v>
      </c>
      <c r="I572" s="56" t="s">
        <v>72</v>
      </c>
      <c r="J572" s="56">
        <v>0.0</v>
      </c>
      <c r="K572" s="58" t="s">
        <v>73</v>
      </c>
      <c r="L572" s="58" t="s">
        <v>73</v>
      </c>
      <c r="M572" s="58" t="s">
        <v>73</v>
      </c>
      <c r="N572" s="58" t="s">
        <v>73</v>
      </c>
      <c r="O572" s="59">
        <f>($C572/$D572)*VLOOKUP($E572,'AWS Platforms Ratios'!$A$2:$O$25,7,FALSE)</f>
        <v>8</v>
      </c>
      <c r="P572" s="59">
        <f>($C572/$D572)*VLOOKUP($E572,'AWS Platforms Ratios'!$A$2:$O$25,8,FALSE)</f>
        <v>24.66666667</v>
      </c>
      <c r="Q572" s="59">
        <f>($C572/$D572)*VLOOKUP($E572,'AWS Platforms Ratios'!$A$2:$O$25,9,FALSE)</f>
        <v>60.16666667</v>
      </c>
      <c r="R572" s="59">
        <f>($C572/$D572)*VLOOKUP($E572,'AWS Platforms Ratios'!$A$2:$O$25,10,FALSE)</f>
        <v>73.5</v>
      </c>
      <c r="S572" s="59">
        <f>$F572*VLOOKUP($E572,'AWS Platforms Ratios'!$A$2:$O$25,11,FALSE)</f>
        <v>8.333333333</v>
      </c>
      <c r="T572" s="59">
        <f>$F572*VLOOKUP($E572,'AWS Platforms Ratios'!$A$2:$O$25,12,FALSE)</f>
        <v>15.33333333</v>
      </c>
      <c r="U572" s="59">
        <f>$F572*VLOOKUP($E572,'AWS Platforms Ratios'!$A$2:$O$25,13,FALSE)</f>
        <v>29</v>
      </c>
      <c r="V572" s="59">
        <f>$F572*VLOOKUP($E572,'AWS Platforms Ratios'!$A$2:$O$25,14,FALSE)</f>
        <v>42.66666667</v>
      </c>
      <c r="W572" s="60">
        <f>IF($K572&lt;&gt;"N/A",$M572*(VLOOKUP($L572,'GPU Specs &amp; Ratios'!$B$2:$I$8,5,FALSE)),0)</f>
        <v>0</v>
      </c>
      <c r="X572" s="60">
        <f>IF($K572&lt;&gt;"N/A",$M572*(VLOOKUP($L572,'GPU Specs &amp; Ratios'!$B$2:$I$8,6,FALSE)),0)</f>
        <v>0</v>
      </c>
      <c r="Y572" s="60">
        <f>IF($K572&lt;&gt;"N/A",$M572*(VLOOKUP($L572,'GPU Specs &amp; Ratios'!$B$2:$I$8,7,FALSE)),0)</f>
        <v>0</v>
      </c>
      <c r="Z572" s="60">
        <f>IF($K572&lt;&gt;"N/A",$M572*(VLOOKUP($L572,'GPU Specs &amp; Ratios'!$B$2:$I$8,8,FALSE)),0)</f>
        <v>0</v>
      </c>
      <c r="AA572" s="60">
        <f>(C572/D572)*VLOOKUP($E572,'AWS Platforms Ratios'!$A$2:$O$25,15,FALSE)</f>
        <v>16</v>
      </c>
      <c r="AB572" s="60">
        <f t="shared" ref="AB572:AE572" si="572">O572+S572+W572+$AA572</f>
        <v>32.33333333</v>
      </c>
      <c r="AC572" s="60">
        <f t="shared" si="572"/>
        <v>56</v>
      </c>
      <c r="AD572" s="60">
        <f t="shared" si="572"/>
        <v>105.1666667</v>
      </c>
      <c r="AE572" s="60">
        <f t="shared" si="572"/>
        <v>132.1666667</v>
      </c>
      <c r="AF572" s="60">
        <f>IF(G572&gt;'Scope 3 Ratios'!$B$5,(G572-'Scope 3 Ratios'!$B$5)*('Scope 3 Ratios'!$B$6/'Scope 3 Ratios'!$B$5),0)</f>
        <v>510.3792</v>
      </c>
      <c r="AG572" s="60">
        <f>J572*IF(I572="SSD",'Scope 3 Ratios'!$B$9,'Scope 3 Ratios'!$B$8)</f>
        <v>0</v>
      </c>
      <c r="AH572" s="60">
        <f>IF(K572&lt;&gt;"N/A",K572*'Scope 3 Ratios'!$B$10,0)</f>
        <v>0</v>
      </c>
      <c r="AI572" s="60">
        <f>(VLOOKUP($E572,'AWS Platforms Ratios'!$A$2:$O$25,3,FALSE)-1)*'Scope 3 Ratios'!$B$7</f>
        <v>100</v>
      </c>
      <c r="AJ572" s="60">
        <f>'Scope 3 Ratios'!$B$2+AF572+AG572+AH572+AI572</f>
        <v>1610.3792</v>
      </c>
      <c r="AK572" s="60">
        <f>AJ572*'Scope 3 Ratios'!$B$4*(C572/D572)</f>
        <v>7.766103395</v>
      </c>
      <c r="AL572" s="61" t="s">
        <v>727</v>
      </c>
    </row>
    <row r="573" ht="15.0" customHeight="1">
      <c r="A573" s="56" t="s">
        <v>899</v>
      </c>
      <c r="B573" s="56" t="s">
        <v>556</v>
      </c>
      <c r="C573" s="56">
        <v>12.0</v>
      </c>
      <c r="D573" s="56">
        <f>VLOOKUP(E573,'AWS Platforms Ratios'!$A$2:$B$25,2,FALSE)</f>
        <v>48</v>
      </c>
      <c r="E573" s="57" t="s">
        <v>726</v>
      </c>
      <c r="F573" s="56">
        <v>96.0</v>
      </c>
      <c r="G573" s="70">
        <v>384.0</v>
      </c>
      <c r="H573" s="57" t="s">
        <v>71</v>
      </c>
      <c r="I573" s="56" t="s">
        <v>72</v>
      </c>
      <c r="J573" s="56">
        <v>0.0</v>
      </c>
      <c r="K573" s="58" t="s">
        <v>73</v>
      </c>
      <c r="L573" s="58" t="s">
        <v>73</v>
      </c>
      <c r="M573" s="58" t="s">
        <v>73</v>
      </c>
      <c r="N573" s="58" t="s">
        <v>73</v>
      </c>
      <c r="O573" s="59">
        <f>($C573/$D573)*VLOOKUP($E573,'AWS Platforms Ratios'!$A$2:$O$25,7,FALSE)</f>
        <v>12</v>
      </c>
      <c r="P573" s="59">
        <f>($C573/$D573)*VLOOKUP($E573,'AWS Platforms Ratios'!$A$2:$O$25,8,FALSE)</f>
        <v>37</v>
      </c>
      <c r="Q573" s="59">
        <f>($C573/$D573)*VLOOKUP($E573,'AWS Platforms Ratios'!$A$2:$O$25,9,FALSE)</f>
        <v>90.25</v>
      </c>
      <c r="R573" s="59">
        <f>($C573/$D573)*VLOOKUP($E573,'AWS Platforms Ratios'!$A$2:$O$25,10,FALSE)</f>
        <v>110.25</v>
      </c>
      <c r="S573" s="59">
        <f>$F573*VLOOKUP($E573,'AWS Platforms Ratios'!$A$2:$O$25,11,FALSE)</f>
        <v>12.5</v>
      </c>
      <c r="T573" s="59">
        <f>$F573*VLOOKUP($E573,'AWS Platforms Ratios'!$A$2:$O$25,12,FALSE)</f>
        <v>23</v>
      </c>
      <c r="U573" s="59">
        <f>$F573*VLOOKUP($E573,'AWS Platforms Ratios'!$A$2:$O$25,13,FALSE)</f>
        <v>43.5</v>
      </c>
      <c r="V573" s="59">
        <f>$F573*VLOOKUP($E573,'AWS Platforms Ratios'!$A$2:$O$25,14,FALSE)</f>
        <v>64</v>
      </c>
      <c r="W573" s="60">
        <f>IF($K573&lt;&gt;"N/A",$M573*(VLOOKUP($L573,'GPU Specs &amp; Ratios'!$B$2:$I$8,5,FALSE)),0)</f>
        <v>0</v>
      </c>
      <c r="X573" s="60">
        <f>IF($K573&lt;&gt;"N/A",$M573*(VLOOKUP($L573,'GPU Specs &amp; Ratios'!$B$2:$I$8,6,FALSE)),0)</f>
        <v>0</v>
      </c>
      <c r="Y573" s="60">
        <f>IF($K573&lt;&gt;"N/A",$M573*(VLOOKUP($L573,'GPU Specs &amp; Ratios'!$B$2:$I$8,7,FALSE)),0)</f>
        <v>0</v>
      </c>
      <c r="Z573" s="60">
        <f>IF($K573&lt;&gt;"N/A",$M573*(VLOOKUP($L573,'GPU Specs &amp; Ratios'!$B$2:$I$8,8,FALSE)),0)</f>
        <v>0</v>
      </c>
      <c r="AA573" s="60">
        <f>(C573/D573)*VLOOKUP($E573,'AWS Platforms Ratios'!$A$2:$O$25,15,FALSE)</f>
        <v>24</v>
      </c>
      <c r="AB573" s="60">
        <f t="shared" ref="AB573:AE573" si="573">O573+S573+W573+$AA573</f>
        <v>48.5</v>
      </c>
      <c r="AC573" s="60">
        <f t="shared" si="573"/>
        <v>84</v>
      </c>
      <c r="AD573" s="60">
        <f t="shared" si="573"/>
        <v>157.75</v>
      </c>
      <c r="AE573" s="60">
        <f t="shared" si="573"/>
        <v>198.25</v>
      </c>
      <c r="AF573" s="60">
        <f>IF(G573&gt;'Scope 3 Ratios'!$B$5,(G573-'Scope 3 Ratios'!$B$5)*('Scope 3 Ratios'!$B$6/'Scope 3 Ratios'!$B$5),0)</f>
        <v>510.3792</v>
      </c>
      <c r="AG573" s="60">
        <f>J573*IF(I573="SSD",'Scope 3 Ratios'!$B$9,'Scope 3 Ratios'!$B$8)</f>
        <v>0</v>
      </c>
      <c r="AH573" s="60">
        <f>IF(K573&lt;&gt;"N/A",K573*'Scope 3 Ratios'!$B$10,0)</f>
        <v>0</v>
      </c>
      <c r="AI573" s="60">
        <f>(VLOOKUP($E573,'AWS Platforms Ratios'!$A$2:$O$25,3,FALSE)-1)*'Scope 3 Ratios'!$B$7</f>
        <v>100</v>
      </c>
      <c r="AJ573" s="60">
        <f>'Scope 3 Ratios'!$B$2+AF573+AG573+AH573+AI573</f>
        <v>1610.3792</v>
      </c>
      <c r="AK573" s="60">
        <f>AJ573*'Scope 3 Ratios'!$B$4*(C573/D573)</f>
        <v>11.64915509</v>
      </c>
      <c r="AL573" s="61" t="s">
        <v>727</v>
      </c>
    </row>
    <row r="574" ht="15.0" customHeight="1">
      <c r="A574" s="56" t="s">
        <v>900</v>
      </c>
      <c r="B574" s="56" t="s">
        <v>556</v>
      </c>
      <c r="C574" s="56">
        <v>24.0</v>
      </c>
      <c r="D574" s="56">
        <f>VLOOKUP(E574,'AWS Platforms Ratios'!$A$2:$B$25,2,FALSE)</f>
        <v>48</v>
      </c>
      <c r="E574" s="57" t="s">
        <v>726</v>
      </c>
      <c r="F574" s="56">
        <v>192.0</v>
      </c>
      <c r="G574" s="70">
        <v>384.0</v>
      </c>
      <c r="H574" s="57" t="s">
        <v>71</v>
      </c>
      <c r="I574" s="56" t="s">
        <v>72</v>
      </c>
      <c r="J574" s="56">
        <v>0.0</v>
      </c>
      <c r="K574" s="58" t="s">
        <v>73</v>
      </c>
      <c r="L574" s="58" t="s">
        <v>73</v>
      </c>
      <c r="M574" s="58" t="s">
        <v>73</v>
      </c>
      <c r="N574" s="58" t="s">
        <v>73</v>
      </c>
      <c r="O574" s="59">
        <f>($C574/$D574)*VLOOKUP($E574,'AWS Platforms Ratios'!$A$2:$O$25,7,FALSE)</f>
        <v>24</v>
      </c>
      <c r="P574" s="59">
        <f>($C574/$D574)*VLOOKUP($E574,'AWS Platforms Ratios'!$A$2:$O$25,8,FALSE)</f>
        <v>74</v>
      </c>
      <c r="Q574" s="59">
        <f>($C574/$D574)*VLOOKUP($E574,'AWS Platforms Ratios'!$A$2:$O$25,9,FALSE)</f>
        <v>180.5</v>
      </c>
      <c r="R574" s="59">
        <f>($C574/$D574)*VLOOKUP($E574,'AWS Platforms Ratios'!$A$2:$O$25,10,FALSE)</f>
        <v>220.5</v>
      </c>
      <c r="S574" s="59">
        <f>$F574*VLOOKUP($E574,'AWS Platforms Ratios'!$A$2:$O$25,11,FALSE)</f>
        <v>25</v>
      </c>
      <c r="T574" s="59">
        <f>$F574*VLOOKUP($E574,'AWS Platforms Ratios'!$A$2:$O$25,12,FALSE)</f>
        <v>46</v>
      </c>
      <c r="U574" s="59">
        <f>$F574*VLOOKUP($E574,'AWS Platforms Ratios'!$A$2:$O$25,13,FALSE)</f>
        <v>87</v>
      </c>
      <c r="V574" s="59">
        <f>$F574*VLOOKUP($E574,'AWS Platforms Ratios'!$A$2:$O$25,14,FALSE)</f>
        <v>128</v>
      </c>
      <c r="W574" s="60">
        <f>IF($K574&lt;&gt;"N/A",$M574*(VLOOKUP($L574,'GPU Specs &amp; Ratios'!$B$2:$I$8,5,FALSE)),0)</f>
        <v>0</v>
      </c>
      <c r="X574" s="60">
        <f>IF($K574&lt;&gt;"N/A",$M574*(VLOOKUP($L574,'GPU Specs &amp; Ratios'!$B$2:$I$8,6,FALSE)),0)</f>
        <v>0</v>
      </c>
      <c r="Y574" s="60">
        <f>IF($K574&lt;&gt;"N/A",$M574*(VLOOKUP($L574,'GPU Specs &amp; Ratios'!$B$2:$I$8,7,FALSE)),0)</f>
        <v>0</v>
      </c>
      <c r="Z574" s="60">
        <f>IF($K574&lt;&gt;"N/A",$M574*(VLOOKUP($L574,'GPU Specs &amp; Ratios'!$B$2:$I$8,8,FALSE)),0)</f>
        <v>0</v>
      </c>
      <c r="AA574" s="60">
        <f>(C574/D574)*VLOOKUP($E574,'AWS Platforms Ratios'!$A$2:$O$25,15,FALSE)</f>
        <v>48</v>
      </c>
      <c r="AB574" s="60">
        <f t="shared" ref="AB574:AE574" si="574">O574+S574+W574+$AA574</f>
        <v>97</v>
      </c>
      <c r="AC574" s="60">
        <f t="shared" si="574"/>
        <v>168</v>
      </c>
      <c r="AD574" s="60">
        <f t="shared" si="574"/>
        <v>315.5</v>
      </c>
      <c r="AE574" s="60">
        <f t="shared" si="574"/>
        <v>396.5</v>
      </c>
      <c r="AF574" s="60">
        <f>IF(G574&gt;'Scope 3 Ratios'!$B$5,(G574-'Scope 3 Ratios'!$B$5)*('Scope 3 Ratios'!$B$6/'Scope 3 Ratios'!$B$5),0)</f>
        <v>510.3792</v>
      </c>
      <c r="AG574" s="60">
        <f>J574*IF(I574="SSD",'Scope 3 Ratios'!$B$9,'Scope 3 Ratios'!$B$8)</f>
        <v>0</v>
      </c>
      <c r="AH574" s="60">
        <f>IF(K574&lt;&gt;"N/A",K574*'Scope 3 Ratios'!$B$10,0)</f>
        <v>0</v>
      </c>
      <c r="AI574" s="60">
        <f>(VLOOKUP($E574,'AWS Platforms Ratios'!$A$2:$O$25,3,FALSE)-1)*'Scope 3 Ratios'!$B$7</f>
        <v>100</v>
      </c>
      <c r="AJ574" s="60">
        <f>'Scope 3 Ratios'!$B$2+AF574+AG574+AH574+AI574</f>
        <v>1610.3792</v>
      </c>
      <c r="AK574" s="60">
        <f>AJ574*'Scope 3 Ratios'!$B$4*(C574/D574)</f>
        <v>23.29831019</v>
      </c>
      <c r="AL574" s="61" t="s">
        <v>727</v>
      </c>
    </row>
    <row r="575" ht="15.0" customHeight="1">
      <c r="A575" s="56" t="s">
        <v>901</v>
      </c>
      <c r="B575" s="56" t="s">
        <v>313</v>
      </c>
      <c r="C575" s="56">
        <v>4.0</v>
      </c>
      <c r="D575" s="56">
        <f>VLOOKUP(E575,'AWS Platforms Ratios'!$A$2:$B$25,2,FALSE)</f>
        <v>128</v>
      </c>
      <c r="E575" s="57" t="s">
        <v>690</v>
      </c>
      <c r="F575" s="56">
        <v>122.0</v>
      </c>
      <c r="G575" s="56">
        <v>3904.0</v>
      </c>
      <c r="H575" s="57" t="s">
        <v>71</v>
      </c>
      <c r="I575" s="56" t="s">
        <v>72</v>
      </c>
      <c r="J575" s="56">
        <v>0.0</v>
      </c>
      <c r="K575" s="58" t="s">
        <v>73</v>
      </c>
      <c r="L575" s="58" t="s">
        <v>73</v>
      </c>
      <c r="M575" s="58" t="s">
        <v>73</v>
      </c>
      <c r="N575" s="58" t="s">
        <v>73</v>
      </c>
      <c r="O575" s="59">
        <f>($C575/$D575)*VLOOKUP($E575,'AWS Platforms Ratios'!$A$2:$O$25,7,FALSE)</f>
        <v>2.261637931</v>
      </c>
      <c r="P575" s="59">
        <f>($C575/$D575)*VLOOKUP($E575,'AWS Platforms Ratios'!$A$2:$O$25,8,FALSE)</f>
        <v>6.456465517</v>
      </c>
      <c r="Q575" s="59">
        <f>($C575/$D575)*VLOOKUP($E575,'AWS Platforms Ratios'!$A$2:$O$25,9,FALSE)</f>
        <v>13.27952586</v>
      </c>
      <c r="R575" s="59">
        <f>($C575/$D575)*VLOOKUP($E575,'AWS Platforms Ratios'!$A$2:$O$25,10,FALSE)</f>
        <v>18.17667026</v>
      </c>
      <c r="S575" s="59">
        <f>$F575*VLOOKUP($E575,'AWS Platforms Ratios'!$A$2:$O$25,11,FALSE)</f>
        <v>24.4</v>
      </c>
      <c r="T575" s="59">
        <f>$F575*VLOOKUP($E575,'AWS Platforms Ratios'!$A$2:$O$25,12,FALSE)</f>
        <v>36.6</v>
      </c>
      <c r="U575" s="59">
        <f>$F575*VLOOKUP($E575,'AWS Platforms Ratios'!$A$2:$O$25,13,FALSE)</f>
        <v>48.8</v>
      </c>
      <c r="V575" s="59">
        <f>$F575*VLOOKUP($E575,'AWS Platforms Ratios'!$A$2:$O$25,14,FALSE)</f>
        <v>73.2</v>
      </c>
      <c r="W575" s="60">
        <f>IF($K575&lt;&gt;"N/A",$M575*(VLOOKUP($L575,'GPU Specs &amp; Ratios'!$B$2:$I$8,5,FALSE)),0)</f>
        <v>0</v>
      </c>
      <c r="X575" s="60">
        <f>IF($K575&lt;&gt;"N/A",$M575*(VLOOKUP($L575,'GPU Specs &amp; Ratios'!$B$2:$I$8,6,FALSE)),0)</f>
        <v>0</v>
      </c>
      <c r="Y575" s="60">
        <f>IF($K575&lt;&gt;"N/A",$M575*(VLOOKUP($L575,'GPU Specs &amp; Ratios'!$B$2:$I$8,7,FALSE)),0)</f>
        <v>0</v>
      </c>
      <c r="Z575" s="60">
        <f>IF($K575&lt;&gt;"N/A",$M575*(VLOOKUP($L575,'GPU Specs &amp; Ratios'!$B$2:$I$8,8,FALSE)),0)</f>
        <v>0</v>
      </c>
      <c r="AA575" s="60">
        <f>(C575/D575)*VLOOKUP($E575,'AWS Platforms Ratios'!$A$2:$O$25,15,FALSE)</f>
        <v>3.75</v>
      </c>
      <c r="AB575" s="60">
        <f t="shared" ref="AB575:AE575" si="575">O575+S575+W575+$AA575</f>
        <v>30.41163793</v>
      </c>
      <c r="AC575" s="60">
        <f t="shared" si="575"/>
        <v>46.80646552</v>
      </c>
      <c r="AD575" s="60">
        <f t="shared" si="575"/>
        <v>65.82952586</v>
      </c>
      <c r="AE575" s="60">
        <f t="shared" si="575"/>
        <v>95.12667026</v>
      </c>
      <c r="AF575" s="60">
        <f>IF(G575&gt;'Scope 3 Ratios'!$B$5,(G575-'Scope 3 Ratios'!$B$5)*('Scope 3 Ratios'!$B$6/'Scope 3 Ratios'!$B$5),0)</f>
        <v>5392.2672</v>
      </c>
      <c r="AG575" s="60">
        <f>J575*IF(I575="SSD",'Scope 3 Ratios'!$B$9,'Scope 3 Ratios'!$B$8)</f>
        <v>0</v>
      </c>
      <c r="AH575" s="60">
        <f>IF(K575&lt;&gt;"N/A",K575*'Scope 3 Ratios'!$B$10,0)</f>
        <v>0</v>
      </c>
      <c r="AI575" s="60">
        <f>(VLOOKUP($E575,'AWS Platforms Ratios'!$A$2:$O$25,3,FALSE)-1)*'Scope 3 Ratios'!$B$7</f>
        <v>300</v>
      </c>
      <c r="AJ575" s="60">
        <f>'Scope 3 Ratios'!$B$2+AF575+AG575+AH575+AI575</f>
        <v>6692.2672</v>
      </c>
      <c r="AK575" s="60">
        <f>AJ575*'Scope 3 Ratios'!$B$4*(C575/D575)</f>
        <v>6.051312211</v>
      </c>
      <c r="AL575" s="61" t="s">
        <v>692</v>
      </c>
    </row>
    <row r="576" ht="15.0" customHeight="1">
      <c r="A576" s="56" t="s">
        <v>902</v>
      </c>
      <c r="B576" s="56" t="s">
        <v>313</v>
      </c>
      <c r="C576" s="56">
        <v>8.0</v>
      </c>
      <c r="D576" s="56">
        <f>VLOOKUP(E576,'AWS Platforms Ratios'!$A$2:$B$25,2,FALSE)</f>
        <v>128</v>
      </c>
      <c r="E576" s="57" t="s">
        <v>690</v>
      </c>
      <c r="F576" s="56">
        <v>244.0</v>
      </c>
      <c r="G576" s="56">
        <v>3904.0</v>
      </c>
      <c r="H576" s="57" t="s">
        <v>71</v>
      </c>
      <c r="I576" s="56" t="s">
        <v>72</v>
      </c>
      <c r="J576" s="56">
        <v>0.0</v>
      </c>
      <c r="K576" s="58" t="s">
        <v>73</v>
      </c>
      <c r="L576" s="58" t="s">
        <v>73</v>
      </c>
      <c r="M576" s="58" t="s">
        <v>73</v>
      </c>
      <c r="N576" s="58" t="s">
        <v>73</v>
      </c>
      <c r="O576" s="59">
        <f>($C576/$D576)*VLOOKUP($E576,'AWS Platforms Ratios'!$A$2:$O$25,7,FALSE)</f>
        <v>4.523275862</v>
      </c>
      <c r="P576" s="59">
        <f>($C576/$D576)*VLOOKUP($E576,'AWS Platforms Ratios'!$A$2:$O$25,8,FALSE)</f>
        <v>12.91293103</v>
      </c>
      <c r="Q576" s="59">
        <f>($C576/$D576)*VLOOKUP($E576,'AWS Platforms Ratios'!$A$2:$O$25,9,FALSE)</f>
        <v>26.55905172</v>
      </c>
      <c r="R576" s="59">
        <f>($C576/$D576)*VLOOKUP($E576,'AWS Platforms Ratios'!$A$2:$O$25,10,FALSE)</f>
        <v>36.35334052</v>
      </c>
      <c r="S576" s="59">
        <f>$F576*VLOOKUP($E576,'AWS Platforms Ratios'!$A$2:$O$25,11,FALSE)</f>
        <v>48.8</v>
      </c>
      <c r="T576" s="59">
        <f>$F576*VLOOKUP($E576,'AWS Platforms Ratios'!$A$2:$O$25,12,FALSE)</f>
        <v>73.2</v>
      </c>
      <c r="U576" s="59">
        <f>$F576*VLOOKUP($E576,'AWS Platforms Ratios'!$A$2:$O$25,13,FALSE)</f>
        <v>97.6</v>
      </c>
      <c r="V576" s="59">
        <f>$F576*VLOOKUP($E576,'AWS Platforms Ratios'!$A$2:$O$25,14,FALSE)</f>
        <v>146.4</v>
      </c>
      <c r="W576" s="60">
        <f>IF($K576&lt;&gt;"N/A",$M576*(VLOOKUP($L576,'GPU Specs &amp; Ratios'!$B$2:$I$8,5,FALSE)),0)</f>
        <v>0</v>
      </c>
      <c r="X576" s="60">
        <f>IF($K576&lt;&gt;"N/A",$M576*(VLOOKUP($L576,'GPU Specs &amp; Ratios'!$B$2:$I$8,6,FALSE)),0)</f>
        <v>0</v>
      </c>
      <c r="Y576" s="60">
        <f>IF($K576&lt;&gt;"N/A",$M576*(VLOOKUP($L576,'GPU Specs &amp; Ratios'!$B$2:$I$8,7,FALSE)),0)</f>
        <v>0</v>
      </c>
      <c r="Z576" s="60">
        <f>IF($K576&lt;&gt;"N/A",$M576*(VLOOKUP($L576,'GPU Specs &amp; Ratios'!$B$2:$I$8,8,FALSE)),0)</f>
        <v>0</v>
      </c>
      <c r="AA576" s="60">
        <f>(C576/D576)*VLOOKUP($E576,'AWS Platforms Ratios'!$A$2:$O$25,15,FALSE)</f>
        <v>7.5</v>
      </c>
      <c r="AB576" s="60">
        <f t="shared" ref="AB576:AE576" si="576">O576+S576+W576+$AA576</f>
        <v>60.82327586</v>
      </c>
      <c r="AC576" s="60">
        <f t="shared" si="576"/>
        <v>93.61293103</v>
      </c>
      <c r="AD576" s="60">
        <f t="shared" si="576"/>
        <v>131.6590517</v>
      </c>
      <c r="AE576" s="60">
        <f t="shared" si="576"/>
        <v>190.2533405</v>
      </c>
      <c r="AF576" s="60">
        <f>IF(G576&gt;'Scope 3 Ratios'!$B$5,(G576-'Scope 3 Ratios'!$B$5)*('Scope 3 Ratios'!$B$6/'Scope 3 Ratios'!$B$5),0)</f>
        <v>5392.2672</v>
      </c>
      <c r="AG576" s="60">
        <f>J576*IF(I576="SSD",'Scope 3 Ratios'!$B$9,'Scope 3 Ratios'!$B$8)</f>
        <v>0</v>
      </c>
      <c r="AH576" s="60">
        <f>IF(K576&lt;&gt;"N/A",K576*'Scope 3 Ratios'!$B$10,0)</f>
        <v>0</v>
      </c>
      <c r="AI576" s="60">
        <f>(VLOOKUP($E576,'AWS Platforms Ratios'!$A$2:$O$25,3,FALSE)-1)*'Scope 3 Ratios'!$B$7</f>
        <v>300</v>
      </c>
      <c r="AJ576" s="60">
        <f>'Scope 3 Ratios'!$B$2+AF576+AG576+AH576+AI576</f>
        <v>6692.2672</v>
      </c>
      <c r="AK576" s="60">
        <f>AJ576*'Scope 3 Ratios'!$B$4*(C576/D576)</f>
        <v>12.10262442</v>
      </c>
      <c r="AL576" s="61" t="s">
        <v>692</v>
      </c>
    </row>
    <row r="577" ht="15.0" customHeight="1">
      <c r="A577" s="56" t="s">
        <v>903</v>
      </c>
      <c r="B577" s="56" t="s">
        <v>313</v>
      </c>
      <c r="C577" s="56">
        <v>16.0</v>
      </c>
      <c r="D577" s="56">
        <f>VLOOKUP(E577,'AWS Platforms Ratios'!$A$2:$B$25,2,FALSE)</f>
        <v>128</v>
      </c>
      <c r="E577" s="57" t="s">
        <v>690</v>
      </c>
      <c r="F577" s="56">
        <v>488.0</v>
      </c>
      <c r="G577" s="56">
        <v>3904.0</v>
      </c>
      <c r="H577" s="57" t="s">
        <v>71</v>
      </c>
      <c r="I577" s="56" t="s">
        <v>72</v>
      </c>
      <c r="J577" s="56">
        <v>0.0</v>
      </c>
      <c r="K577" s="58" t="s">
        <v>73</v>
      </c>
      <c r="L577" s="58" t="s">
        <v>73</v>
      </c>
      <c r="M577" s="58" t="s">
        <v>73</v>
      </c>
      <c r="N577" s="58" t="s">
        <v>73</v>
      </c>
      <c r="O577" s="59">
        <f>($C577/$D577)*VLOOKUP($E577,'AWS Platforms Ratios'!$A$2:$O$25,7,FALSE)</f>
        <v>9.046551724</v>
      </c>
      <c r="P577" s="59">
        <f>($C577/$D577)*VLOOKUP($E577,'AWS Platforms Ratios'!$A$2:$O$25,8,FALSE)</f>
        <v>25.82586207</v>
      </c>
      <c r="Q577" s="59">
        <f>($C577/$D577)*VLOOKUP($E577,'AWS Platforms Ratios'!$A$2:$O$25,9,FALSE)</f>
        <v>53.11810345</v>
      </c>
      <c r="R577" s="59">
        <f>($C577/$D577)*VLOOKUP($E577,'AWS Platforms Ratios'!$A$2:$O$25,10,FALSE)</f>
        <v>72.70668103</v>
      </c>
      <c r="S577" s="59">
        <f>$F577*VLOOKUP($E577,'AWS Platforms Ratios'!$A$2:$O$25,11,FALSE)</f>
        <v>97.6</v>
      </c>
      <c r="T577" s="59">
        <f>$F577*VLOOKUP($E577,'AWS Platforms Ratios'!$A$2:$O$25,12,FALSE)</f>
        <v>146.4</v>
      </c>
      <c r="U577" s="59">
        <f>$F577*VLOOKUP($E577,'AWS Platforms Ratios'!$A$2:$O$25,13,FALSE)</f>
        <v>195.2</v>
      </c>
      <c r="V577" s="59">
        <f>$F577*VLOOKUP($E577,'AWS Platforms Ratios'!$A$2:$O$25,14,FALSE)</f>
        <v>292.8</v>
      </c>
      <c r="W577" s="60">
        <f>IF($K577&lt;&gt;"N/A",$M577*(VLOOKUP($L577,'GPU Specs &amp; Ratios'!$B$2:$I$8,5,FALSE)),0)</f>
        <v>0</v>
      </c>
      <c r="X577" s="60">
        <f>IF($K577&lt;&gt;"N/A",$M577*(VLOOKUP($L577,'GPU Specs &amp; Ratios'!$B$2:$I$8,6,FALSE)),0)</f>
        <v>0</v>
      </c>
      <c r="Y577" s="60">
        <f>IF($K577&lt;&gt;"N/A",$M577*(VLOOKUP($L577,'GPU Specs &amp; Ratios'!$B$2:$I$8,7,FALSE)),0)</f>
        <v>0</v>
      </c>
      <c r="Z577" s="60">
        <f>IF($K577&lt;&gt;"N/A",$M577*(VLOOKUP($L577,'GPU Specs &amp; Ratios'!$B$2:$I$8,8,FALSE)),0)</f>
        <v>0</v>
      </c>
      <c r="AA577" s="60">
        <f>(C577/D577)*VLOOKUP($E577,'AWS Platforms Ratios'!$A$2:$O$25,15,FALSE)</f>
        <v>15</v>
      </c>
      <c r="AB577" s="60">
        <f t="shared" ref="AB577:AE577" si="577">O577+S577+W577+$AA577</f>
        <v>121.6465517</v>
      </c>
      <c r="AC577" s="60">
        <f t="shared" si="577"/>
        <v>187.2258621</v>
      </c>
      <c r="AD577" s="60">
        <f t="shared" si="577"/>
        <v>263.3181034</v>
      </c>
      <c r="AE577" s="60">
        <f t="shared" si="577"/>
        <v>380.506681</v>
      </c>
      <c r="AF577" s="60">
        <f>IF(G577&gt;'Scope 3 Ratios'!$B$5,(G577-'Scope 3 Ratios'!$B$5)*('Scope 3 Ratios'!$B$6/'Scope 3 Ratios'!$B$5),0)</f>
        <v>5392.2672</v>
      </c>
      <c r="AG577" s="60">
        <f>J577*IF(I577="SSD",'Scope 3 Ratios'!$B$9,'Scope 3 Ratios'!$B$8)</f>
        <v>0</v>
      </c>
      <c r="AH577" s="60">
        <f>IF(K577&lt;&gt;"N/A",K577*'Scope 3 Ratios'!$B$10,0)</f>
        <v>0</v>
      </c>
      <c r="AI577" s="60">
        <f>(VLOOKUP($E577,'AWS Platforms Ratios'!$A$2:$O$25,3,FALSE)-1)*'Scope 3 Ratios'!$B$7</f>
        <v>300</v>
      </c>
      <c r="AJ577" s="60">
        <f>'Scope 3 Ratios'!$B$2+AF577+AG577+AH577+AI577</f>
        <v>6692.2672</v>
      </c>
      <c r="AK577" s="60">
        <f>AJ577*'Scope 3 Ratios'!$B$4*(C577/D577)</f>
        <v>24.20524884</v>
      </c>
      <c r="AL577" s="61" t="s">
        <v>692</v>
      </c>
    </row>
    <row r="578" ht="15.0" customHeight="1">
      <c r="A578" s="56" t="s">
        <v>904</v>
      </c>
      <c r="B578" s="56" t="s">
        <v>313</v>
      </c>
      <c r="C578" s="56">
        <v>32.0</v>
      </c>
      <c r="D578" s="56">
        <f>VLOOKUP(E578,'AWS Platforms Ratios'!$A$2:$B$25,2,FALSE)</f>
        <v>128</v>
      </c>
      <c r="E578" s="57" t="s">
        <v>690</v>
      </c>
      <c r="F578" s="56">
        <v>976.0</v>
      </c>
      <c r="G578" s="56">
        <v>3904.0</v>
      </c>
      <c r="H578" s="57" t="s">
        <v>71</v>
      </c>
      <c r="I578" s="56" t="s">
        <v>72</v>
      </c>
      <c r="J578" s="56">
        <v>0.0</v>
      </c>
      <c r="K578" s="58" t="s">
        <v>73</v>
      </c>
      <c r="L578" s="58" t="s">
        <v>73</v>
      </c>
      <c r="M578" s="58" t="s">
        <v>73</v>
      </c>
      <c r="N578" s="58" t="s">
        <v>73</v>
      </c>
      <c r="O578" s="59">
        <f>($C578/$D578)*VLOOKUP($E578,'AWS Platforms Ratios'!$A$2:$O$25,7,FALSE)</f>
        <v>18.09310345</v>
      </c>
      <c r="P578" s="59">
        <f>($C578/$D578)*VLOOKUP($E578,'AWS Platforms Ratios'!$A$2:$O$25,8,FALSE)</f>
        <v>51.65172414</v>
      </c>
      <c r="Q578" s="59">
        <f>($C578/$D578)*VLOOKUP($E578,'AWS Platforms Ratios'!$A$2:$O$25,9,FALSE)</f>
        <v>106.2362069</v>
      </c>
      <c r="R578" s="59">
        <f>($C578/$D578)*VLOOKUP($E578,'AWS Platforms Ratios'!$A$2:$O$25,10,FALSE)</f>
        <v>145.4133621</v>
      </c>
      <c r="S578" s="59">
        <f>$F578*VLOOKUP($E578,'AWS Platforms Ratios'!$A$2:$O$25,11,FALSE)</f>
        <v>195.2</v>
      </c>
      <c r="T578" s="59">
        <f>$F578*VLOOKUP($E578,'AWS Platforms Ratios'!$A$2:$O$25,12,FALSE)</f>
        <v>292.8</v>
      </c>
      <c r="U578" s="59">
        <f>$F578*VLOOKUP($E578,'AWS Platforms Ratios'!$A$2:$O$25,13,FALSE)</f>
        <v>390.4</v>
      </c>
      <c r="V578" s="59">
        <f>$F578*VLOOKUP($E578,'AWS Platforms Ratios'!$A$2:$O$25,14,FALSE)</f>
        <v>585.6</v>
      </c>
      <c r="W578" s="60">
        <f>IF($K578&lt;&gt;"N/A",$M578*(VLOOKUP($L578,'GPU Specs &amp; Ratios'!$B$2:$I$8,5,FALSE)),0)</f>
        <v>0</v>
      </c>
      <c r="X578" s="60">
        <f>IF($K578&lt;&gt;"N/A",$M578*(VLOOKUP($L578,'GPU Specs &amp; Ratios'!$B$2:$I$8,6,FALSE)),0)</f>
        <v>0</v>
      </c>
      <c r="Y578" s="60">
        <f>IF($K578&lt;&gt;"N/A",$M578*(VLOOKUP($L578,'GPU Specs &amp; Ratios'!$B$2:$I$8,7,FALSE)),0)</f>
        <v>0</v>
      </c>
      <c r="Z578" s="60">
        <f>IF($K578&lt;&gt;"N/A",$M578*(VLOOKUP($L578,'GPU Specs &amp; Ratios'!$B$2:$I$8,8,FALSE)),0)</f>
        <v>0</v>
      </c>
      <c r="AA578" s="60">
        <f>(C578/D578)*VLOOKUP($E578,'AWS Platforms Ratios'!$A$2:$O$25,15,FALSE)</f>
        <v>30</v>
      </c>
      <c r="AB578" s="60">
        <f t="shared" ref="AB578:AE578" si="578">O578+S578+W578+$AA578</f>
        <v>243.2931034</v>
      </c>
      <c r="AC578" s="60">
        <f t="shared" si="578"/>
        <v>374.4517241</v>
      </c>
      <c r="AD578" s="60">
        <f t="shared" si="578"/>
        <v>526.6362069</v>
      </c>
      <c r="AE578" s="60">
        <f t="shared" si="578"/>
        <v>761.0133621</v>
      </c>
      <c r="AF578" s="60">
        <f>IF(G578&gt;'Scope 3 Ratios'!$B$5,(G578-'Scope 3 Ratios'!$B$5)*('Scope 3 Ratios'!$B$6/'Scope 3 Ratios'!$B$5),0)</f>
        <v>5392.2672</v>
      </c>
      <c r="AG578" s="60">
        <f>J578*IF(I578="SSD",'Scope 3 Ratios'!$B$9,'Scope 3 Ratios'!$B$8)</f>
        <v>0</v>
      </c>
      <c r="AH578" s="60">
        <f>IF(K578&lt;&gt;"N/A",K578*'Scope 3 Ratios'!$B$10,0)</f>
        <v>0</v>
      </c>
      <c r="AI578" s="60">
        <f>(VLOOKUP($E578,'AWS Platforms Ratios'!$A$2:$O$25,3,FALSE)-1)*'Scope 3 Ratios'!$B$7</f>
        <v>300</v>
      </c>
      <c r="AJ578" s="60">
        <f>'Scope 3 Ratios'!$B$2+AF578+AG578+AH578+AI578</f>
        <v>6692.2672</v>
      </c>
      <c r="AK578" s="60">
        <f>AJ578*'Scope 3 Ratios'!$B$4*(C578/D578)</f>
        <v>48.41049769</v>
      </c>
      <c r="AL578" s="61" t="s">
        <v>692</v>
      </c>
    </row>
    <row r="579" ht="15.0" customHeight="1">
      <c r="A579" s="56" t="s">
        <v>905</v>
      </c>
      <c r="B579" s="56" t="s">
        <v>313</v>
      </c>
      <c r="C579" s="56">
        <v>64.0</v>
      </c>
      <c r="D579" s="56">
        <f>VLOOKUP(E579,'AWS Platforms Ratios'!$A$2:$B$25,2,FALSE)</f>
        <v>128</v>
      </c>
      <c r="E579" s="57" t="s">
        <v>690</v>
      </c>
      <c r="F579" s="56">
        <v>1952.0</v>
      </c>
      <c r="G579" s="56">
        <v>3904.0</v>
      </c>
      <c r="H579" s="57" t="s">
        <v>71</v>
      </c>
      <c r="I579" s="56" t="s">
        <v>72</v>
      </c>
      <c r="J579" s="56">
        <v>0.0</v>
      </c>
      <c r="K579" s="58" t="s">
        <v>73</v>
      </c>
      <c r="L579" s="58" t="s">
        <v>73</v>
      </c>
      <c r="M579" s="58" t="s">
        <v>73</v>
      </c>
      <c r="N579" s="58" t="s">
        <v>73</v>
      </c>
      <c r="O579" s="59">
        <f>($C579/$D579)*VLOOKUP($E579,'AWS Platforms Ratios'!$A$2:$O$25,7,FALSE)</f>
        <v>36.1862069</v>
      </c>
      <c r="P579" s="59">
        <f>($C579/$D579)*VLOOKUP($E579,'AWS Platforms Ratios'!$A$2:$O$25,8,FALSE)</f>
        <v>103.3034483</v>
      </c>
      <c r="Q579" s="59">
        <f>($C579/$D579)*VLOOKUP($E579,'AWS Platforms Ratios'!$A$2:$O$25,9,FALSE)</f>
        <v>212.4724138</v>
      </c>
      <c r="R579" s="59">
        <f>($C579/$D579)*VLOOKUP($E579,'AWS Platforms Ratios'!$A$2:$O$25,10,FALSE)</f>
        <v>290.8267241</v>
      </c>
      <c r="S579" s="59">
        <f>$F579*VLOOKUP($E579,'AWS Platforms Ratios'!$A$2:$O$25,11,FALSE)</f>
        <v>390.4</v>
      </c>
      <c r="T579" s="59">
        <f>$F579*VLOOKUP($E579,'AWS Platforms Ratios'!$A$2:$O$25,12,FALSE)</f>
        <v>585.6</v>
      </c>
      <c r="U579" s="59">
        <f>$F579*VLOOKUP($E579,'AWS Platforms Ratios'!$A$2:$O$25,13,FALSE)</f>
        <v>780.8</v>
      </c>
      <c r="V579" s="59">
        <f>$F579*VLOOKUP($E579,'AWS Platforms Ratios'!$A$2:$O$25,14,FALSE)</f>
        <v>1171.2</v>
      </c>
      <c r="W579" s="60">
        <f>IF($K579&lt;&gt;"N/A",$M579*(VLOOKUP($L579,'GPU Specs &amp; Ratios'!$B$2:$I$8,5,FALSE)),0)</f>
        <v>0</v>
      </c>
      <c r="X579" s="60">
        <f>IF($K579&lt;&gt;"N/A",$M579*(VLOOKUP($L579,'GPU Specs &amp; Ratios'!$B$2:$I$8,6,FALSE)),0)</f>
        <v>0</v>
      </c>
      <c r="Y579" s="60">
        <f>IF($K579&lt;&gt;"N/A",$M579*(VLOOKUP($L579,'GPU Specs &amp; Ratios'!$B$2:$I$8,7,FALSE)),0)</f>
        <v>0</v>
      </c>
      <c r="Z579" s="60">
        <f>IF($K579&lt;&gt;"N/A",$M579*(VLOOKUP($L579,'GPU Specs &amp; Ratios'!$B$2:$I$8,8,FALSE)),0)</f>
        <v>0</v>
      </c>
      <c r="AA579" s="60">
        <f>(C579/D579)*VLOOKUP($E579,'AWS Platforms Ratios'!$A$2:$O$25,15,FALSE)</f>
        <v>60</v>
      </c>
      <c r="AB579" s="60">
        <f t="shared" ref="AB579:AE579" si="579">O579+S579+W579+$AA579</f>
        <v>486.5862069</v>
      </c>
      <c r="AC579" s="60">
        <f t="shared" si="579"/>
        <v>748.9034483</v>
      </c>
      <c r="AD579" s="60">
        <f t="shared" si="579"/>
        <v>1053.272414</v>
      </c>
      <c r="AE579" s="60">
        <f t="shared" si="579"/>
        <v>1522.026724</v>
      </c>
      <c r="AF579" s="60">
        <f>IF(G579&gt;'Scope 3 Ratios'!$B$5,(G579-'Scope 3 Ratios'!$B$5)*('Scope 3 Ratios'!$B$6/'Scope 3 Ratios'!$B$5),0)</f>
        <v>5392.2672</v>
      </c>
      <c r="AG579" s="60">
        <f>J579*IF(I579="SSD",'Scope 3 Ratios'!$B$9,'Scope 3 Ratios'!$B$8)</f>
        <v>0</v>
      </c>
      <c r="AH579" s="60">
        <f>IF(K579&lt;&gt;"N/A",K579*'Scope 3 Ratios'!$B$10,0)</f>
        <v>0</v>
      </c>
      <c r="AI579" s="60">
        <f>(VLOOKUP($E579,'AWS Platforms Ratios'!$A$2:$O$25,3,FALSE)-1)*'Scope 3 Ratios'!$B$7</f>
        <v>300</v>
      </c>
      <c r="AJ579" s="60">
        <f>'Scope 3 Ratios'!$B$2+AF579+AG579+AH579+AI579</f>
        <v>6692.2672</v>
      </c>
      <c r="AK579" s="60">
        <f>AJ579*'Scope 3 Ratios'!$B$4*(C579/D579)</f>
        <v>96.82099537</v>
      </c>
      <c r="AL579" s="61" t="s">
        <v>692</v>
      </c>
    </row>
    <row r="580" ht="15.0" customHeight="1">
      <c r="A580" s="56" t="s">
        <v>906</v>
      </c>
      <c r="B580" s="56" t="s">
        <v>706</v>
      </c>
      <c r="C580" s="56">
        <v>128.0</v>
      </c>
      <c r="D580" s="56">
        <f>VLOOKUP(E580,'AWS Platforms Ratios'!$A$2:$B$25,2,FALSE)</f>
        <v>128</v>
      </c>
      <c r="E580" s="57" t="s">
        <v>690</v>
      </c>
      <c r="F580" s="56">
        <v>3904.0</v>
      </c>
      <c r="G580" s="56">
        <v>3904.0</v>
      </c>
      <c r="H580" s="57" t="s">
        <v>71</v>
      </c>
      <c r="I580" s="56" t="s">
        <v>72</v>
      </c>
      <c r="J580" s="56">
        <v>0.0</v>
      </c>
      <c r="K580" s="58" t="s">
        <v>73</v>
      </c>
      <c r="L580" s="58" t="s">
        <v>73</v>
      </c>
      <c r="M580" s="58" t="s">
        <v>73</v>
      </c>
      <c r="N580" s="58" t="s">
        <v>73</v>
      </c>
      <c r="O580" s="59">
        <f>($C580/$D580)*VLOOKUP($E580,'AWS Platforms Ratios'!$A$2:$O$25,7,FALSE)</f>
        <v>72.37241379</v>
      </c>
      <c r="P580" s="59">
        <f>($C580/$D580)*VLOOKUP($E580,'AWS Platforms Ratios'!$A$2:$O$25,8,FALSE)</f>
        <v>206.6068966</v>
      </c>
      <c r="Q580" s="59">
        <f>($C580/$D580)*VLOOKUP($E580,'AWS Platforms Ratios'!$A$2:$O$25,9,FALSE)</f>
        <v>424.9448276</v>
      </c>
      <c r="R580" s="59">
        <f>($C580/$D580)*VLOOKUP($E580,'AWS Platforms Ratios'!$A$2:$O$25,10,FALSE)</f>
        <v>581.6534483</v>
      </c>
      <c r="S580" s="59">
        <f>$F580*VLOOKUP($E580,'AWS Platforms Ratios'!$A$2:$O$25,11,FALSE)</f>
        <v>780.8</v>
      </c>
      <c r="T580" s="59">
        <f>$F580*VLOOKUP($E580,'AWS Platforms Ratios'!$A$2:$O$25,12,FALSE)</f>
        <v>1171.2</v>
      </c>
      <c r="U580" s="59">
        <f>$F580*VLOOKUP($E580,'AWS Platforms Ratios'!$A$2:$O$25,13,FALSE)</f>
        <v>1561.6</v>
      </c>
      <c r="V580" s="59">
        <f>$F580*VLOOKUP($E580,'AWS Platforms Ratios'!$A$2:$O$25,14,FALSE)</f>
        <v>2342.4</v>
      </c>
      <c r="W580" s="60">
        <f>IF($K580&lt;&gt;"N/A",$M580*(VLOOKUP($L580,'GPU Specs &amp; Ratios'!$B$2:$I$8,5,FALSE)),0)</f>
        <v>0</v>
      </c>
      <c r="X580" s="60">
        <f>IF($K580&lt;&gt;"N/A",$M580*(VLOOKUP($L580,'GPU Specs &amp; Ratios'!$B$2:$I$8,6,FALSE)),0)</f>
        <v>0</v>
      </c>
      <c r="Y580" s="60">
        <f>IF($K580&lt;&gt;"N/A",$M580*(VLOOKUP($L580,'GPU Specs &amp; Ratios'!$B$2:$I$8,7,FALSE)),0)</f>
        <v>0</v>
      </c>
      <c r="Z580" s="60">
        <f>IF($K580&lt;&gt;"N/A",$M580*(VLOOKUP($L580,'GPU Specs &amp; Ratios'!$B$2:$I$8,8,FALSE)),0)</f>
        <v>0</v>
      </c>
      <c r="AA580" s="60">
        <f>(C580/D580)*VLOOKUP($E580,'AWS Platforms Ratios'!$A$2:$O$25,15,FALSE)</f>
        <v>120</v>
      </c>
      <c r="AB580" s="60">
        <f t="shared" ref="AB580:AE580" si="580">O580+S580+W580+$AA580</f>
        <v>973.1724138</v>
      </c>
      <c r="AC580" s="60">
        <f t="shared" si="580"/>
        <v>1497.806897</v>
      </c>
      <c r="AD580" s="60">
        <f t="shared" si="580"/>
        <v>2106.544828</v>
      </c>
      <c r="AE580" s="60">
        <f t="shared" si="580"/>
        <v>3044.053448</v>
      </c>
      <c r="AF580" s="60">
        <f>IF(G580&gt;'Scope 3 Ratios'!$B$5,(G580-'Scope 3 Ratios'!$B$5)*('Scope 3 Ratios'!$B$6/'Scope 3 Ratios'!$B$5),0)</f>
        <v>5392.2672</v>
      </c>
      <c r="AG580" s="60">
        <f>J580*IF(I580="SSD",'Scope 3 Ratios'!$B$9,'Scope 3 Ratios'!$B$8)</f>
        <v>0</v>
      </c>
      <c r="AH580" s="60">
        <f>IF(K580&lt;&gt;"N/A",K580*'Scope 3 Ratios'!$B$10,0)</f>
        <v>0</v>
      </c>
      <c r="AI580" s="60">
        <f>(VLOOKUP($E580,'AWS Platforms Ratios'!$A$2:$O$25,3,FALSE)-1)*'Scope 3 Ratios'!$B$7</f>
        <v>300</v>
      </c>
      <c r="AJ580" s="60">
        <f>'Scope 3 Ratios'!$B$2+AF580+AG580+AH580+AI580</f>
        <v>6692.2672</v>
      </c>
      <c r="AK580" s="60">
        <f>AJ580*'Scope 3 Ratios'!$B$4*(C580/D580)</f>
        <v>193.6419907</v>
      </c>
      <c r="AL580" s="61" t="s">
        <v>692</v>
      </c>
    </row>
    <row r="581" ht="15.0" customHeight="1">
      <c r="A581" s="56" t="s">
        <v>907</v>
      </c>
      <c r="B581" s="56" t="s">
        <v>694</v>
      </c>
      <c r="C581" s="56">
        <v>128.0</v>
      </c>
      <c r="D581" s="56">
        <f>VLOOKUP(E581,'AWS Platforms Ratios'!$A$2:$B$25,2,FALSE)</f>
        <v>128</v>
      </c>
      <c r="E581" s="57" t="s">
        <v>690</v>
      </c>
      <c r="F581" s="56">
        <v>1952.0</v>
      </c>
      <c r="G581" s="56">
        <v>1952.0</v>
      </c>
      <c r="H581" s="57" t="s">
        <v>71</v>
      </c>
      <c r="I581" s="56" t="s">
        <v>72</v>
      </c>
      <c r="J581" s="56">
        <v>0.0</v>
      </c>
      <c r="K581" s="58" t="s">
        <v>73</v>
      </c>
      <c r="L581" s="58" t="s">
        <v>73</v>
      </c>
      <c r="M581" s="58" t="s">
        <v>73</v>
      </c>
      <c r="N581" s="58" t="s">
        <v>73</v>
      </c>
      <c r="O581" s="59">
        <f>($C581/$D581)*VLOOKUP($E581,'AWS Platforms Ratios'!$A$2:$O$25,7,FALSE)</f>
        <v>72.37241379</v>
      </c>
      <c r="P581" s="59">
        <f>($C581/$D581)*VLOOKUP($E581,'AWS Platforms Ratios'!$A$2:$O$25,8,FALSE)</f>
        <v>206.6068966</v>
      </c>
      <c r="Q581" s="59">
        <f>($C581/$D581)*VLOOKUP($E581,'AWS Platforms Ratios'!$A$2:$O$25,9,FALSE)</f>
        <v>424.9448276</v>
      </c>
      <c r="R581" s="59">
        <f>($C581/$D581)*VLOOKUP($E581,'AWS Platforms Ratios'!$A$2:$O$25,10,FALSE)</f>
        <v>581.6534483</v>
      </c>
      <c r="S581" s="59">
        <f>$F581*VLOOKUP($E581,'AWS Platforms Ratios'!$A$2:$O$25,11,FALSE)</f>
        <v>390.4</v>
      </c>
      <c r="T581" s="59">
        <f>$F581*VLOOKUP($E581,'AWS Platforms Ratios'!$A$2:$O$25,12,FALSE)</f>
        <v>585.6</v>
      </c>
      <c r="U581" s="59">
        <f>$F581*VLOOKUP($E581,'AWS Platforms Ratios'!$A$2:$O$25,13,FALSE)</f>
        <v>780.8</v>
      </c>
      <c r="V581" s="59">
        <f>$F581*VLOOKUP($E581,'AWS Platforms Ratios'!$A$2:$O$25,14,FALSE)</f>
        <v>1171.2</v>
      </c>
      <c r="W581" s="60">
        <f>IF($K581&lt;&gt;"N/A",$M581*(VLOOKUP($L581,'GPU Specs &amp; Ratios'!$B$2:$I$8,5,FALSE)),0)</f>
        <v>0</v>
      </c>
      <c r="X581" s="60">
        <f>IF($K581&lt;&gt;"N/A",$M581*(VLOOKUP($L581,'GPU Specs &amp; Ratios'!$B$2:$I$8,6,FALSE)),0)</f>
        <v>0</v>
      </c>
      <c r="Y581" s="60">
        <f>IF($K581&lt;&gt;"N/A",$M581*(VLOOKUP($L581,'GPU Specs &amp; Ratios'!$B$2:$I$8,7,FALSE)),0)</f>
        <v>0</v>
      </c>
      <c r="Z581" s="60">
        <f>IF($K581&lt;&gt;"N/A",$M581*(VLOOKUP($L581,'GPU Specs &amp; Ratios'!$B$2:$I$8,8,FALSE)),0)</f>
        <v>0</v>
      </c>
      <c r="AA581" s="60">
        <f>(C581/D581)*VLOOKUP($E581,'AWS Platforms Ratios'!$A$2:$O$25,15,FALSE)</f>
        <v>120</v>
      </c>
      <c r="AB581" s="60">
        <f t="shared" ref="AB581:AE581" si="581">O581+S581+W581+$AA581</f>
        <v>582.7724138</v>
      </c>
      <c r="AC581" s="60">
        <f t="shared" si="581"/>
        <v>912.2068966</v>
      </c>
      <c r="AD581" s="60">
        <f t="shared" si="581"/>
        <v>1325.744828</v>
      </c>
      <c r="AE581" s="60">
        <f t="shared" si="581"/>
        <v>1872.853448</v>
      </c>
      <c r="AF581" s="60">
        <f>IF(G581&gt;'Scope 3 Ratios'!$B$5,(G581-'Scope 3 Ratios'!$B$5)*('Scope 3 Ratios'!$B$6/'Scope 3 Ratios'!$B$5),0)</f>
        <v>2685.0384</v>
      </c>
      <c r="AG581" s="60">
        <f>J581*IF(I581="SSD",'Scope 3 Ratios'!$B$9,'Scope 3 Ratios'!$B$8)</f>
        <v>0</v>
      </c>
      <c r="AH581" s="60">
        <f>IF(K581&lt;&gt;"N/A",K581*'Scope 3 Ratios'!$B$10,0)</f>
        <v>0</v>
      </c>
      <c r="AI581" s="60">
        <f>(VLOOKUP($E581,'AWS Platforms Ratios'!$A$2:$O$25,3,FALSE)-1)*'Scope 3 Ratios'!$B$7</f>
        <v>300</v>
      </c>
      <c r="AJ581" s="60">
        <f>'Scope 3 Ratios'!$B$2+AF581+AG581+AH581+AI581</f>
        <v>3985.0384</v>
      </c>
      <c r="AK581" s="60">
        <f>AJ581*'Scope 3 Ratios'!$B$4*(C581/D581)</f>
        <v>115.3078241</v>
      </c>
      <c r="AL581" s="61" t="s">
        <v>692</v>
      </c>
    </row>
    <row r="582" ht="15.0" customHeight="1">
      <c r="A582" s="56" t="s">
        <v>908</v>
      </c>
      <c r="B582" s="56" t="s">
        <v>689</v>
      </c>
      <c r="C582" s="56">
        <v>64.0</v>
      </c>
      <c r="D582" s="56">
        <f>VLOOKUP(E582,'AWS Platforms Ratios'!$A$2:$B$25,2,FALSE)</f>
        <v>128</v>
      </c>
      <c r="E582" s="57" t="s">
        <v>690</v>
      </c>
      <c r="F582" s="56">
        <v>976.0</v>
      </c>
      <c r="G582" s="56">
        <v>1952.0</v>
      </c>
      <c r="H582" s="57" t="s">
        <v>71</v>
      </c>
      <c r="I582" s="56" t="s">
        <v>72</v>
      </c>
      <c r="J582" s="56">
        <v>0.0</v>
      </c>
      <c r="K582" s="58" t="s">
        <v>73</v>
      </c>
      <c r="L582" s="58" t="s">
        <v>73</v>
      </c>
      <c r="M582" s="58" t="s">
        <v>73</v>
      </c>
      <c r="N582" s="58" t="s">
        <v>73</v>
      </c>
      <c r="O582" s="59">
        <f>($C582/$D582)*VLOOKUP($E582,'AWS Platforms Ratios'!$A$2:$O$25,7,FALSE)</f>
        <v>36.1862069</v>
      </c>
      <c r="P582" s="59">
        <f>($C582/$D582)*VLOOKUP($E582,'AWS Platforms Ratios'!$A$2:$O$25,8,FALSE)</f>
        <v>103.3034483</v>
      </c>
      <c r="Q582" s="59">
        <f>($C582/$D582)*VLOOKUP($E582,'AWS Platforms Ratios'!$A$2:$O$25,9,FALSE)</f>
        <v>212.4724138</v>
      </c>
      <c r="R582" s="59">
        <f>($C582/$D582)*VLOOKUP($E582,'AWS Platforms Ratios'!$A$2:$O$25,10,FALSE)</f>
        <v>290.8267241</v>
      </c>
      <c r="S582" s="59">
        <f>$F582*VLOOKUP($E582,'AWS Platforms Ratios'!$A$2:$O$25,11,FALSE)</f>
        <v>195.2</v>
      </c>
      <c r="T582" s="59">
        <f>$F582*VLOOKUP($E582,'AWS Platforms Ratios'!$A$2:$O$25,12,FALSE)</f>
        <v>292.8</v>
      </c>
      <c r="U582" s="59">
        <f>$F582*VLOOKUP($E582,'AWS Platforms Ratios'!$A$2:$O$25,13,FALSE)</f>
        <v>390.4</v>
      </c>
      <c r="V582" s="59">
        <f>$F582*VLOOKUP($E582,'AWS Platforms Ratios'!$A$2:$O$25,14,FALSE)</f>
        <v>585.6</v>
      </c>
      <c r="W582" s="60">
        <f>IF($K582&lt;&gt;"N/A",$M582*(VLOOKUP($L582,'GPU Specs &amp; Ratios'!$B$2:$I$8,5,FALSE)),0)</f>
        <v>0</v>
      </c>
      <c r="X582" s="60">
        <f>IF($K582&lt;&gt;"N/A",$M582*(VLOOKUP($L582,'GPU Specs &amp; Ratios'!$B$2:$I$8,6,FALSE)),0)</f>
        <v>0</v>
      </c>
      <c r="Y582" s="60">
        <f>IF($K582&lt;&gt;"N/A",$M582*(VLOOKUP($L582,'GPU Specs &amp; Ratios'!$B$2:$I$8,7,FALSE)),0)</f>
        <v>0</v>
      </c>
      <c r="Z582" s="60">
        <f>IF($K582&lt;&gt;"N/A",$M582*(VLOOKUP($L582,'GPU Specs &amp; Ratios'!$B$2:$I$8,8,FALSE)),0)</f>
        <v>0</v>
      </c>
      <c r="AA582" s="60">
        <f>(C582/D582)*VLOOKUP($E582,'AWS Platforms Ratios'!$A$2:$O$25,15,FALSE)</f>
        <v>60</v>
      </c>
      <c r="AB582" s="60">
        <f t="shared" ref="AB582:AE582" si="582">O582+S582+W582+$AA582</f>
        <v>291.3862069</v>
      </c>
      <c r="AC582" s="60">
        <f t="shared" si="582"/>
        <v>456.1034483</v>
      </c>
      <c r="AD582" s="60">
        <f t="shared" si="582"/>
        <v>662.8724138</v>
      </c>
      <c r="AE582" s="60">
        <f t="shared" si="582"/>
        <v>936.4267241</v>
      </c>
      <c r="AF582" s="60">
        <f>IF(G582&gt;'Scope 3 Ratios'!$B$5,(G582-'Scope 3 Ratios'!$B$5)*('Scope 3 Ratios'!$B$6/'Scope 3 Ratios'!$B$5),0)</f>
        <v>2685.0384</v>
      </c>
      <c r="AG582" s="60">
        <f>J582*IF(I582="SSD",'Scope 3 Ratios'!$B$9,'Scope 3 Ratios'!$B$8)</f>
        <v>0</v>
      </c>
      <c r="AH582" s="60">
        <f>IF(K582&lt;&gt;"N/A",K582*'Scope 3 Ratios'!$B$10,0)</f>
        <v>0</v>
      </c>
      <c r="AI582" s="60">
        <f>(VLOOKUP($E582,'AWS Platforms Ratios'!$A$2:$O$25,3,FALSE)-1)*'Scope 3 Ratios'!$B$7</f>
        <v>300</v>
      </c>
      <c r="AJ582" s="60">
        <f>'Scope 3 Ratios'!$B$2+AF582+AG582+AH582+AI582</f>
        <v>3985.0384</v>
      </c>
      <c r="AK582" s="60">
        <f>AJ582*'Scope 3 Ratios'!$B$4*(C582/D582)</f>
        <v>57.65391204</v>
      </c>
      <c r="AL582" s="61" t="s">
        <v>692</v>
      </c>
    </row>
    <row r="583" ht="15.0" customHeight="1">
      <c r="A583" s="56" t="s">
        <v>909</v>
      </c>
      <c r="B583" s="56" t="s">
        <v>188</v>
      </c>
      <c r="C583" s="56">
        <v>2.0</v>
      </c>
      <c r="D583" s="56">
        <f>VLOOKUP(E583,'AWS Platforms Ratios'!$A$2:$B$25,2,FALSE)</f>
        <v>64</v>
      </c>
      <c r="E583" s="57" t="s">
        <v>189</v>
      </c>
      <c r="F583" s="56">
        <v>16.0</v>
      </c>
      <c r="G583" s="70">
        <v>512.0</v>
      </c>
      <c r="H583" s="57" t="s">
        <v>71</v>
      </c>
      <c r="I583" s="56" t="s">
        <v>72</v>
      </c>
      <c r="J583" s="56">
        <v>0.0</v>
      </c>
      <c r="K583" s="58" t="s">
        <v>73</v>
      </c>
      <c r="L583" s="58" t="s">
        <v>73</v>
      </c>
      <c r="M583" s="58" t="s">
        <v>73</v>
      </c>
      <c r="N583" s="58" t="s">
        <v>73</v>
      </c>
      <c r="O583" s="59">
        <f>($C583/$D583)*VLOOKUP($E583,'AWS Platforms Ratios'!$A$2:$O$25,7,FALSE)</f>
        <v>0.5443528939</v>
      </c>
      <c r="P583" s="59">
        <f>($C583/$D583)*VLOOKUP($E583,'AWS Platforms Ratios'!$A$2:$O$25,8,FALSE)</f>
        <v>1.49184586</v>
      </c>
      <c r="Q583" s="59">
        <f>($C583/$D583)*VLOOKUP($E583,'AWS Platforms Ratios'!$A$2:$O$25,9,FALSE)</f>
        <v>3.526235932</v>
      </c>
      <c r="R583" s="59">
        <f>($C583/$D583)*VLOOKUP($E583,'AWS Platforms Ratios'!$A$2:$O$25,10,FALSE)</f>
        <v>4.774429763</v>
      </c>
      <c r="S583" s="59">
        <f>$F583*VLOOKUP($E583,'AWS Platforms Ratios'!$A$2:$O$25,11,FALSE)</f>
        <v>3.2</v>
      </c>
      <c r="T583" s="59">
        <f>$F583*VLOOKUP($E583,'AWS Platforms Ratios'!$A$2:$O$25,12,FALSE)</f>
        <v>4.8</v>
      </c>
      <c r="U583" s="59">
        <f>$F583*VLOOKUP($E583,'AWS Platforms Ratios'!$A$2:$O$25,13,FALSE)</f>
        <v>6.4</v>
      </c>
      <c r="V583" s="59">
        <f>$F583*VLOOKUP($E583,'AWS Platforms Ratios'!$A$2:$O$25,14,FALSE)</f>
        <v>9.6</v>
      </c>
      <c r="W583" s="60">
        <f>IF($K583&lt;&gt;"N/A",$M583*(VLOOKUP($L583,'GPU Specs &amp; Ratios'!$B$2:$I$8,5,FALSE)),0)</f>
        <v>0</v>
      </c>
      <c r="X583" s="60">
        <f>IF($K583&lt;&gt;"N/A",$M583*(VLOOKUP($L583,'GPU Specs &amp; Ratios'!$B$2:$I$8,6,FALSE)),0)</f>
        <v>0</v>
      </c>
      <c r="Y583" s="60">
        <f>IF($K583&lt;&gt;"N/A",$M583*(VLOOKUP($L583,'GPU Specs &amp; Ratios'!$B$2:$I$8,7,FALSE)),0)</f>
        <v>0</v>
      </c>
      <c r="Z583" s="60">
        <f>IF($K583&lt;&gt;"N/A",$M583*(VLOOKUP($L583,'GPU Specs &amp; Ratios'!$B$2:$I$8,8,FALSE)),0)</f>
        <v>0</v>
      </c>
      <c r="AA583" s="60">
        <f>(C583/D583)*VLOOKUP($E583,'AWS Platforms Ratios'!$A$2:$O$25,15,FALSE)</f>
        <v>0.9375</v>
      </c>
      <c r="AB583" s="60">
        <f t="shared" ref="AB583:AE583" si="583">O583+S583+W583+$AA583</f>
        <v>4.681852894</v>
      </c>
      <c r="AC583" s="60">
        <f t="shared" si="583"/>
        <v>7.22934586</v>
      </c>
      <c r="AD583" s="60">
        <f t="shared" si="583"/>
        <v>10.86373593</v>
      </c>
      <c r="AE583" s="60">
        <f t="shared" si="583"/>
        <v>15.31192976</v>
      </c>
      <c r="AF583" s="60">
        <f>IF(G583&gt;'Scope 3 Ratios'!$B$5,(G583-'Scope 3 Ratios'!$B$5)*('Scope 3 Ratios'!$B$6/'Scope 3 Ratios'!$B$5),0)</f>
        <v>687.9024</v>
      </c>
      <c r="AG583" s="60">
        <f>J583*IF(I583="SSD",'Scope 3 Ratios'!$B$9,'Scope 3 Ratios'!$B$8)</f>
        <v>0</v>
      </c>
      <c r="AH583" s="60">
        <f>IF(K583&lt;&gt;"N/A",K583*'Scope 3 Ratios'!$B$10,0)</f>
        <v>0</v>
      </c>
      <c r="AI583" s="60">
        <f>(VLOOKUP($E583,'AWS Platforms Ratios'!$A$2:$O$25,3,FALSE)-1)*'Scope 3 Ratios'!$B$7</f>
        <v>0</v>
      </c>
      <c r="AJ583" s="60">
        <f>'Scope 3 Ratios'!$B$2+AF583+AG583+AH583+AI583</f>
        <v>1687.9024</v>
      </c>
      <c r="AK583" s="60">
        <f>AJ583*'Scope 3 Ratios'!$B$4*(C583/D583)</f>
        <v>1.526242766</v>
      </c>
      <c r="AL583" s="61" t="s">
        <v>190</v>
      </c>
    </row>
    <row r="584" ht="15.0" customHeight="1">
      <c r="A584" s="56" t="s">
        <v>910</v>
      </c>
      <c r="B584" s="56" t="s">
        <v>188</v>
      </c>
      <c r="C584" s="56">
        <v>4.0</v>
      </c>
      <c r="D584" s="56">
        <f>VLOOKUP(E584,'AWS Platforms Ratios'!$A$2:$B$25,2,FALSE)</f>
        <v>64</v>
      </c>
      <c r="E584" s="57" t="s">
        <v>189</v>
      </c>
      <c r="F584" s="56">
        <v>32.0</v>
      </c>
      <c r="G584" s="70">
        <v>512.0</v>
      </c>
      <c r="H584" s="57" t="s">
        <v>71</v>
      </c>
      <c r="I584" s="56" t="s">
        <v>72</v>
      </c>
      <c r="J584" s="56">
        <v>0.0</v>
      </c>
      <c r="K584" s="58" t="s">
        <v>73</v>
      </c>
      <c r="L584" s="58" t="s">
        <v>73</v>
      </c>
      <c r="M584" s="58" t="s">
        <v>73</v>
      </c>
      <c r="N584" s="58" t="s">
        <v>73</v>
      </c>
      <c r="O584" s="59">
        <f>($C584/$D584)*VLOOKUP($E584,'AWS Platforms Ratios'!$A$2:$O$25,7,FALSE)</f>
        <v>1.088705788</v>
      </c>
      <c r="P584" s="59">
        <f>($C584/$D584)*VLOOKUP($E584,'AWS Platforms Ratios'!$A$2:$O$25,8,FALSE)</f>
        <v>2.98369172</v>
      </c>
      <c r="Q584" s="59">
        <f>($C584/$D584)*VLOOKUP($E584,'AWS Platforms Ratios'!$A$2:$O$25,9,FALSE)</f>
        <v>7.052471865</v>
      </c>
      <c r="R584" s="59">
        <f>($C584/$D584)*VLOOKUP($E584,'AWS Platforms Ratios'!$A$2:$O$25,10,FALSE)</f>
        <v>9.548859526</v>
      </c>
      <c r="S584" s="59">
        <f>$F584*VLOOKUP($E584,'AWS Platforms Ratios'!$A$2:$O$25,11,FALSE)</f>
        <v>6.4</v>
      </c>
      <c r="T584" s="59">
        <f>$F584*VLOOKUP($E584,'AWS Platforms Ratios'!$A$2:$O$25,12,FALSE)</f>
        <v>9.6</v>
      </c>
      <c r="U584" s="59">
        <f>$F584*VLOOKUP($E584,'AWS Platforms Ratios'!$A$2:$O$25,13,FALSE)</f>
        <v>12.8</v>
      </c>
      <c r="V584" s="59">
        <f>$F584*VLOOKUP($E584,'AWS Platforms Ratios'!$A$2:$O$25,14,FALSE)</f>
        <v>19.2</v>
      </c>
      <c r="W584" s="60">
        <f>IF($K584&lt;&gt;"N/A",$M584*(VLOOKUP($L584,'GPU Specs &amp; Ratios'!$B$2:$I$8,5,FALSE)),0)</f>
        <v>0</v>
      </c>
      <c r="X584" s="60">
        <f>IF($K584&lt;&gt;"N/A",$M584*(VLOOKUP($L584,'GPU Specs &amp; Ratios'!$B$2:$I$8,6,FALSE)),0)</f>
        <v>0</v>
      </c>
      <c r="Y584" s="60">
        <f>IF($K584&lt;&gt;"N/A",$M584*(VLOOKUP($L584,'GPU Specs &amp; Ratios'!$B$2:$I$8,7,FALSE)),0)</f>
        <v>0</v>
      </c>
      <c r="Z584" s="60">
        <f>IF($K584&lt;&gt;"N/A",$M584*(VLOOKUP($L584,'GPU Specs &amp; Ratios'!$B$2:$I$8,8,FALSE)),0)</f>
        <v>0</v>
      </c>
      <c r="AA584" s="60">
        <f>(C584/D584)*VLOOKUP($E584,'AWS Platforms Ratios'!$A$2:$O$25,15,FALSE)</f>
        <v>1.875</v>
      </c>
      <c r="AB584" s="60">
        <f t="shared" ref="AB584:AE584" si="584">O584+S584+W584+$AA584</f>
        <v>9.363705788</v>
      </c>
      <c r="AC584" s="60">
        <f t="shared" si="584"/>
        <v>14.45869172</v>
      </c>
      <c r="AD584" s="60">
        <f t="shared" si="584"/>
        <v>21.72747186</v>
      </c>
      <c r="AE584" s="60">
        <f t="shared" si="584"/>
        <v>30.62385953</v>
      </c>
      <c r="AF584" s="60">
        <f>IF(G584&gt;'Scope 3 Ratios'!$B$5,(G584-'Scope 3 Ratios'!$B$5)*('Scope 3 Ratios'!$B$6/'Scope 3 Ratios'!$B$5),0)</f>
        <v>687.9024</v>
      </c>
      <c r="AG584" s="60">
        <f>J584*IF(I584="SSD",'Scope 3 Ratios'!$B$9,'Scope 3 Ratios'!$B$8)</f>
        <v>0</v>
      </c>
      <c r="AH584" s="60">
        <f>IF(K584&lt;&gt;"N/A",K584*'Scope 3 Ratios'!$B$10,0)</f>
        <v>0</v>
      </c>
      <c r="AI584" s="60">
        <f>(VLOOKUP($E584,'AWS Platforms Ratios'!$A$2:$O$25,3,FALSE)-1)*'Scope 3 Ratios'!$B$7</f>
        <v>0</v>
      </c>
      <c r="AJ584" s="60">
        <f>'Scope 3 Ratios'!$B$2+AF584+AG584+AH584+AI584</f>
        <v>1687.9024</v>
      </c>
      <c r="AK584" s="60">
        <f>AJ584*'Scope 3 Ratios'!$B$4*(C584/D584)</f>
        <v>3.052485532</v>
      </c>
      <c r="AL584" s="61" t="s">
        <v>190</v>
      </c>
    </row>
    <row r="585" ht="15.0" customHeight="1">
      <c r="A585" s="56" t="s">
        <v>911</v>
      </c>
      <c r="B585" s="56" t="s">
        <v>188</v>
      </c>
      <c r="C585" s="56">
        <v>8.0</v>
      </c>
      <c r="D585" s="56">
        <f>VLOOKUP(E585,'AWS Platforms Ratios'!$A$2:$B$25,2,FALSE)</f>
        <v>64</v>
      </c>
      <c r="E585" s="57" t="s">
        <v>189</v>
      </c>
      <c r="F585" s="56">
        <v>64.0</v>
      </c>
      <c r="G585" s="70">
        <v>512.0</v>
      </c>
      <c r="H585" s="57" t="s">
        <v>71</v>
      </c>
      <c r="I585" s="56" t="s">
        <v>72</v>
      </c>
      <c r="J585" s="56">
        <v>0.0</v>
      </c>
      <c r="K585" s="58" t="s">
        <v>73</v>
      </c>
      <c r="L585" s="58" t="s">
        <v>73</v>
      </c>
      <c r="M585" s="58" t="s">
        <v>73</v>
      </c>
      <c r="N585" s="58" t="s">
        <v>73</v>
      </c>
      <c r="O585" s="59">
        <f>($C585/$D585)*VLOOKUP($E585,'AWS Platforms Ratios'!$A$2:$O$25,7,FALSE)</f>
        <v>2.177411576</v>
      </c>
      <c r="P585" s="59">
        <f>($C585/$D585)*VLOOKUP($E585,'AWS Platforms Ratios'!$A$2:$O$25,8,FALSE)</f>
        <v>5.967383441</v>
      </c>
      <c r="Q585" s="59">
        <f>($C585/$D585)*VLOOKUP($E585,'AWS Platforms Ratios'!$A$2:$O$25,9,FALSE)</f>
        <v>14.10494373</v>
      </c>
      <c r="R585" s="59">
        <f>($C585/$D585)*VLOOKUP($E585,'AWS Platforms Ratios'!$A$2:$O$25,10,FALSE)</f>
        <v>19.09771905</v>
      </c>
      <c r="S585" s="59">
        <f>$F585*VLOOKUP($E585,'AWS Platforms Ratios'!$A$2:$O$25,11,FALSE)</f>
        <v>12.8</v>
      </c>
      <c r="T585" s="59">
        <f>$F585*VLOOKUP($E585,'AWS Platforms Ratios'!$A$2:$O$25,12,FALSE)</f>
        <v>19.2</v>
      </c>
      <c r="U585" s="59">
        <f>$F585*VLOOKUP($E585,'AWS Platforms Ratios'!$A$2:$O$25,13,FALSE)</f>
        <v>25.6</v>
      </c>
      <c r="V585" s="59">
        <f>$F585*VLOOKUP($E585,'AWS Platforms Ratios'!$A$2:$O$25,14,FALSE)</f>
        <v>38.4</v>
      </c>
      <c r="W585" s="60">
        <f>IF($K585&lt;&gt;"N/A",$M585*(VLOOKUP($L585,'GPU Specs &amp; Ratios'!$B$2:$I$8,5,FALSE)),0)</f>
        <v>0</v>
      </c>
      <c r="X585" s="60">
        <f>IF($K585&lt;&gt;"N/A",$M585*(VLOOKUP($L585,'GPU Specs &amp; Ratios'!$B$2:$I$8,6,FALSE)),0)</f>
        <v>0</v>
      </c>
      <c r="Y585" s="60">
        <f>IF($K585&lt;&gt;"N/A",$M585*(VLOOKUP($L585,'GPU Specs &amp; Ratios'!$B$2:$I$8,7,FALSE)),0)</f>
        <v>0</v>
      </c>
      <c r="Z585" s="60">
        <f>IF($K585&lt;&gt;"N/A",$M585*(VLOOKUP($L585,'GPU Specs &amp; Ratios'!$B$2:$I$8,8,FALSE)),0)</f>
        <v>0</v>
      </c>
      <c r="AA585" s="60">
        <f>(C585/D585)*VLOOKUP($E585,'AWS Platforms Ratios'!$A$2:$O$25,15,FALSE)</f>
        <v>3.75</v>
      </c>
      <c r="AB585" s="60">
        <f t="shared" ref="AB585:AE585" si="585">O585+S585+W585+$AA585</f>
        <v>18.72741158</v>
      </c>
      <c r="AC585" s="60">
        <f t="shared" si="585"/>
        <v>28.91738344</v>
      </c>
      <c r="AD585" s="60">
        <f t="shared" si="585"/>
        <v>43.45494373</v>
      </c>
      <c r="AE585" s="60">
        <f t="shared" si="585"/>
        <v>61.24771905</v>
      </c>
      <c r="AF585" s="60">
        <f>IF(G585&gt;'Scope 3 Ratios'!$B$5,(G585-'Scope 3 Ratios'!$B$5)*('Scope 3 Ratios'!$B$6/'Scope 3 Ratios'!$B$5),0)</f>
        <v>687.9024</v>
      </c>
      <c r="AG585" s="60">
        <f>J585*IF(I585="SSD",'Scope 3 Ratios'!$B$9,'Scope 3 Ratios'!$B$8)</f>
        <v>0</v>
      </c>
      <c r="AH585" s="60">
        <f>IF(K585&lt;&gt;"N/A",K585*'Scope 3 Ratios'!$B$10,0)</f>
        <v>0</v>
      </c>
      <c r="AI585" s="60">
        <f>(VLOOKUP($E585,'AWS Platforms Ratios'!$A$2:$O$25,3,FALSE)-1)*'Scope 3 Ratios'!$B$7</f>
        <v>0</v>
      </c>
      <c r="AJ585" s="60">
        <f>'Scope 3 Ratios'!$B$2+AF585+AG585+AH585+AI585</f>
        <v>1687.9024</v>
      </c>
      <c r="AK585" s="60">
        <f>AJ585*'Scope 3 Ratios'!$B$4*(C585/D585)</f>
        <v>6.104971065</v>
      </c>
      <c r="AL585" s="61" t="s">
        <v>190</v>
      </c>
    </row>
    <row r="586" ht="15.0" customHeight="1">
      <c r="A586" s="56" t="s">
        <v>912</v>
      </c>
      <c r="B586" s="56" t="s">
        <v>188</v>
      </c>
      <c r="C586" s="56">
        <v>16.0</v>
      </c>
      <c r="D586" s="56">
        <f>VLOOKUP(E586,'AWS Platforms Ratios'!$A$2:$B$25,2,FALSE)</f>
        <v>64</v>
      </c>
      <c r="E586" s="57" t="s">
        <v>189</v>
      </c>
      <c r="F586" s="56">
        <v>128.0</v>
      </c>
      <c r="G586" s="70">
        <v>512.0</v>
      </c>
      <c r="H586" s="57" t="s">
        <v>71</v>
      </c>
      <c r="I586" s="56" t="s">
        <v>72</v>
      </c>
      <c r="J586" s="56">
        <v>0.0</v>
      </c>
      <c r="K586" s="58" t="s">
        <v>73</v>
      </c>
      <c r="L586" s="58" t="s">
        <v>73</v>
      </c>
      <c r="M586" s="58" t="s">
        <v>73</v>
      </c>
      <c r="N586" s="58" t="s">
        <v>73</v>
      </c>
      <c r="O586" s="59">
        <f>($C586/$D586)*VLOOKUP($E586,'AWS Platforms Ratios'!$A$2:$O$25,7,FALSE)</f>
        <v>4.354823151</v>
      </c>
      <c r="P586" s="59">
        <f>($C586/$D586)*VLOOKUP($E586,'AWS Platforms Ratios'!$A$2:$O$25,8,FALSE)</f>
        <v>11.93476688</v>
      </c>
      <c r="Q586" s="59">
        <f>($C586/$D586)*VLOOKUP($E586,'AWS Platforms Ratios'!$A$2:$O$25,9,FALSE)</f>
        <v>28.20988746</v>
      </c>
      <c r="R586" s="59">
        <f>($C586/$D586)*VLOOKUP($E586,'AWS Platforms Ratios'!$A$2:$O$25,10,FALSE)</f>
        <v>38.1954381</v>
      </c>
      <c r="S586" s="59">
        <f>$F586*VLOOKUP($E586,'AWS Platforms Ratios'!$A$2:$O$25,11,FALSE)</f>
        <v>25.6</v>
      </c>
      <c r="T586" s="59">
        <f>$F586*VLOOKUP($E586,'AWS Platforms Ratios'!$A$2:$O$25,12,FALSE)</f>
        <v>38.4</v>
      </c>
      <c r="U586" s="59">
        <f>$F586*VLOOKUP($E586,'AWS Platforms Ratios'!$A$2:$O$25,13,FALSE)</f>
        <v>51.2</v>
      </c>
      <c r="V586" s="59">
        <f>$F586*VLOOKUP($E586,'AWS Platforms Ratios'!$A$2:$O$25,14,FALSE)</f>
        <v>76.8</v>
      </c>
      <c r="W586" s="60">
        <f>IF($K586&lt;&gt;"N/A",$M586*(VLOOKUP($L586,'GPU Specs &amp; Ratios'!$B$2:$I$8,5,FALSE)),0)</f>
        <v>0</v>
      </c>
      <c r="X586" s="60">
        <f>IF($K586&lt;&gt;"N/A",$M586*(VLOOKUP($L586,'GPU Specs &amp; Ratios'!$B$2:$I$8,6,FALSE)),0)</f>
        <v>0</v>
      </c>
      <c r="Y586" s="60">
        <f>IF($K586&lt;&gt;"N/A",$M586*(VLOOKUP($L586,'GPU Specs &amp; Ratios'!$B$2:$I$8,7,FALSE)),0)</f>
        <v>0</v>
      </c>
      <c r="Z586" s="60">
        <f>IF($K586&lt;&gt;"N/A",$M586*(VLOOKUP($L586,'GPU Specs &amp; Ratios'!$B$2:$I$8,8,FALSE)),0)</f>
        <v>0</v>
      </c>
      <c r="AA586" s="60">
        <f>(C586/D586)*VLOOKUP($E586,'AWS Platforms Ratios'!$A$2:$O$25,15,FALSE)</f>
        <v>7.5</v>
      </c>
      <c r="AB586" s="60">
        <f t="shared" ref="AB586:AE586" si="586">O586+S586+W586+$AA586</f>
        <v>37.45482315</v>
      </c>
      <c r="AC586" s="60">
        <f t="shared" si="586"/>
        <v>57.83476688</v>
      </c>
      <c r="AD586" s="60">
        <f t="shared" si="586"/>
        <v>86.90988746</v>
      </c>
      <c r="AE586" s="60">
        <f t="shared" si="586"/>
        <v>122.4954381</v>
      </c>
      <c r="AF586" s="60">
        <f>IF(G586&gt;'Scope 3 Ratios'!$B$5,(G586-'Scope 3 Ratios'!$B$5)*('Scope 3 Ratios'!$B$6/'Scope 3 Ratios'!$B$5),0)</f>
        <v>687.9024</v>
      </c>
      <c r="AG586" s="60">
        <f>J586*IF(I586="SSD",'Scope 3 Ratios'!$B$9,'Scope 3 Ratios'!$B$8)</f>
        <v>0</v>
      </c>
      <c r="AH586" s="60">
        <f>IF(K586&lt;&gt;"N/A",K586*'Scope 3 Ratios'!$B$10,0)</f>
        <v>0</v>
      </c>
      <c r="AI586" s="60">
        <f>(VLOOKUP($E586,'AWS Platforms Ratios'!$A$2:$O$25,3,FALSE)-1)*'Scope 3 Ratios'!$B$7</f>
        <v>0</v>
      </c>
      <c r="AJ586" s="60">
        <f>'Scope 3 Ratios'!$B$2+AF586+AG586+AH586+AI586</f>
        <v>1687.9024</v>
      </c>
      <c r="AK586" s="60">
        <f>AJ586*'Scope 3 Ratios'!$B$4*(C586/D586)</f>
        <v>12.20994213</v>
      </c>
      <c r="AL586" s="61" t="s">
        <v>190</v>
      </c>
    </row>
    <row r="587" ht="15.0" customHeight="1">
      <c r="A587" s="56" t="s">
        <v>913</v>
      </c>
      <c r="B587" s="56" t="s">
        <v>188</v>
      </c>
      <c r="C587" s="56">
        <v>48.0</v>
      </c>
      <c r="D587" s="56">
        <f>VLOOKUP(E587,'AWS Platforms Ratios'!$A$2:$B$25,2,FALSE)</f>
        <v>64</v>
      </c>
      <c r="E587" s="57" t="s">
        <v>189</v>
      </c>
      <c r="F587" s="56">
        <v>384.0</v>
      </c>
      <c r="G587" s="70">
        <v>512.0</v>
      </c>
      <c r="H587" s="57" t="s">
        <v>71</v>
      </c>
      <c r="I587" s="56" t="s">
        <v>72</v>
      </c>
      <c r="J587" s="56">
        <v>0.0</v>
      </c>
      <c r="K587" s="58" t="s">
        <v>73</v>
      </c>
      <c r="L587" s="58" t="s">
        <v>73</v>
      </c>
      <c r="M587" s="58" t="s">
        <v>73</v>
      </c>
      <c r="N587" s="58" t="s">
        <v>73</v>
      </c>
      <c r="O587" s="59">
        <f>($C587/$D587)*VLOOKUP($E587,'AWS Platforms Ratios'!$A$2:$O$25,7,FALSE)</f>
        <v>13.06446945</v>
      </c>
      <c r="P587" s="59">
        <f>($C587/$D587)*VLOOKUP($E587,'AWS Platforms Ratios'!$A$2:$O$25,8,FALSE)</f>
        <v>35.80430064</v>
      </c>
      <c r="Q587" s="59">
        <f>($C587/$D587)*VLOOKUP($E587,'AWS Platforms Ratios'!$A$2:$O$25,9,FALSE)</f>
        <v>84.62966238</v>
      </c>
      <c r="R587" s="59">
        <f>($C587/$D587)*VLOOKUP($E587,'AWS Platforms Ratios'!$A$2:$O$25,10,FALSE)</f>
        <v>114.5863143</v>
      </c>
      <c r="S587" s="59">
        <f>$F587*VLOOKUP($E587,'AWS Platforms Ratios'!$A$2:$O$25,11,FALSE)</f>
        <v>76.8</v>
      </c>
      <c r="T587" s="59">
        <f>$F587*VLOOKUP($E587,'AWS Platforms Ratios'!$A$2:$O$25,12,FALSE)</f>
        <v>115.2</v>
      </c>
      <c r="U587" s="59">
        <f>$F587*VLOOKUP($E587,'AWS Platforms Ratios'!$A$2:$O$25,13,FALSE)</f>
        <v>153.6</v>
      </c>
      <c r="V587" s="59">
        <f>$F587*VLOOKUP($E587,'AWS Platforms Ratios'!$A$2:$O$25,14,FALSE)</f>
        <v>230.4</v>
      </c>
      <c r="W587" s="60">
        <f>IF($K587&lt;&gt;"N/A",$M587*(VLOOKUP($L587,'GPU Specs &amp; Ratios'!$B$2:$I$8,5,FALSE)),0)</f>
        <v>0</v>
      </c>
      <c r="X587" s="60">
        <f>IF($K587&lt;&gt;"N/A",$M587*(VLOOKUP($L587,'GPU Specs &amp; Ratios'!$B$2:$I$8,6,FALSE)),0)</f>
        <v>0</v>
      </c>
      <c r="Y587" s="60">
        <f>IF($K587&lt;&gt;"N/A",$M587*(VLOOKUP($L587,'GPU Specs &amp; Ratios'!$B$2:$I$8,7,FALSE)),0)</f>
        <v>0</v>
      </c>
      <c r="Z587" s="60">
        <f>IF($K587&lt;&gt;"N/A",$M587*(VLOOKUP($L587,'GPU Specs &amp; Ratios'!$B$2:$I$8,8,FALSE)),0)</f>
        <v>0</v>
      </c>
      <c r="AA587" s="60">
        <f>(C587/D587)*VLOOKUP($E587,'AWS Platforms Ratios'!$A$2:$O$25,15,FALSE)</f>
        <v>22.5</v>
      </c>
      <c r="AB587" s="60">
        <f t="shared" ref="AB587:AE587" si="587">O587+S587+W587+$AA587</f>
        <v>112.3644695</v>
      </c>
      <c r="AC587" s="60">
        <f t="shared" si="587"/>
        <v>173.5043006</v>
      </c>
      <c r="AD587" s="60">
        <f t="shared" si="587"/>
        <v>260.7296624</v>
      </c>
      <c r="AE587" s="60">
        <f t="shared" si="587"/>
        <v>367.4863143</v>
      </c>
      <c r="AF587" s="60">
        <f>IF(G587&gt;'Scope 3 Ratios'!$B$5,(G587-'Scope 3 Ratios'!$B$5)*('Scope 3 Ratios'!$B$6/'Scope 3 Ratios'!$B$5),0)</f>
        <v>687.9024</v>
      </c>
      <c r="AG587" s="60">
        <f>J587*IF(I587="SSD",'Scope 3 Ratios'!$B$9,'Scope 3 Ratios'!$B$8)</f>
        <v>0</v>
      </c>
      <c r="AH587" s="60">
        <f>IF(K587&lt;&gt;"N/A",K587*'Scope 3 Ratios'!$B$10,0)</f>
        <v>0</v>
      </c>
      <c r="AI587" s="60">
        <f>(VLOOKUP($E587,'AWS Platforms Ratios'!$A$2:$O$25,3,FALSE)-1)*'Scope 3 Ratios'!$B$7</f>
        <v>0</v>
      </c>
      <c r="AJ587" s="60">
        <f>'Scope 3 Ratios'!$B$2+AF587+AG587+AH587+AI587</f>
        <v>1687.9024</v>
      </c>
      <c r="AK587" s="60">
        <f>AJ587*'Scope 3 Ratios'!$B$4*(C587/D587)</f>
        <v>36.62982639</v>
      </c>
      <c r="AL587" s="61" t="s">
        <v>190</v>
      </c>
    </row>
    <row r="588" ht="15.0" customHeight="1">
      <c r="A588" s="56" t="s">
        <v>914</v>
      </c>
      <c r="B588" s="56" t="s">
        <v>188</v>
      </c>
      <c r="C588" s="56">
        <v>64.0</v>
      </c>
      <c r="D588" s="56">
        <f>VLOOKUP(E588,'AWS Platforms Ratios'!$A$2:$B$25,2,FALSE)</f>
        <v>64</v>
      </c>
      <c r="E588" s="57" t="s">
        <v>189</v>
      </c>
      <c r="F588" s="56">
        <v>512.0</v>
      </c>
      <c r="G588" s="70">
        <v>512.0</v>
      </c>
      <c r="H588" s="57" t="s">
        <v>71</v>
      </c>
      <c r="I588" s="56" t="s">
        <v>72</v>
      </c>
      <c r="J588" s="56">
        <v>0.0</v>
      </c>
      <c r="K588" s="58" t="s">
        <v>73</v>
      </c>
      <c r="L588" s="58" t="s">
        <v>73</v>
      </c>
      <c r="M588" s="58" t="s">
        <v>73</v>
      </c>
      <c r="N588" s="58" t="s">
        <v>73</v>
      </c>
      <c r="O588" s="59">
        <f>($C588/$D588)*VLOOKUP($E588,'AWS Platforms Ratios'!$A$2:$O$25,7,FALSE)</f>
        <v>17.4192926</v>
      </c>
      <c r="P588" s="59">
        <f>($C588/$D588)*VLOOKUP($E588,'AWS Platforms Ratios'!$A$2:$O$25,8,FALSE)</f>
        <v>47.73906752</v>
      </c>
      <c r="Q588" s="59">
        <f>($C588/$D588)*VLOOKUP($E588,'AWS Platforms Ratios'!$A$2:$O$25,9,FALSE)</f>
        <v>112.8395498</v>
      </c>
      <c r="R588" s="59">
        <f>($C588/$D588)*VLOOKUP($E588,'AWS Platforms Ratios'!$A$2:$O$25,10,FALSE)</f>
        <v>152.7817524</v>
      </c>
      <c r="S588" s="59">
        <f>$F588*VLOOKUP($E588,'AWS Platforms Ratios'!$A$2:$O$25,11,FALSE)</f>
        <v>102.4</v>
      </c>
      <c r="T588" s="59">
        <f>$F588*VLOOKUP($E588,'AWS Platforms Ratios'!$A$2:$O$25,12,FALSE)</f>
        <v>153.6</v>
      </c>
      <c r="U588" s="59">
        <f>$F588*VLOOKUP($E588,'AWS Platforms Ratios'!$A$2:$O$25,13,FALSE)</f>
        <v>204.8</v>
      </c>
      <c r="V588" s="59">
        <f>$F588*VLOOKUP($E588,'AWS Platforms Ratios'!$A$2:$O$25,14,FALSE)</f>
        <v>307.2</v>
      </c>
      <c r="W588" s="60">
        <f>IF($K588&lt;&gt;"N/A",$M588*(VLOOKUP($L588,'GPU Specs &amp; Ratios'!$B$2:$I$8,5,FALSE)),0)</f>
        <v>0</v>
      </c>
      <c r="X588" s="60">
        <f>IF($K588&lt;&gt;"N/A",$M588*(VLOOKUP($L588,'GPU Specs &amp; Ratios'!$B$2:$I$8,6,FALSE)),0)</f>
        <v>0</v>
      </c>
      <c r="Y588" s="60">
        <f>IF($K588&lt;&gt;"N/A",$M588*(VLOOKUP($L588,'GPU Specs &amp; Ratios'!$B$2:$I$8,7,FALSE)),0)</f>
        <v>0</v>
      </c>
      <c r="Z588" s="60">
        <f>IF($K588&lt;&gt;"N/A",$M588*(VLOOKUP($L588,'GPU Specs &amp; Ratios'!$B$2:$I$8,8,FALSE)),0)</f>
        <v>0</v>
      </c>
      <c r="AA588" s="60">
        <f>(C588/D588)*VLOOKUP($E588,'AWS Platforms Ratios'!$A$2:$O$25,15,FALSE)</f>
        <v>30</v>
      </c>
      <c r="AB588" s="60">
        <f t="shared" ref="AB588:AE588" si="588">O588+S588+W588+$AA588</f>
        <v>149.8192926</v>
      </c>
      <c r="AC588" s="60">
        <f t="shared" si="588"/>
        <v>231.3390675</v>
      </c>
      <c r="AD588" s="60">
        <f t="shared" si="588"/>
        <v>347.6395498</v>
      </c>
      <c r="AE588" s="60">
        <f t="shared" si="588"/>
        <v>489.9817524</v>
      </c>
      <c r="AF588" s="60">
        <f>IF(G588&gt;'Scope 3 Ratios'!$B$5,(G588-'Scope 3 Ratios'!$B$5)*('Scope 3 Ratios'!$B$6/'Scope 3 Ratios'!$B$5),0)</f>
        <v>687.9024</v>
      </c>
      <c r="AG588" s="60">
        <f>J588*IF(I588="SSD",'Scope 3 Ratios'!$B$9,'Scope 3 Ratios'!$B$8)</f>
        <v>0</v>
      </c>
      <c r="AH588" s="60">
        <f>IF(K588&lt;&gt;"N/A",K588*'Scope 3 Ratios'!$B$10,0)</f>
        <v>0</v>
      </c>
      <c r="AI588" s="60">
        <f>(VLOOKUP($E588,'AWS Platforms Ratios'!$A$2:$O$25,3,FALSE)-1)*'Scope 3 Ratios'!$B$7</f>
        <v>0</v>
      </c>
      <c r="AJ588" s="60">
        <f>'Scope 3 Ratios'!$B$2+AF588+AG588+AH588+AI588</f>
        <v>1687.9024</v>
      </c>
      <c r="AK588" s="60">
        <f>AJ588*'Scope 3 Ratios'!$B$4*(C588/D588)</f>
        <v>48.83976852</v>
      </c>
      <c r="AL588" s="61" t="s">
        <v>190</v>
      </c>
    </row>
    <row r="589" ht="15.0" customHeight="1">
      <c r="A589" s="56" t="s">
        <v>915</v>
      </c>
      <c r="B589" s="56" t="s">
        <v>556</v>
      </c>
      <c r="C589" s="56">
        <v>2.0</v>
      </c>
      <c r="D589" s="56">
        <f>VLOOKUP(E589,'AWS Platforms Ratios'!$A$2:$B$25,2,FALSE)</f>
        <v>96</v>
      </c>
      <c r="E589" s="57" t="s">
        <v>350</v>
      </c>
      <c r="F589" s="56">
        <v>16.0</v>
      </c>
      <c r="G589" s="70">
        <v>768.0</v>
      </c>
      <c r="H589" s="57" t="s">
        <v>71</v>
      </c>
      <c r="I589" s="56" t="s">
        <v>72</v>
      </c>
      <c r="J589" s="56">
        <v>0.0</v>
      </c>
      <c r="K589" s="58" t="s">
        <v>73</v>
      </c>
      <c r="L589" s="58" t="s">
        <v>73</v>
      </c>
      <c r="M589" s="58" t="s">
        <v>73</v>
      </c>
      <c r="N589" s="58" t="s">
        <v>73</v>
      </c>
      <c r="O589" s="59">
        <f>($C589/$D589)*VLOOKUP($E589,'AWS Platforms Ratios'!$A$2:$O$25,7,FALSE)</f>
        <v>1.205833333</v>
      </c>
      <c r="P589" s="59">
        <f>($C589/$D589)*VLOOKUP($E589,'AWS Platforms Ratios'!$A$2:$O$25,8,FALSE)</f>
        <v>3.054791667</v>
      </c>
      <c r="Q589" s="59">
        <f>($C589/$D589)*VLOOKUP($E589,'AWS Platforms Ratios'!$A$2:$O$25,9,FALSE)</f>
        <v>7.160416667</v>
      </c>
      <c r="R589" s="59">
        <f>($C589/$D589)*VLOOKUP($E589,'AWS Platforms Ratios'!$A$2:$O$25,10,FALSE)</f>
        <v>9.9578125</v>
      </c>
      <c r="S589" s="59">
        <f>$F589*VLOOKUP($E589,'AWS Platforms Ratios'!$A$2:$O$25,11,FALSE)</f>
        <v>2.40875</v>
      </c>
      <c r="T589" s="59">
        <f>$F589*VLOOKUP($E589,'AWS Platforms Ratios'!$A$2:$O$25,12,FALSE)</f>
        <v>3.849583333</v>
      </c>
      <c r="U589" s="59">
        <f>$F589*VLOOKUP($E589,'AWS Platforms Ratios'!$A$2:$O$25,13,FALSE)</f>
        <v>9.920833333</v>
      </c>
      <c r="V589" s="59">
        <f>$F589*VLOOKUP($E589,'AWS Platforms Ratios'!$A$2:$O$25,14,FALSE)</f>
        <v>15.99208333</v>
      </c>
      <c r="W589" s="60">
        <f>IF($K589&lt;&gt;"N/A",$M589*(VLOOKUP($L589,'GPU Specs &amp; Ratios'!$B$2:$I$8,5,FALSE)),0)</f>
        <v>0</v>
      </c>
      <c r="X589" s="60">
        <f>IF($K589&lt;&gt;"N/A",$M589*(VLOOKUP($L589,'GPU Specs &amp; Ratios'!$B$2:$I$8,6,FALSE)),0)</f>
        <v>0</v>
      </c>
      <c r="Y589" s="60">
        <f>IF($K589&lt;&gt;"N/A",$M589*(VLOOKUP($L589,'GPU Specs &amp; Ratios'!$B$2:$I$8,7,FALSE)),0)</f>
        <v>0</v>
      </c>
      <c r="Z589" s="60">
        <f>IF($K589&lt;&gt;"N/A",$M589*(VLOOKUP($L589,'GPU Specs &amp; Ratios'!$B$2:$I$8,8,FALSE)),0)</f>
        <v>0</v>
      </c>
      <c r="AA589" s="60">
        <f>(C589/D589)*VLOOKUP($E589,'AWS Platforms Ratios'!$A$2:$O$25,15,FALSE)</f>
        <v>2</v>
      </c>
      <c r="AB589" s="60">
        <f t="shared" ref="AB589:AE589" si="589">O589+S589+W589+$AA589</f>
        <v>5.614583333</v>
      </c>
      <c r="AC589" s="60">
        <f t="shared" si="589"/>
        <v>8.904375</v>
      </c>
      <c r="AD589" s="60">
        <f t="shared" si="589"/>
        <v>19.08125</v>
      </c>
      <c r="AE589" s="60">
        <f t="shared" si="589"/>
        <v>27.94989583</v>
      </c>
      <c r="AF589" s="60">
        <f>IF(G589&gt;'Scope 3 Ratios'!$B$5,(G589-'Scope 3 Ratios'!$B$5)*('Scope 3 Ratios'!$B$6/'Scope 3 Ratios'!$B$5),0)</f>
        <v>1042.9488</v>
      </c>
      <c r="AG589" s="60">
        <f>J589*IF(I589="SSD",'Scope 3 Ratios'!$B$9,'Scope 3 Ratios'!$B$8)</f>
        <v>0</v>
      </c>
      <c r="AH589" s="60">
        <f>IF(K589&lt;&gt;"N/A",K589*'Scope 3 Ratios'!$B$10,0)</f>
        <v>0</v>
      </c>
      <c r="AI589" s="60">
        <f>(VLOOKUP($E589,'AWS Platforms Ratios'!$A$2:$O$25,3,FALSE)-1)*'Scope 3 Ratios'!$B$7</f>
        <v>100</v>
      </c>
      <c r="AJ589" s="60">
        <f>'Scope 3 Ratios'!$B$2+AF589+AG589+AH589+AI589</f>
        <v>2142.9488</v>
      </c>
      <c r="AK589" s="60">
        <f>AJ589*'Scope 3 Ratios'!$B$4*(C589/D589)</f>
        <v>1.291804591</v>
      </c>
      <c r="AL589" s="61" t="s">
        <v>557</v>
      </c>
    </row>
    <row r="590" ht="15.0" customHeight="1">
      <c r="A590" s="56" t="s">
        <v>916</v>
      </c>
      <c r="B590" s="56" t="s">
        <v>556</v>
      </c>
      <c r="C590" s="56">
        <v>4.0</v>
      </c>
      <c r="D590" s="56">
        <f>VLOOKUP(E590,'AWS Platforms Ratios'!$A$2:$B$25,2,FALSE)</f>
        <v>96</v>
      </c>
      <c r="E590" s="57" t="s">
        <v>350</v>
      </c>
      <c r="F590" s="56">
        <v>32.0</v>
      </c>
      <c r="G590" s="70">
        <v>768.0</v>
      </c>
      <c r="H590" s="57" t="s">
        <v>71</v>
      </c>
      <c r="I590" s="56" t="s">
        <v>72</v>
      </c>
      <c r="J590" s="56">
        <v>0.0</v>
      </c>
      <c r="K590" s="58" t="s">
        <v>73</v>
      </c>
      <c r="L590" s="58" t="s">
        <v>73</v>
      </c>
      <c r="M590" s="58" t="s">
        <v>73</v>
      </c>
      <c r="N590" s="58" t="s">
        <v>73</v>
      </c>
      <c r="O590" s="59">
        <f>($C590/$D590)*VLOOKUP($E590,'AWS Platforms Ratios'!$A$2:$O$25,7,FALSE)</f>
        <v>2.411666667</v>
      </c>
      <c r="P590" s="59">
        <f>($C590/$D590)*VLOOKUP($E590,'AWS Platforms Ratios'!$A$2:$O$25,8,FALSE)</f>
        <v>6.109583333</v>
      </c>
      <c r="Q590" s="59">
        <f>($C590/$D590)*VLOOKUP($E590,'AWS Platforms Ratios'!$A$2:$O$25,9,FALSE)</f>
        <v>14.32083333</v>
      </c>
      <c r="R590" s="59">
        <f>($C590/$D590)*VLOOKUP($E590,'AWS Platforms Ratios'!$A$2:$O$25,10,FALSE)</f>
        <v>19.915625</v>
      </c>
      <c r="S590" s="59">
        <f>$F590*VLOOKUP($E590,'AWS Platforms Ratios'!$A$2:$O$25,11,FALSE)</f>
        <v>4.8175</v>
      </c>
      <c r="T590" s="59">
        <f>$F590*VLOOKUP($E590,'AWS Platforms Ratios'!$A$2:$O$25,12,FALSE)</f>
        <v>7.699166667</v>
      </c>
      <c r="U590" s="59">
        <f>$F590*VLOOKUP($E590,'AWS Platforms Ratios'!$A$2:$O$25,13,FALSE)</f>
        <v>19.84166667</v>
      </c>
      <c r="V590" s="59">
        <f>$F590*VLOOKUP($E590,'AWS Platforms Ratios'!$A$2:$O$25,14,FALSE)</f>
        <v>31.98416667</v>
      </c>
      <c r="W590" s="60">
        <f>IF($K590&lt;&gt;"N/A",$M590*(VLOOKUP($L590,'GPU Specs &amp; Ratios'!$B$2:$I$8,5,FALSE)),0)</f>
        <v>0</v>
      </c>
      <c r="X590" s="60">
        <f>IF($K590&lt;&gt;"N/A",$M590*(VLOOKUP($L590,'GPU Specs &amp; Ratios'!$B$2:$I$8,6,FALSE)),0)</f>
        <v>0</v>
      </c>
      <c r="Y590" s="60">
        <f>IF($K590&lt;&gt;"N/A",$M590*(VLOOKUP($L590,'GPU Specs &amp; Ratios'!$B$2:$I$8,7,FALSE)),0)</f>
        <v>0</v>
      </c>
      <c r="Z590" s="60">
        <f>IF($K590&lt;&gt;"N/A",$M590*(VLOOKUP($L590,'GPU Specs &amp; Ratios'!$B$2:$I$8,8,FALSE)),0)</f>
        <v>0</v>
      </c>
      <c r="AA590" s="60">
        <f>(C590/D590)*VLOOKUP($E590,'AWS Platforms Ratios'!$A$2:$O$25,15,FALSE)</f>
        <v>4</v>
      </c>
      <c r="AB590" s="60">
        <f t="shared" ref="AB590:AE590" si="590">O590+S590+W590+$AA590</f>
        <v>11.22916667</v>
      </c>
      <c r="AC590" s="60">
        <f t="shared" si="590"/>
        <v>17.80875</v>
      </c>
      <c r="AD590" s="60">
        <f t="shared" si="590"/>
        <v>38.1625</v>
      </c>
      <c r="AE590" s="60">
        <f t="shared" si="590"/>
        <v>55.89979167</v>
      </c>
      <c r="AF590" s="60">
        <f>IF(G590&gt;'Scope 3 Ratios'!$B$5,(G590-'Scope 3 Ratios'!$B$5)*('Scope 3 Ratios'!$B$6/'Scope 3 Ratios'!$B$5),0)</f>
        <v>1042.9488</v>
      </c>
      <c r="AG590" s="60">
        <f>J590*IF(I590="SSD",'Scope 3 Ratios'!$B$9,'Scope 3 Ratios'!$B$8)</f>
        <v>0</v>
      </c>
      <c r="AH590" s="60">
        <f>IF(K590&lt;&gt;"N/A",K590*'Scope 3 Ratios'!$B$10,0)</f>
        <v>0</v>
      </c>
      <c r="AI590" s="60">
        <f>(VLOOKUP($E590,'AWS Platforms Ratios'!$A$2:$O$25,3,FALSE)-1)*'Scope 3 Ratios'!$B$7</f>
        <v>100</v>
      </c>
      <c r="AJ590" s="60">
        <f>'Scope 3 Ratios'!$B$2+AF590+AG590+AH590+AI590</f>
        <v>2142.9488</v>
      </c>
      <c r="AK590" s="60">
        <f>AJ590*'Scope 3 Ratios'!$B$4*(C590/D590)</f>
        <v>2.583609182</v>
      </c>
      <c r="AL590" s="61" t="s">
        <v>557</v>
      </c>
    </row>
    <row r="591" ht="15.0" customHeight="1">
      <c r="A591" s="56" t="s">
        <v>917</v>
      </c>
      <c r="B591" s="56" t="s">
        <v>556</v>
      </c>
      <c r="C591" s="56">
        <v>8.0</v>
      </c>
      <c r="D591" s="56">
        <f>VLOOKUP(E591,'AWS Platforms Ratios'!$A$2:$B$25,2,FALSE)</f>
        <v>96</v>
      </c>
      <c r="E591" s="57" t="s">
        <v>350</v>
      </c>
      <c r="F591" s="56">
        <v>64.0</v>
      </c>
      <c r="G591" s="70">
        <v>768.0</v>
      </c>
      <c r="H591" s="57" t="s">
        <v>71</v>
      </c>
      <c r="I591" s="56" t="s">
        <v>72</v>
      </c>
      <c r="J591" s="56">
        <v>0.0</v>
      </c>
      <c r="K591" s="58" t="s">
        <v>73</v>
      </c>
      <c r="L591" s="58" t="s">
        <v>73</v>
      </c>
      <c r="M591" s="58" t="s">
        <v>73</v>
      </c>
      <c r="N591" s="58" t="s">
        <v>73</v>
      </c>
      <c r="O591" s="59">
        <f>($C591/$D591)*VLOOKUP($E591,'AWS Platforms Ratios'!$A$2:$O$25,7,FALSE)</f>
        <v>4.823333333</v>
      </c>
      <c r="P591" s="59">
        <f>($C591/$D591)*VLOOKUP($E591,'AWS Platforms Ratios'!$A$2:$O$25,8,FALSE)</f>
        <v>12.21916667</v>
      </c>
      <c r="Q591" s="59">
        <f>($C591/$D591)*VLOOKUP($E591,'AWS Platforms Ratios'!$A$2:$O$25,9,FALSE)</f>
        <v>28.64166667</v>
      </c>
      <c r="R591" s="59">
        <f>($C591/$D591)*VLOOKUP($E591,'AWS Platforms Ratios'!$A$2:$O$25,10,FALSE)</f>
        <v>39.83125</v>
      </c>
      <c r="S591" s="59">
        <f>$F591*VLOOKUP($E591,'AWS Platforms Ratios'!$A$2:$O$25,11,FALSE)</f>
        <v>9.635</v>
      </c>
      <c r="T591" s="59">
        <f>$F591*VLOOKUP($E591,'AWS Platforms Ratios'!$A$2:$O$25,12,FALSE)</f>
        <v>15.39833333</v>
      </c>
      <c r="U591" s="59">
        <f>$F591*VLOOKUP($E591,'AWS Platforms Ratios'!$A$2:$O$25,13,FALSE)</f>
        <v>39.68333333</v>
      </c>
      <c r="V591" s="59">
        <f>$F591*VLOOKUP($E591,'AWS Platforms Ratios'!$A$2:$O$25,14,FALSE)</f>
        <v>63.96833333</v>
      </c>
      <c r="W591" s="60">
        <f>IF($K591&lt;&gt;"N/A",$M591*(VLOOKUP($L591,'GPU Specs &amp; Ratios'!$B$2:$I$8,5,FALSE)),0)</f>
        <v>0</v>
      </c>
      <c r="X591" s="60">
        <f>IF($K591&lt;&gt;"N/A",$M591*(VLOOKUP($L591,'GPU Specs &amp; Ratios'!$B$2:$I$8,6,FALSE)),0)</f>
        <v>0</v>
      </c>
      <c r="Y591" s="60">
        <f>IF($K591&lt;&gt;"N/A",$M591*(VLOOKUP($L591,'GPU Specs &amp; Ratios'!$B$2:$I$8,7,FALSE)),0)</f>
        <v>0</v>
      </c>
      <c r="Z591" s="60">
        <f>IF($K591&lt;&gt;"N/A",$M591*(VLOOKUP($L591,'GPU Specs &amp; Ratios'!$B$2:$I$8,8,FALSE)),0)</f>
        <v>0</v>
      </c>
      <c r="AA591" s="60">
        <f>(C591/D591)*VLOOKUP($E591,'AWS Platforms Ratios'!$A$2:$O$25,15,FALSE)</f>
        <v>8</v>
      </c>
      <c r="AB591" s="60">
        <f t="shared" ref="AB591:AE591" si="591">O591+S591+W591+$AA591</f>
        <v>22.45833333</v>
      </c>
      <c r="AC591" s="60">
        <f t="shared" si="591"/>
        <v>35.6175</v>
      </c>
      <c r="AD591" s="60">
        <f t="shared" si="591"/>
        <v>76.325</v>
      </c>
      <c r="AE591" s="60">
        <f t="shared" si="591"/>
        <v>111.7995833</v>
      </c>
      <c r="AF591" s="60">
        <f>IF(G591&gt;'Scope 3 Ratios'!$B$5,(G591-'Scope 3 Ratios'!$B$5)*('Scope 3 Ratios'!$B$6/'Scope 3 Ratios'!$B$5),0)</f>
        <v>1042.9488</v>
      </c>
      <c r="AG591" s="60">
        <f>J591*IF(I591="SSD",'Scope 3 Ratios'!$B$9,'Scope 3 Ratios'!$B$8)</f>
        <v>0</v>
      </c>
      <c r="AH591" s="60">
        <f>IF(K591&lt;&gt;"N/A",K591*'Scope 3 Ratios'!$B$10,0)</f>
        <v>0</v>
      </c>
      <c r="AI591" s="60">
        <f>(VLOOKUP($E591,'AWS Platforms Ratios'!$A$2:$O$25,3,FALSE)-1)*'Scope 3 Ratios'!$B$7</f>
        <v>100</v>
      </c>
      <c r="AJ591" s="60">
        <f>'Scope 3 Ratios'!$B$2+AF591+AG591+AH591+AI591</f>
        <v>2142.9488</v>
      </c>
      <c r="AK591" s="60">
        <f>AJ591*'Scope 3 Ratios'!$B$4*(C591/D591)</f>
        <v>5.167218364</v>
      </c>
      <c r="AL591" s="61" t="s">
        <v>557</v>
      </c>
    </row>
    <row r="592" ht="15.0" customHeight="1">
      <c r="A592" s="56" t="s">
        <v>918</v>
      </c>
      <c r="B592" s="56" t="s">
        <v>556</v>
      </c>
      <c r="C592" s="56">
        <v>16.0</v>
      </c>
      <c r="D592" s="56">
        <f>VLOOKUP(E592,'AWS Platforms Ratios'!$A$2:$B$25,2,FALSE)</f>
        <v>96</v>
      </c>
      <c r="E592" s="57" t="s">
        <v>350</v>
      </c>
      <c r="F592" s="56">
        <v>128.0</v>
      </c>
      <c r="G592" s="70">
        <v>768.0</v>
      </c>
      <c r="H592" s="57" t="s">
        <v>71</v>
      </c>
      <c r="I592" s="56" t="s">
        <v>72</v>
      </c>
      <c r="J592" s="56">
        <v>0.0</v>
      </c>
      <c r="K592" s="58" t="s">
        <v>73</v>
      </c>
      <c r="L592" s="58" t="s">
        <v>73</v>
      </c>
      <c r="M592" s="58" t="s">
        <v>73</v>
      </c>
      <c r="N592" s="58" t="s">
        <v>73</v>
      </c>
      <c r="O592" s="59">
        <f>($C592/$D592)*VLOOKUP($E592,'AWS Platforms Ratios'!$A$2:$O$25,7,FALSE)</f>
        <v>9.646666667</v>
      </c>
      <c r="P592" s="59">
        <f>($C592/$D592)*VLOOKUP($E592,'AWS Platforms Ratios'!$A$2:$O$25,8,FALSE)</f>
        <v>24.43833333</v>
      </c>
      <c r="Q592" s="59">
        <f>($C592/$D592)*VLOOKUP($E592,'AWS Platforms Ratios'!$A$2:$O$25,9,FALSE)</f>
        <v>57.28333333</v>
      </c>
      <c r="R592" s="59">
        <f>($C592/$D592)*VLOOKUP($E592,'AWS Platforms Ratios'!$A$2:$O$25,10,FALSE)</f>
        <v>79.6625</v>
      </c>
      <c r="S592" s="59">
        <f>$F592*VLOOKUP($E592,'AWS Platforms Ratios'!$A$2:$O$25,11,FALSE)</f>
        <v>19.27</v>
      </c>
      <c r="T592" s="59">
        <f>$F592*VLOOKUP($E592,'AWS Platforms Ratios'!$A$2:$O$25,12,FALSE)</f>
        <v>30.79666667</v>
      </c>
      <c r="U592" s="59">
        <f>$F592*VLOOKUP($E592,'AWS Platforms Ratios'!$A$2:$O$25,13,FALSE)</f>
        <v>79.36666667</v>
      </c>
      <c r="V592" s="59">
        <f>$F592*VLOOKUP($E592,'AWS Platforms Ratios'!$A$2:$O$25,14,FALSE)</f>
        <v>127.9366667</v>
      </c>
      <c r="W592" s="60">
        <f>IF($K592&lt;&gt;"N/A",$M592*(VLOOKUP($L592,'GPU Specs &amp; Ratios'!$B$2:$I$8,5,FALSE)),0)</f>
        <v>0</v>
      </c>
      <c r="X592" s="60">
        <f>IF($K592&lt;&gt;"N/A",$M592*(VLOOKUP($L592,'GPU Specs &amp; Ratios'!$B$2:$I$8,6,FALSE)),0)</f>
        <v>0</v>
      </c>
      <c r="Y592" s="60">
        <f>IF($K592&lt;&gt;"N/A",$M592*(VLOOKUP($L592,'GPU Specs &amp; Ratios'!$B$2:$I$8,7,FALSE)),0)</f>
        <v>0</v>
      </c>
      <c r="Z592" s="60">
        <f>IF($K592&lt;&gt;"N/A",$M592*(VLOOKUP($L592,'GPU Specs &amp; Ratios'!$B$2:$I$8,8,FALSE)),0)</f>
        <v>0</v>
      </c>
      <c r="AA592" s="60">
        <f>(C592/D592)*VLOOKUP($E592,'AWS Platforms Ratios'!$A$2:$O$25,15,FALSE)</f>
        <v>16</v>
      </c>
      <c r="AB592" s="60">
        <f t="shared" ref="AB592:AE592" si="592">O592+S592+W592+$AA592</f>
        <v>44.91666667</v>
      </c>
      <c r="AC592" s="60">
        <f t="shared" si="592"/>
        <v>71.235</v>
      </c>
      <c r="AD592" s="60">
        <f t="shared" si="592"/>
        <v>152.65</v>
      </c>
      <c r="AE592" s="60">
        <f t="shared" si="592"/>
        <v>223.5991667</v>
      </c>
      <c r="AF592" s="60">
        <f>IF(G592&gt;'Scope 3 Ratios'!$B$5,(G592-'Scope 3 Ratios'!$B$5)*('Scope 3 Ratios'!$B$6/'Scope 3 Ratios'!$B$5),0)</f>
        <v>1042.9488</v>
      </c>
      <c r="AG592" s="60">
        <f>J592*IF(I592="SSD",'Scope 3 Ratios'!$B$9,'Scope 3 Ratios'!$B$8)</f>
        <v>0</v>
      </c>
      <c r="AH592" s="60">
        <f>IF(K592&lt;&gt;"N/A",K592*'Scope 3 Ratios'!$B$10,0)</f>
        <v>0</v>
      </c>
      <c r="AI592" s="60">
        <f>(VLOOKUP($E592,'AWS Platforms Ratios'!$A$2:$O$25,3,FALSE)-1)*'Scope 3 Ratios'!$B$7</f>
        <v>100</v>
      </c>
      <c r="AJ592" s="60">
        <f>'Scope 3 Ratios'!$B$2+AF592+AG592+AH592+AI592</f>
        <v>2142.9488</v>
      </c>
      <c r="AK592" s="60">
        <f>AJ592*'Scope 3 Ratios'!$B$4*(C592/D592)</f>
        <v>10.33443673</v>
      </c>
      <c r="AL592" s="61" t="s">
        <v>557</v>
      </c>
    </row>
    <row r="593" ht="15.0" customHeight="1">
      <c r="A593" s="56" t="s">
        <v>919</v>
      </c>
      <c r="B593" s="56" t="s">
        <v>128</v>
      </c>
      <c r="C593" s="56">
        <v>32.0</v>
      </c>
      <c r="D593" s="56">
        <f>VLOOKUP(E593,'AWS Platforms Ratios'!$A$2:$B$25,2,FALSE)</f>
        <v>96</v>
      </c>
      <c r="E593" s="57" t="s">
        <v>350</v>
      </c>
      <c r="F593" s="56">
        <v>256.0</v>
      </c>
      <c r="G593" s="70">
        <v>768.0</v>
      </c>
      <c r="H593" s="57" t="s">
        <v>71</v>
      </c>
      <c r="I593" s="56" t="s">
        <v>72</v>
      </c>
      <c r="J593" s="56">
        <v>0.0</v>
      </c>
      <c r="K593" s="58" t="s">
        <v>73</v>
      </c>
      <c r="L593" s="58" t="s">
        <v>73</v>
      </c>
      <c r="M593" s="58" t="s">
        <v>73</v>
      </c>
      <c r="N593" s="58" t="s">
        <v>73</v>
      </c>
      <c r="O593" s="59">
        <f>($C593/$D593)*VLOOKUP($E593,'AWS Platforms Ratios'!$A$2:$O$25,7,FALSE)</f>
        <v>19.29333333</v>
      </c>
      <c r="P593" s="59">
        <f>($C593/$D593)*VLOOKUP($E593,'AWS Platforms Ratios'!$A$2:$O$25,8,FALSE)</f>
        <v>48.87666667</v>
      </c>
      <c r="Q593" s="59">
        <f>($C593/$D593)*VLOOKUP($E593,'AWS Platforms Ratios'!$A$2:$O$25,9,FALSE)</f>
        <v>114.5666667</v>
      </c>
      <c r="R593" s="59">
        <f>($C593/$D593)*VLOOKUP($E593,'AWS Platforms Ratios'!$A$2:$O$25,10,FALSE)</f>
        <v>159.325</v>
      </c>
      <c r="S593" s="59">
        <f>$F593*VLOOKUP($E593,'AWS Platforms Ratios'!$A$2:$O$25,11,FALSE)</f>
        <v>38.54</v>
      </c>
      <c r="T593" s="59">
        <f>$F593*VLOOKUP($E593,'AWS Platforms Ratios'!$A$2:$O$25,12,FALSE)</f>
        <v>61.59333333</v>
      </c>
      <c r="U593" s="59">
        <f>$F593*VLOOKUP($E593,'AWS Platforms Ratios'!$A$2:$O$25,13,FALSE)</f>
        <v>158.7333333</v>
      </c>
      <c r="V593" s="59">
        <f>$F593*VLOOKUP($E593,'AWS Platforms Ratios'!$A$2:$O$25,14,FALSE)</f>
        <v>255.8733333</v>
      </c>
      <c r="W593" s="60">
        <f>IF($K593&lt;&gt;"N/A",$M593*(VLOOKUP($L593,'GPU Specs &amp; Ratios'!$B$2:$I$8,5,FALSE)),0)</f>
        <v>0</v>
      </c>
      <c r="X593" s="60">
        <f>IF($K593&lt;&gt;"N/A",$M593*(VLOOKUP($L593,'GPU Specs &amp; Ratios'!$B$2:$I$8,6,FALSE)),0)</f>
        <v>0</v>
      </c>
      <c r="Y593" s="60">
        <f>IF($K593&lt;&gt;"N/A",$M593*(VLOOKUP($L593,'GPU Specs &amp; Ratios'!$B$2:$I$8,7,FALSE)),0)</f>
        <v>0</v>
      </c>
      <c r="Z593" s="60">
        <f>IF($K593&lt;&gt;"N/A",$M593*(VLOOKUP($L593,'GPU Specs &amp; Ratios'!$B$2:$I$8,8,FALSE)),0)</f>
        <v>0</v>
      </c>
      <c r="AA593" s="60">
        <f>(C593/D593)*VLOOKUP($E593,'AWS Platforms Ratios'!$A$2:$O$25,15,FALSE)</f>
        <v>32</v>
      </c>
      <c r="AB593" s="60">
        <f t="shared" ref="AB593:AE593" si="593">O593+S593+W593+$AA593</f>
        <v>89.83333333</v>
      </c>
      <c r="AC593" s="60">
        <f t="shared" si="593"/>
        <v>142.47</v>
      </c>
      <c r="AD593" s="60">
        <f t="shared" si="593"/>
        <v>305.3</v>
      </c>
      <c r="AE593" s="60">
        <f t="shared" si="593"/>
        <v>447.1983333</v>
      </c>
      <c r="AF593" s="60">
        <f>IF(G593&gt;'Scope 3 Ratios'!$B$5,(G593-'Scope 3 Ratios'!$B$5)*('Scope 3 Ratios'!$B$6/'Scope 3 Ratios'!$B$5),0)</f>
        <v>1042.9488</v>
      </c>
      <c r="AG593" s="60">
        <f>J593*IF(I593="SSD",'Scope 3 Ratios'!$B$9,'Scope 3 Ratios'!$B$8)</f>
        <v>0</v>
      </c>
      <c r="AH593" s="60">
        <f>IF(K593&lt;&gt;"N/A",K593*'Scope 3 Ratios'!$B$10,0)</f>
        <v>0</v>
      </c>
      <c r="AI593" s="60">
        <f>(VLOOKUP($E593,'AWS Platforms Ratios'!$A$2:$O$25,3,FALSE)-1)*'Scope 3 Ratios'!$B$7</f>
        <v>100</v>
      </c>
      <c r="AJ593" s="60">
        <f>'Scope 3 Ratios'!$B$2+AF593+AG593+AH593+AI593</f>
        <v>2142.9488</v>
      </c>
      <c r="AK593" s="60">
        <f>AJ593*'Scope 3 Ratios'!$B$4*(C593/D593)</f>
        <v>20.66887346</v>
      </c>
      <c r="AL593" s="61" t="s">
        <v>557</v>
      </c>
    </row>
    <row r="594" ht="15.0" customHeight="1">
      <c r="A594" s="56" t="s">
        <v>920</v>
      </c>
      <c r="B594" s="56" t="s">
        <v>556</v>
      </c>
      <c r="C594" s="56">
        <v>48.0</v>
      </c>
      <c r="D594" s="56">
        <f>VLOOKUP(E594,'AWS Platforms Ratios'!$A$2:$B$25,2,FALSE)</f>
        <v>96</v>
      </c>
      <c r="E594" s="57" t="s">
        <v>350</v>
      </c>
      <c r="F594" s="56">
        <v>384.0</v>
      </c>
      <c r="G594" s="70">
        <v>768.0</v>
      </c>
      <c r="H594" s="57" t="s">
        <v>71</v>
      </c>
      <c r="I594" s="56" t="s">
        <v>72</v>
      </c>
      <c r="J594" s="56">
        <v>0.0</v>
      </c>
      <c r="K594" s="58" t="s">
        <v>73</v>
      </c>
      <c r="L594" s="58" t="s">
        <v>73</v>
      </c>
      <c r="M594" s="58" t="s">
        <v>73</v>
      </c>
      <c r="N594" s="58" t="s">
        <v>73</v>
      </c>
      <c r="O594" s="59">
        <f>($C594/$D594)*VLOOKUP($E594,'AWS Platforms Ratios'!$A$2:$O$25,7,FALSE)</f>
        <v>28.94</v>
      </c>
      <c r="P594" s="59">
        <f>($C594/$D594)*VLOOKUP($E594,'AWS Platforms Ratios'!$A$2:$O$25,8,FALSE)</f>
        <v>73.315</v>
      </c>
      <c r="Q594" s="59">
        <f>($C594/$D594)*VLOOKUP($E594,'AWS Platforms Ratios'!$A$2:$O$25,9,FALSE)</f>
        <v>171.85</v>
      </c>
      <c r="R594" s="59">
        <f>($C594/$D594)*VLOOKUP($E594,'AWS Platforms Ratios'!$A$2:$O$25,10,FALSE)</f>
        <v>238.9875</v>
      </c>
      <c r="S594" s="59">
        <f>$F594*VLOOKUP($E594,'AWS Platforms Ratios'!$A$2:$O$25,11,FALSE)</f>
        <v>57.81</v>
      </c>
      <c r="T594" s="59">
        <f>$F594*VLOOKUP($E594,'AWS Platforms Ratios'!$A$2:$O$25,12,FALSE)</f>
        <v>92.39</v>
      </c>
      <c r="U594" s="59">
        <f>$F594*VLOOKUP($E594,'AWS Platforms Ratios'!$A$2:$O$25,13,FALSE)</f>
        <v>238.1</v>
      </c>
      <c r="V594" s="59">
        <f>$F594*VLOOKUP($E594,'AWS Platforms Ratios'!$A$2:$O$25,14,FALSE)</f>
        <v>383.81</v>
      </c>
      <c r="W594" s="60">
        <f>IF($K594&lt;&gt;"N/A",$M594*(VLOOKUP($L594,'GPU Specs &amp; Ratios'!$B$2:$I$8,5,FALSE)),0)</f>
        <v>0</v>
      </c>
      <c r="X594" s="60">
        <f>IF($K594&lt;&gt;"N/A",$M594*(VLOOKUP($L594,'GPU Specs &amp; Ratios'!$B$2:$I$8,6,FALSE)),0)</f>
        <v>0</v>
      </c>
      <c r="Y594" s="60">
        <f>IF($K594&lt;&gt;"N/A",$M594*(VLOOKUP($L594,'GPU Specs &amp; Ratios'!$B$2:$I$8,7,FALSE)),0)</f>
        <v>0</v>
      </c>
      <c r="Z594" s="60">
        <f>IF($K594&lt;&gt;"N/A",$M594*(VLOOKUP($L594,'GPU Specs &amp; Ratios'!$B$2:$I$8,8,FALSE)),0)</f>
        <v>0</v>
      </c>
      <c r="AA594" s="60">
        <f>(C594/D594)*VLOOKUP($E594,'AWS Platforms Ratios'!$A$2:$O$25,15,FALSE)</f>
        <v>48</v>
      </c>
      <c r="AB594" s="60">
        <f t="shared" ref="AB594:AE594" si="594">O594+S594+W594+$AA594</f>
        <v>134.75</v>
      </c>
      <c r="AC594" s="60">
        <f t="shared" si="594"/>
        <v>213.705</v>
      </c>
      <c r="AD594" s="60">
        <f t="shared" si="594"/>
        <v>457.95</v>
      </c>
      <c r="AE594" s="60">
        <f t="shared" si="594"/>
        <v>670.7975</v>
      </c>
      <c r="AF594" s="60">
        <f>IF(G594&gt;'Scope 3 Ratios'!$B$5,(G594-'Scope 3 Ratios'!$B$5)*('Scope 3 Ratios'!$B$6/'Scope 3 Ratios'!$B$5),0)</f>
        <v>1042.9488</v>
      </c>
      <c r="AG594" s="60">
        <f>J594*IF(I594="SSD",'Scope 3 Ratios'!$B$9,'Scope 3 Ratios'!$B$8)</f>
        <v>0</v>
      </c>
      <c r="AH594" s="60">
        <f>IF(K594&lt;&gt;"N/A",K594*'Scope 3 Ratios'!$B$10,0)</f>
        <v>0</v>
      </c>
      <c r="AI594" s="60">
        <f>(VLOOKUP($E594,'AWS Platforms Ratios'!$A$2:$O$25,3,FALSE)-1)*'Scope 3 Ratios'!$B$7</f>
        <v>100</v>
      </c>
      <c r="AJ594" s="60">
        <f>'Scope 3 Ratios'!$B$2+AF594+AG594+AH594+AI594</f>
        <v>2142.9488</v>
      </c>
      <c r="AK594" s="60">
        <f>AJ594*'Scope 3 Ratios'!$B$4*(C594/D594)</f>
        <v>31.00331019</v>
      </c>
      <c r="AL594" s="61" t="s">
        <v>557</v>
      </c>
    </row>
    <row r="595" ht="15.0" customHeight="1">
      <c r="A595" s="56" t="s">
        <v>921</v>
      </c>
      <c r="B595" s="56" t="s">
        <v>128</v>
      </c>
      <c r="C595" s="56">
        <v>64.0</v>
      </c>
      <c r="D595" s="56">
        <f>VLOOKUP(E595,'AWS Platforms Ratios'!$A$2:$B$25,2,FALSE)</f>
        <v>96</v>
      </c>
      <c r="E595" s="57" t="s">
        <v>350</v>
      </c>
      <c r="F595" s="56">
        <v>512.0</v>
      </c>
      <c r="G595" s="70">
        <v>768.0</v>
      </c>
      <c r="H595" s="57" t="s">
        <v>71</v>
      </c>
      <c r="I595" s="56" t="s">
        <v>72</v>
      </c>
      <c r="J595" s="56">
        <v>0.0</v>
      </c>
      <c r="K595" s="58" t="s">
        <v>73</v>
      </c>
      <c r="L595" s="58" t="s">
        <v>73</v>
      </c>
      <c r="M595" s="58" t="s">
        <v>73</v>
      </c>
      <c r="N595" s="58" t="s">
        <v>73</v>
      </c>
      <c r="O595" s="59">
        <f>($C595/$D595)*VLOOKUP($E595,'AWS Platforms Ratios'!$A$2:$O$25,7,FALSE)</f>
        <v>38.58666667</v>
      </c>
      <c r="P595" s="59">
        <f>($C595/$D595)*VLOOKUP($E595,'AWS Platforms Ratios'!$A$2:$O$25,8,FALSE)</f>
        <v>97.75333333</v>
      </c>
      <c r="Q595" s="59">
        <f>($C595/$D595)*VLOOKUP($E595,'AWS Platforms Ratios'!$A$2:$O$25,9,FALSE)</f>
        <v>229.1333333</v>
      </c>
      <c r="R595" s="59">
        <f>($C595/$D595)*VLOOKUP($E595,'AWS Platforms Ratios'!$A$2:$O$25,10,FALSE)</f>
        <v>318.65</v>
      </c>
      <c r="S595" s="59">
        <f>$F595*VLOOKUP($E595,'AWS Platforms Ratios'!$A$2:$O$25,11,FALSE)</f>
        <v>77.08</v>
      </c>
      <c r="T595" s="59">
        <f>$F595*VLOOKUP($E595,'AWS Platforms Ratios'!$A$2:$O$25,12,FALSE)</f>
        <v>123.1866667</v>
      </c>
      <c r="U595" s="59">
        <f>$F595*VLOOKUP($E595,'AWS Platforms Ratios'!$A$2:$O$25,13,FALSE)</f>
        <v>317.4666667</v>
      </c>
      <c r="V595" s="59">
        <f>$F595*VLOOKUP($E595,'AWS Platforms Ratios'!$A$2:$O$25,14,FALSE)</f>
        <v>511.7466667</v>
      </c>
      <c r="W595" s="60">
        <f>IF($K595&lt;&gt;"N/A",$M595*(VLOOKUP($L595,'GPU Specs &amp; Ratios'!$B$2:$I$8,5,FALSE)),0)</f>
        <v>0</v>
      </c>
      <c r="X595" s="60">
        <f>IF($K595&lt;&gt;"N/A",$M595*(VLOOKUP($L595,'GPU Specs &amp; Ratios'!$B$2:$I$8,6,FALSE)),0)</f>
        <v>0</v>
      </c>
      <c r="Y595" s="60">
        <f>IF($K595&lt;&gt;"N/A",$M595*(VLOOKUP($L595,'GPU Specs &amp; Ratios'!$B$2:$I$8,7,FALSE)),0)</f>
        <v>0</v>
      </c>
      <c r="Z595" s="60">
        <f>IF($K595&lt;&gt;"N/A",$M595*(VLOOKUP($L595,'GPU Specs &amp; Ratios'!$B$2:$I$8,8,FALSE)),0)</f>
        <v>0</v>
      </c>
      <c r="AA595" s="60">
        <f>(C595/D595)*VLOOKUP($E595,'AWS Platforms Ratios'!$A$2:$O$25,15,FALSE)</f>
        <v>64</v>
      </c>
      <c r="AB595" s="60">
        <f t="shared" ref="AB595:AE595" si="595">O595+S595+W595+$AA595</f>
        <v>179.6666667</v>
      </c>
      <c r="AC595" s="60">
        <f t="shared" si="595"/>
        <v>284.94</v>
      </c>
      <c r="AD595" s="60">
        <f t="shared" si="595"/>
        <v>610.6</v>
      </c>
      <c r="AE595" s="60">
        <f t="shared" si="595"/>
        <v>894.3966667</v>
      </c>
      <c r="AF595" s="60">
        <f>IF(G595&gt;'Scope 3 Ratios'!$B$5,(G595-'Scope 3 Ratios'!$B$5)*('Scope 3 Ratios'!$B$6/'Scope 3 Ratios'!$B$5),0)</f>
        <v>1042.9488</v>
      </c>
      <c r="AG595" s="60">
        <f>J595*IF(I595="SSD",'Scope 3 Ratios'!$B$9,'Scope 3 Ratios'!$B$8)</f>
        <v>0</v>
      </c>
      <c r="AH595" s="60">
        <f>IF(K595&lt;&gt;"N/A",K595*'Scope 3 Ratios'!$B$10,0)</f>
        <v>0</v>
      </c>
      <c r="AI595" s="60">
        <f>(VLOOKUP($E595,'AWS Platforms Ratios'!$A$2:$O$25,3,FALSE)-1)*'Scope 3 Ratios'!$B$7</f>
        <v>100</v>
      </c>
      <c r="AJ595" s="60">
        <f>'Scope 3 Ratios'!$B$2+AF595+AG595+AH595+AI595</f>
        <v>2142.9488</v>
      </c>
      <c r="AK595" s="60">
        <f>AJ595*'Scope 3 Ratios'!$B$4*(C595/D595)</f>
        <v>41.33774691</v>
      </c>
      <c r="AL595" s="61" t="s">
        <v>557</v>
      </c>
    </row>
    <row r="596" ht="15.0" customHeight="1">
      <c r="A596" s="56" t="s">
        <v>922</v>
      </c>
      <c r="B596" s="56" t="s">
        <v>556</v>
      </c>
      <c r="C596" s="56">
        <v>96.0</v>
      </c>
      <c r="D596" s="56">
        <f>VLOOKUP(E596,'AWS Platforms Ratios'!$A$2:$B$25,2,FALSE)</f>
        <v>96</v>
      </c>
      <c r="E596" s="57" t="s">
        <v>350</v>
      </c>
      <c r="F596" s="56">
        <v>768.0</v>
      </c>
      <c r="G596" s="70">
        <v>768.0</v>
      </c>
      <c r="H596" s="57" t="s">
        <v>71</v>
      </c>
      <c r="I596" s="56" t="s">
        <v>72</v>
      </c>
      <c r="J596" s="56">
        <v>0.0</v>
      </c>
      <c r="K596" s="58" t="s">
        <v>73</v>
      </c>
      <c r="L596" s="58" t="s">
        <v>73</v>
      </c>
      <c r="M596" s="58" t="s">
        <v>73</v>
      </c>
      <c r="N596" s="58" t="s">
        <v>73</v>
      </c>
      <c r="O596" s="59">
        <f>($C596/$D596)*VLOOKUP($E596,'AWS Platforms Ratios'!$A$2:$O$25,7,FALSE)</f>
        <v>57.88</v>
      </c>
      <c r="P596" s="59">
        <f>($C596/$D596)*VLOOKUP($E596,'AWS Platforms Ratios'!$A$2:$O$25,8,FALSE)</f>
        <v>146.63</v>
      </c>
      <c r="Q596" s="59">
        <f>($C596/$D596)*VLOOKUP($E596,'AWS Platforms Ratios'!$A$2:$O$25,9,FALSE)</f>
        <v>343.7</v>
      </c>
      <c r="R596" s="59">
        <f>($C596/$D596)*VLOOKUP($E596,'AWS Platforms Ratios'!$A$2:$O$25,10,FALSE)</f>
        <v>477.975</v>
      </c>
      <c r="S596" s="59">
        <f>$F596*VLOOKUP($E596,'AWS Platforms Ratios'!$A$2:$O$25,11,FALSE)</f>
        <v>115.62</v>
      </c>
      <c r="T596" s="59">
        <f>$F596*VLOOKUP($E596,'AWS Platforms Ratios'!$A$2:$O$25,12,FALSE)</f>
        <v>184.78</v>
      </c>
      <c r="U596" s="59">
        <f>$F596*VLOOKUP($E596,'AWS Platforms Ratios'!$A$2:$O$25,13,FALSE)</f>
        <v>476.2</v>
      </c>
      <c r="V596" s="59">
        <f>$F596*VLOOKUP($E596,'AWS Platforms Ratios'!$A$2:$O$25,14,FALSE)</f>
        <v>767.62</v>
      </c>
      <c r="W596" s="60">
        <f>IF($K596&lt;&gt;"N/A",$M596*(VLOOKUP($L596,'GPU Specs &amp; Ratios'!$B$2:$I$8,5,FALSE)),0)</f>
        <v>0</v>
      </c>
      <c r="X596" s="60">
        <f>IF($K596&lt;&gt;"N/A",$M596*(VLOOKUP($L596,'GPU Specs &amp; Ratios'!$B$2:$I$8,6,FALSE)),0)</f>
        <v>0</v>
      </c>
      <c r="Y596" s="60">
        <f>IF($K596&lt;&gt;"N/A",$M596*(VLOOKUP($L596,'GPU Specs &amp; Ratios'!$B$2:$I$8,7,FALSE)),0)</f>
        <v>0</v>
      </c>
      <c r="Z596" s="60">
        <f>IF($K596&lt;&gt;"N/A",$M596*(VLOOKUP($L596,'GPU Specs &amp; Ratios'!$B$2:$I$8,8,FALSE)),0)</f>
        <v>0</v>
      </c>
      <c r="AA596" s="60">
        <f>(C596/D596)*VLOOKUP($E596,'AWS Platforms Ratios'!$A$2:$O$25,15,FALSE)</f>
        <v>96</v>
      </c>
      <c r="AB596" s="60">
        <f t="shared" ref="AB596:AE596" si="596">O596+S596+W596+$AA596</f>
        <v>269.5</v>
      </c>
      <c r="AC596" s="60">
        <f t="shared" si="596"/>
        <v>427.41</v>
      </c>
      <c r="AD596" s="60">
        <f t="shared" si="596"/>
        <v>915.9</v>
      </c>
      <c r="AE596" s="60">
        <f t="shared" si="596"/>
        <v>1341.595</v>
      </c>
      <c r="AF596" s="60">
        <f>IF(G596&gt;'Scope 3 Ratios'!$B$5,(G596-'Scope 3 Ratios'!$B$5)*('Scope 3 Ratios'!$B$6/'Scope 3 Ratios'!$B$5),0)</f>
        <v>1042.9488</v>
      </c>
      <c r="AG596" s="60">
        <f>J596*IF(I596="SSD",'Scope 3 Ratios'!$B$9,'Scope 3 Ratios'!$B$8)</f>
        <v>0</v>
      </c>
      <c r="AH596" s="60">
        <f>IF(K596&lt;&gt;"N/A",K596*'Scope 3 Ratios'!$B$10,0)</f>
        <v>0</v>
      </c>
      <c r="AI596" s="60">
        <f>(VLOOKUP($E596,'AWS Platforms Ratios'!$A$2:$O$25,3,FALSE)-1)*'Scope 3 Ratios'!$B$7</f>
        <v>100</v>
      </c>
      <c r="AJ596" s="60">
        <f>'Scope 3 Ratios'!$B$2+AF596+AG596+AH596+AI596</f>
        <v>2142.9488</v>
      </c>
      <c r="AK596" s="60">
        <f>AJ596*'Scope 3 Ratios'!$B$4*(C596/D596)</f>
        <v>62.00662037</v>
      </c>
      <c r="AL596" s="61" t="s">
        <v>557</v>
      </c>
    </row>
    <row r="597" ht="15.0" customHeight="1">
      <c r="A597" s="56" t="s">
        <v>923</v>
      </c>
      <c r="B597" s="56" t="s">
        <v>119</v>
      </c>
      <c r="C597" s="56">
        <v>2.0</v>
      </c>
      <c r="D597" s="56">
        <f>VLOOKUP(E597,'AWS Platforms Ratios'!$A$2:$B$25,2,FALSE)</f>
        <v>72</v>
      </c>
      <c r="E597" s="57" t="s">
        <v>269</v>
      </c>
      <c r="F597" s="56">
        <v>15.25</v>
      </c>
      <c r="G597" s="56">
        <v>488.0</v>
      </c>
      <c r="H597" s="57" t="s">
        <v>71</v>
      </c>
      <c r="I597" s="56" t="s">
        <v>72</v>
      </c>
      <c r="J597" s="56">
        <v>0.0</v>
      </c>
      <c r="K597" s="58" t="s">
        <v>73</v>
      </c>
      <c r="L597" s="58" t="s">
        <v>73</v>
      </c>
      <c r="M597" s="58" t="s">
        <v>73</v>
      </c>
      <c r="N597" s="58" t="s">
        <v>73</v>
      </c>
      <c r="O597" s="59">
        <f>($C597/$D597)*VLOOKUP($E597,'AWS Platforms Ratios'!$A$2:$O$25,7,FALSE)</f>
        <v>0.9716666667</v>
      </c>
      <c r="P597" s="59">
        <f>($C597/$D597)*VLOOKUP($E597,'AWS Platforms Ratios'!$A$2:$O$25,8,FALSE)</f>
        <v>2.773888889</v>
      </c>
      <c r="Q597" s="59">
        <f>($C597/$D597)*VLOOKUP($E597,'AWS Platforms Ratios'!$A$2:$O$25,9,FALSE)</f>
        <v>5.705277778</v>
      </c>
      <c r="R597" s="59">
        <f>($C597/$D597)*VLOOKUP($E597,'AWS Platforms Ratios'!$A$2:$O$25,10,FALSE)</f>
        <v>7.809236111</v>
      </c>
      <c r="S597" s="59">
        <f>$F597*VLOOKUP($E597,'AWS Platforms Ratios'!$A$2:$O$25,11,FALSE)</f>
        <v>3.05</v>
      </c>
      <c r="T597" s="59">
        <f>$F597*VLOOKUP($E597,'AWS Platforms Ratios'!$A$2:$O$25,12,FALSE)</f>
        <v>4.575</v>
      </c>
      <c r="U597" s="59">
        <f>$F597*VLOOKUP($E597,'AWS Platforms Ratios'!$A$2:$O$25,13,FALSE)</f>
        <v>6.1</v>
      </c>
      <c r="V597" s="59">
        <f>$F597*VLOOKUP($E597,'AWS Platforms Ratios'!$A$2:$O$25,14,FALSE)</f>
        <v>9.15</v>
      </c>
      <c r="W597" s="60">
        <f>IF($K597&lt;&gt;"N/A",$M597*(VLOOKUP($L597,'GPU Specs &amp; Ratios'!$B$2:$I$8,5,FALSE)),0)</f>
        <v>0</v>
      </c>
      <c r="X597" s="60">
        <f>IF($K597&lt;&gt;"N/A",$M597*(VLOOKUP($L597,'GPU Specs &amp; Ratios'!$B$2:$I$8,6,FALSE)),0)</f>
        <v>0</v>
      </c>
      <c r="Y597" s="60">
        <f>IF($K597&lt;&gt;"N/A",$M597*(VLOOKUP($L597,'GPU Specs &amp; Ratios'!$B$2:$I$8,7,FALSE)),0)</f>
        <v>0</v>
      </c>
      <c r="Z597" s="60">
        <f>IF($K597&lt;&gt;"N/A",$M597*(VLOOKUP($L597,'GPU Specs &amp; Ratios'!$B$2:$I$8,8,FALSE)),0)</f>
        <v>0</v>
      </c>
      <c r="AA597" s="60">
        <f>(C597/D597)*VLOOKUP($E597,'AWS Platforms Ratios'!$A$2:$O$25,15,FALSE)</f>
        <v>1.611111111</v>
      </c>
      <c r="AB597" s="60">
        <f t="shared" ref="AB597:AE597" si="597">O597+S597+W597+$AA597</f>
        <v>5.632777778</v>
      </c>
      <c r="AC597" s="60">
        <f t="shared" si="597"/>
        <v>8.96</v>
      </c>
      <c r="AD597" s="60">
        <f t="shared" si="597"/>
        <v>13.41638889</v>
      </c>
      <c r="AE597" s="60">
        <f t="shared" si="597"/>
        <v>18.57034722</v>
      </c>
      <c r="AF597" s="60">
        <f>IF(G597&gt;'Scope 3 Ratios'!$B$5,(G597-'Scope 3 Ratios'!$B$5)*('Scope 3 Ratios'!$B$6/'Scope 3 Ratios'!$B$5),0)</f>
        <v>654.6168</v>
      </c>
      <c r="AG597" s="60">
        <f>J597*IF(I597="SSD",'Scope 3 Ratios'!$B$9,'Scope 3 Ratios'!$B$8)</f>
        <v>0</v>
      </c>
      <c r="AH597" s="60">
        <f>IF(K597&lt;&gt;"N/A",K597*'Scope 3 Ratios'!$B$10,0)</f>
        <v>0</v>
      </c>
      <c r="AI597" s="60">
        <f>(VLOOKUP($E597,'AWS Platforms Ratios'!$A$2:$O$25,3,FALSE)-1)*'Scope 3 Ratios'!$B$7</f>
        <v>100</v>
      </c>
      <c r="AJ597" s="60">
        <f>'Scope 3 Ratios'!$B$2+AF597+AG597+AH597+AI597</f>
        <v>1754.6168</v>
      </c>
      <c r="AK597" s="60">
        <f>AJ597*'Scope 3 Ratios'!$B$4*(C597/D597)</f>
        <v>1.410282279</v>
      </c>
      <c r="AL597" s="61" t="s">
        <v>549</v>
      </c>
    </row>
    <row r="598" ht="15.0" customHeight="1">
      <c r="A598" s="56" t="s">
        <v>924</v>
      </c>
      <c r="B598" s="56" t="s">
        <v>119</v>
      </c>
      <c r="C598" s="56">
        <v>4.0</v>
      </c>
      <c r="D598" s="56">
        <f>VLOOKUP(E598,'AWS Platforms Ratios'!$A$2:$B$25,2,FALSE)</f>
        <v>72</v>
      </c>
      <c r="E598" s="57" t="s">
        <v>269</v>
      </c>
      <c r="F598" s="56">
        <v>30.5</v>
      </c>
      <c r="G598" s="56">
        <v>488.0</v>
      </c>
      <c r="H598" s="57" t="s">
        <v>71</v>
      </c>
      <c r="I598" s="56" t="s">
        <v>72</v>
      </c>
      <c r="J598" s="56">
        <v>0.0</v>
      </c>
      <c r="K598" s="58" t="s">
        <v>73</v>
      </c>
      <c r="L598" s="58" t="s">
        <v>73</v>
      </c>
      <c r="M598" s="58" t="s">
        <v>73</v>
      </c>
      <c r="N598" s="58" t="s">
        <v>73</v>
      </c>
      <c r="O598" s="59">
        <f>($C598/$D598)*VLOOKUP($E598,'AWS Platforms Ratios'!$A$2:$O$25,7,FALSE)</f>
        <v>1.943333333</v>
      </c>
      <c r="P598" s="59">
        <f>($C598/$D598)*VLOOKUP($E598,'AWS Platforms Ratios'!$A$2:$O$25,8,FALSE)</f>
        <v>5.547777778</v>
      </c>
      <c r="Q598" s="59">
        <f>($C598/$D598)*VLOOKUP($E598,'AWS Platforms Ratios'!$A$2:$O$25,9,FALSE)</f>
        <v>11.41055556</v>
      </c>
      <c r="R598" s="59">
        <f>($C598/$D598)*VLOOKUP($E598,'AWS Platforms Ratios'!$A$2:$O$25,10,FALSE)</f>
        <v>15.61847222</v>
      </c>
      <c r="S598" s="59">
        <f>$F598*VLOOKUP($E598,'AWS Platforms Ratios'!$A$2:$O$25,11,FALSE)</f>
        <v>6.1</v>
      </c>
      <c r="T598" s="59">
        <f>$F598*VLOOKUP($E598,'AWS Platforms Ratios'!$A$2:$O$25,12,FALSE)</f>
        <v>9.15</v>
      </c>
      <c r="U598" s="59">
        <f>$F598*VLOOKUP($E598,'AWS Platforms Ratios'!$A$2:$O$25,13,FALSE)</f>
        <v>12.2</v>
      </c>
      <c r="V598" s="59">
        <f>$F598*VLOOKUP($E598,'AWS Platforms Ratios'!$A$2:$O$25,14,FALSE)</f>
        <v>18.3</v>
      </c>
      <c r="W598" s="60">
        <f>IF($K598&lt;&gt;"N/A",$M598*(VLOOKUP($L598,'GPU Specs &amp; Ratios'!$B$2:$I$8,5,FALSE)),0)</f>
        <v>0</v>
      </c>
      <c r="X598" s="60">
        <f>IF($K598&lt;&gt;"N/A",$M598*(VLOOKUP($L598,'GPU Specs &amp; Ratios'!$B$2:$I$8,6,FALSE)),0)</f>
        <v>0</v>
      </c>
      <c r="Y598" s="60">
        <f>IF($K598&lt;&gt;"N/A",$M598*(VLOOKUP($L598,'GPU Specs &amp; Ratios'!$B$2:$I$8,7,FALSE)),0)</f>
        <v>0</v>
      </c>
      <c r="Z598" s="60">
        <f>IF($K598&lt;&gt;"N/A",$M598*(VLOOKUP($L598,'GPU Specs &amp; Ratios'!$B$2:$I$8,8,FALSE)),0)</f>
        <v>0</v>
      </c>
      <c r="AA598" s="60">
        <f>(C598/D598)*VLOOKUP($E598,'AWS Platforms Ratios'!$A$2:$O$25,15,FALSE)</f>
        <v>3.222222222</v>
      </c>
      <c r="AB598" s="60">
        <f t="shared" ref="AB598:AE598" si="598">O598+S598+W598+$AA598</f>
        <v>11.26555556</v>
      </c>
      <c r="AC598" s="60">
        <f t="shared" si="598"/>
        <v>17.92</v>
      </c>
      <c r="AD598" s="60">
        <f t="shared" si="598"/>
        <v>26.83277778</v>
      </c>
      <c r="AE598" s="60">
        <f t="shared" si="598"/>
        <v>37.14069444</v>
      </c>
      <c r="AF598" s="60">
        <f>IF(G598&gt;'Scope 3 Ratios'!$B$5,(G598-'Scope 3 Ratios'!$B$5)*('Scope 3 Ratios'!$B$6/'Scope 3 Ratios'!$B$5),0)</f>
        <v>654.6168</v>
      </c>
      <c r="AG598" s="60">
        <f>J598*IF(I598="SSD",'Scope 3 Ratios'!$B$9,'Scope 3 Ratios'!$B$8)</f>
        <v>0</v>
      </c>
      <c r="AH598" s="60">
        <f>IF(K598&lt;&gt;"N/A",K598*'Scope 3 Ratios'!$B$10,0)</f>
        <v>0</v>
      </c>
      <c r="AI598" s="60">
        <f>(VLOOKUP($E598,'AWS Platforms Ratios'!$A$2:$O$25,3,FALSE)-1)*'Scope 3 Ratios'!$B$7</f>
        <v>100</v>
      </c>
      <c r="AJ598" s="60">
        <f>'Scope 3 Ratios'!$B$2+AF598+AG598+AH598+AI598</f>
        <v>1754.6168</v>
      </c>
      <c r="AK598" s="60">
        <f>AJ598*'Scope 3 Ratios'!$B$4*(C598/D598)</f>
        <v>2.820564558</v>
      </c>
      <c r="AL598" s="61" t="s">
        <v>549</v>
      </c>
    </row>
    <row r="599" ht="15.0" customHeight="1">
      <c r="A599" s="56" t="s">
        <v>925</v>
      </c>
      <c r="B599" s="56" t="s">
        <v>119</v>
      </c>
      <c r="C599" s="56">
        <v>8.0</v>
      </c>
      <c r="D599" s="56">
        <f>VLOOKUP(E599,'AWS Platforms Ratios'!$A$2:$B$25,2,FALSE)</f>
        <v>72</v>
      </c>
      <c r="E599" s="57" t="s">
        <v>269</v>
      </c>
      <c r="F599" s="56">
        <v>61.0</v>
      </c>
      <c r="G599" s="56">
        <v>488.0</v>
      </c>
      <c r="H599" s="57" t="s">
        <v>71</v>
      </c>
      <c r="I599" s="56" t="s">
        <v>72</v>
      </c>
      <c r="J599" s="56">
        <v>0.0</v>
      </c>
      <c r="K599" s="58" t="s">
        <v>73</v>
      </c>
      <c r="L599" s="58" t="s">
        <v>73</v>
      </c>
      <c r="M599" s="58" t="s">
        <v>73</v>
      </c>
      <c r="N599" s="58" t="s">
        <v>73</v>
      </c>
      <c r="O599" s="59">
        <f>($C599/$D599)*VLOOKUP($E599,'AWS Platforms Ratios'!$A$2:$O$25,7,FALSE)</f>
        <v>3.886666667</v>
      </c>
      <c r="P599" s="59">
        <f>($C599/$D599)*VLOOKUP($E599,'AWS Platforms Ratios'!$A$2:$O$25,8,FALSE)</f>
        <v>11.09555556</v>
      </c>
      <c r="Q599" s="59">
        <f>($C599/$D599)*VLOOKUP($E599,'AWS Platforms Ratios'!$A$2:$O$25,9,FALSE)</f>
        <v>22.82111111</v>
      </c>
      <c r="R599" s="59">
        <f>($C599/$D599)*VLOOKUP($E599,'AWS Platforms Ratios'!$A$2:$O$25,10,FALSE)</f>
        <v>31.23694444</v>
      </c>
      <c r="S599" s="59">
        <f>$F599*VLOOKUP($E599,'AWS Platforms Ratios'!$A$2:$O$25,11,FALSE)</f>
        <v>12.2</v>
      </c>
      <c r="T599" s="59">
        <f>$F599*VLOOKUP($E599,'AWS Platforms Ratios'!$A$2:$O$25,12,FALSE)</f>
        <v>18.3</v>
      </c>
      <c r="U599" s="59">
        <f>$F599*VLOOKUP($E599,'AWS Platforms Ratios'!$A$2:$O$25,13,FALSE)</f>
        <v>24.4</v>
      </c>
      <c r="V599" s="59">
        <f>$F599*VLOOKUP($E599,'AWS Platforms Ratios'!$A$2:$O$25,14,FALSE)</f>
        <v>36.6</v>
      </c>
      <c r="W599" s="60">
        <f>IF($K599&lt;&gt;"N/A",$M599*(VLOOKUP($L599,'GPU Specs &amp; Ratios'!$B$2:$I$8,5,FALSE)),0)</f>
        <v>0</v>
      </c>
      <c r="X599" s="60">
        <f>IF($K599&lt;&gt;"N/A",$M599*(VLOOKUP($L599,'GPU Specs &amp; Ratios'!$B$2:$I$8,6,FALSE)),0)</f>
        <v>0</v>
      </c>
      <c r="Y599" s="60">
        <f>IF($K599&lt;&gt;"N/A",$M599*(VLOOKUP($L599,'GPU Specs &amp; Ratios'!$B$2:$I$8,7,FALSE)),0)</f>
        <v>0</v>
      </c>
      <c r="Z599" s="60">
        <f>IF($K599&lt;&gt;"N/A",$M599*(VLOOKUP($L599,'GPU Specs &amp; Ratios'!$B$2:$I$8,8,FALSE)),0)</f>
        <v>0</v>
      </c>
      <c r="AA599" s="60">
        <f>(C599/D599)*VLOOKUP($E599,'AWS Platforms Ratios'!$A$2:$O$25,15,FALSE)</f>
        <v>6.444444444</v>
      </c>
      <c r="AB599" s="60">
        <f t="shared" ref="AB599:AE599" si="599">O599+S599+W599+$AA599</f>
        <v>22.53111111</v>
      </c>
      <c r="AC599" s="60">
        <f t="shared" si="599"/>
        <v>35.84</v>
      </c>
      <c r="AD599" s="60">
        <f t="shared" si="599"/>
        <v>53.66555556</v>
      </c>
      <c r="AE599" s="60">
        <f t="shared" si="599"/>
        <v>74.28138889</v>
      </c>
      <c r="AF599" s="60">
        <f>IF(G599&gt;'Scope 3 Ratios'!$B$5,(G599-'Scope 3 Ratios'!$B$5)*('Scope 3 Ratios'!$B$6/'Scope 3 Ratios'!$B$5),0)</f>
        <v>654.6168</v>
      </c>
      <c r="AG599" s="60">
        <f>J599*IF(I599="SSD",'Scope 3 Ratios'!$B$9,'Scope 3 Ratios'!$B$8)</f>
        <v>0</v>
      </c>
      <c r="AH599" s="60">
        <f>IF(K599&lt;&gt;"N/A",K599*'Scope 3 Ratios'!$B$10,0)</f>
        <v>0</v>
      </c>
      <c r="AI599" s="60">
        <f>(VLOOKUP($E599,'AWS Platforms Ratios'!$A$2:$O$25,3,FALSE)-1)*'Scope 3 Ratios'!$B$7</f>
        <v>100</v>
      </c>
      <c r="AJ599" s="60">
        <f>'Scope 3 Ratios'!$B$2+AF599+AG599+AH599+AI599</f>
        <v>1754.6168</v>
      </c>
      <c r="AK599" s="60">
        <f>AJ599*'Scope 3 Ratios'!$B$4*(C599/D599)</f>
        <v>5.641129115</v>
      </c>
      <c r="AL599" s="61" t="s">
        <v>549</v>
      </c>
    </row>
    <row r="600" ht="15.0" customHeight="1">
      <c r="A600" s="56" t="s">
        <v>926</v>
      </c>
      <c r="B600" s="56" t="s">
        <v>119</v>
      </c>
      <c r="C600" s="56">
        <v>16.0</v>
      </c>
      <c r="D600" s="56">
        <f>VLOOKUP(E600,'AWS Platforms Ratios'!$A$2:$B$25,2,FALSE)</f>
        <v>72</v>
      </c>
      <c r="E600" s="57" t="s">
        <v>269</v>
      </c>
      <c r="F600" s="56">
        <v>122.0</v>
      </c>
      <c r="G600" s="56">
        <v>488.0</v>
      </c>
      <c r="H600" s="57" t="s">
        <v>71</v>
      </c>
      <c r="I600" s="56" t="s">
        <v>72</v>
      </c>
      <c r="J600" s="56">
        <v>0.0</v>
      </c>
      <c r="K600" s="58" t="s">
        <v>73</v>
      </c>
      <c r="L600" s="58" t="s">
        <v>73</v>
      </c>
      <c r="M600" s="58" t="s">
        <v>73</v>
      </c>
      <c r="N600" s="58" t="s">
        <v>73</v>
      </c>
      <c r="O600" s="59">
        <f>($C600/$D600)*VLOOKUP($E600,'AWS Platforms Ratios'!$A$2:$O$25,7,FALSE)</f>
        <v>7.773333333</v>
      </c>
      <c r="P600" s="59">
        <f>($C600/$D600)*VLOOKUP($E600,'AWS Platforms Ratios'!$A$2:$O$25,8,FALSE)</f>
        <v>22.19111111</v>
      </c>
      <c r="Q600" s="59">
        <f>($C600/$D600)*VLOOKUP($E600,'AWS Platforms Ratios'!$A$2:$O$25,9,FALSE)</f>
        <v>45.64222222</v>
      </c>
      <c r="R600" s="59">
        <f>($C600/$D600)*VLOOKUP($E600,'AWS Platforms Ratios'!$A$2:$O$25,10,FALSE)</f>
        <v>62.47388889</v>
      </c>
      <c r="S600" s="59">
        <f>$F600*VLOOKUP($E600,'AWS Platforms Ratios'!$A$2:$O$25,11,FALSE)</f>
        <v>24.4</v>
      </c>
      <c r="T600" s="59">
        <f>$F600*VLOOKUP($E600,'AWS Platforms Ratios'!$A$2:$O$25,12,FALSE)</f>
        <v>36.6</v>
      </c>
      <c r="U600" s="59">
        <f>$F600*VLOOKUP($E600,'AWS Platforms Ratios'!$A$2:$O$25,13,FALSE)</f>
        <v>48.8</v>
      </c>
      <c r="V600" s="59">
        <f>$F600*VLOOKUP($E600,'AWS Platforms Ratios'!$A$2:$O$25,14,FALSE)</f>
        <v>73.2</v>
      </c>
      <c r="W600" s="60">
        <f>IF($K600&lt;&gt;"N/A",$M600*(VLOOKUP($L600,'GPU Specs &amp; Ratios'!$B$2:$I$8,5,FALSE)),0)</f>
        <v>0</v>
      </c>
      <c r="X600" s="60">
        <f>IF($K600&lt;&gt;"N/A",$M600*(VLOOKUP($L600,'GPU Specs &amp; Ratios'!$B$2:$I$8,6,FALSE)),0)</f>
        <v>0</v>
      </c>
      <c r="Y600" s="60">
        <f>IF($K600&lt;&gt;"N/A",$M600*(VLOOKUP($L600,'GPU Specs &amp; Ratios'!$B$2:$I$8,7,FALSE)),0)</f>
        <v>0</v>
      </c>
      <c r="Z600" s="60">
        <f>IF($K600&lt;&gt;"N/A",$M600*(VLOOKUP($L600,'GPU Specs &amp; Ratios'!$B$2:$I$8,8,FALSE)),0)</f>
        <v>0</v>
      </c>
      <c r="AA600" s="60">
        <f>(C600/D600)*VLOOKUP($E600,'AWS Platforms Ratios'!$A$2:$O$25,15,FALSE)</f>
        <v>12.88888889</v>
      </c>
      <c r="AB600" s="60">
        <f t="shared" ref="AB600:AE600" si="600">O600+S600+W600+$AA600</f>
        <v>45.06222222</v>
      </c>
      <c r="AC600" s="60">
        <f t="shared" si="600"/>
        <v>71.68</v>
      </c>
      <c r="AD600" s="60">
        <f t="shared" si="600"/>
        <v>107.3311111</v>
      </c>
      <c r="AE600" s="60">
        <f t="shared" si="600"/>
        <v>148.5627778</v>
      </c>
      <c r="AF600" s="60">
        <f>IF(G600&gt;'Scope 3 Ratios'!$B$5,(G600-'Scope 3 Ratios'!$B$5)*('Scope 3 Ratios'!$B$6/'Scope 3 Ratios'!$B$5),0)</f>
        <v>654.6168</v>
      </c>
      <c r="AG600" s="60">
        <f>J600*IF(I600="SSD",'Scope 3 Ratios'!$B$9,'Scope 3 Ratios'!$B$8)</f>
        <v>0</v>
      </c>
      <c r="AH600" s="60">
        <f>IF(K600&lt;&gt;"N/A",K600*'Scope 3 Ratios'!$B$10,0)</f>
        <v>0</v>
      </c>
      <c r="AI600" s="60">
        <f>(VLOOKUP($E600,'AWS Platforms Ratios'!$A$2:$O$25,3,FALSE)-1)*'Scope 3 Ratios'!$B$7</f>
        <v>100</v>
      </c>
      <c r="AJ600" s="60">
        <f>'Scope 3 Ratios'!$B$2+AF600+AG600+AH600+AI600</f>
        <v>1754.6168</v>
      </c>
      <c r="AK600" s="60">
        <f>AJ600*'Scope 3 Ratios'!$B$4*(C600/D600)</f>
        <v>11.28225823</v>
      </c>
      <c r="AL600" s="61" t="s">
        <v>549</v>
      </c>
    </row>
    <row r="601" ht="15.0" customHeight="1">
      <c r="A601" s="56" t="s">
        <v>927</v>
      </c>
      <c r="B601" s="56" t="s">
        <v>119</v>
      </c>
      <c r="C601" s="56">
        <v>32.0</v>
      </c>
      <c r="D601" s="56">
        <f>VLOOKUP(E601,'AWS Platforms Ratios'!$A$2:$B$25,2,FALSE)</f>
        <v>72</v>
      </c>
      <c r="E601" s="57" t="s">
        <v>269</v>
      </c>
      <c r="F601" s="56">
        <v>244.0</v>
      </c>
      <c r="G601" s="56">
        <v>488.0</v>
      </c>
      <c r="H601" s="57" t="s">
        <v>71</v>
      </c>
      <c r="I601" s="56" t="s">
        <v>72</v>
      </c>
      <c r="J601" s="56">
        <v>0.0</v>
      </c>
      <c r="K601" s="58" t="s">
        <v>73</v>
      </c>
      <c r="L601" s="58" t="s">
        <v>73</v>
      </c>
      <c r="M601" s="58" t="s">
        <v>73</v>
      </c>
      <c r="N601" s="58" t="s">
        <v>73</v>
      </c>
      <c r="O601" s="59">
        <f>($C601/$D601)*VLOOKUP($E601,'AWS Platforms Ratios'!$A$2:$O$25,7,FALSE)</f>
        <v>15.54666667</v>
      </c>
      <c r="P601" s="59">
        <f>($C601/$D601)*VLOOKUP($E601,'AWS Platforms Ratios'!$A$2:$O$25,8,FALSE)</f>
        <v>44.38222222</v>
      </c>
      <c r="Q601" s="59">
        <f>($C601/$D601)*VLOOKUP($E601,'AWS Platforms Ratios'!$A$2:$O$25,9,FALSE)</f>
        <v>91.28444444</v>
      </c>
      <c r="R601" s="59">
        <f>($C601/$D601)*VLOOKUP($E601,'AWS Platforms Ratios'!$A$2:$O$25,10,FALSE)</f>
        <v>124.9477778</v>
      </c>
      <c r="S601" s="59">
        <f>$F601*VLOOKUP($E601,'AWS Platforms Ratios'!$A$2:$O$25,11,FALSE)</f>
        <v>48.8</v>
      </c>
      <c r="T601" s="59">
        <f>$F601*VLOOKUP($E601,'AWS Platforms Ratios'!$A$2:$O$25,12,FALSE)</f>
        <v>73.2</v>
      </c>
      <c r="U601" s="59">
        <f>$F601*VLOOKUP($E601,'AWS Platforms Ratios'!$A$2:$O$25,13,FALSE)</f>
        <v>97.6</v>
      </c>
      <c r="V601" s="59">
        <f>$F601*VLOOKUP($E601,'AWS Platforms Ratios'!$A$2:$O$25,14,FALSE)</f>
        <v>146.4</v>
      </c>
      <c r="W601" s="60">
        <f>IF($K601&lt;&gt;"N/A",$M601*(VLOOKUP($L601,'GPU Specs &amp; Ratios'!$B$2:$I$8,5,FALSE)),0)</f>
        <v>0</v>
      </c>
      <c r="X601" s="60">
        <f>IF($K601&lt;&gt;"N/A",$M601*(VLOOKUP($L601,'GPU Specs &amp; Ratios'!$B$2:$I$8,6,FALSE)),0)</f>
        <v>0</v>
      </c>
      <c r="Y601" s="60">
        <f>IF($K601&lt;&gt;"N/A",$M601*(VLOOKUP($L601,'GPU Specs &amp; Ratios'!$B$2:$I$8,7,FALSE)),0)</f>
        <v>0</v>
      </c>
      <c r="Z601" s="60">
        <f>IF($K601&lt;&gt;"N/A",$M601*(VLOOKUP($L601,'GPU Specs &amp; Ratios'!$B$2:$I$8,8,FALSE)),0)</f>
        <v>0</v>
      </c>
      <c r="AA601" s="60">
        <f>(C601/D601)*VLOOKUP($E601,'AWS Platforms Ratios'!$A$2:$O$25,15,FALSE)</f>
        <v>25.77777778</v>
      </c>
      <c r="AB601" s="60">
        <f t="shared" ref="AB601:AE601" si="601">O601+S601+W601+$AA601</f>
        <v>90.12444444</v>
      </c>
      <c r="AC601" s="60">
        <f t="shared" si="601"/>
        <v>143.36</v>
      </c>
      <c r="AD601" s="60">
        <f t="shared" si="601"/>
        <v>214.6622222</v>
      </c>
      <c r="AE601" s="60">
        <f t="shared" si="601"/>
        <v>297.1255556</v>
      </c>
      <c r="AF601" s="60">
        <f>IF(G601&gt;'Scope 3 Ratios'!$B$5,(G601-'Scope 3 Ratios'!$B$5)*('Scope 3 Ratios'!$B$6/'Scope 3 Ratios'!$B$5),0)</f>
        <v>654.6168</v>
      </c>
      <c r="AG601" s="60">
        <f>J601*IF(I601="SSD",'Scope 3 Ratios'!$B$9,'Scope 3 Ratios'!$B$8)</f>
        <v>0</v>
      </c>
      <c r="AH601" s="60">
        <f>IF(K601&lt;&gt;"N/A",K601*'Scope 3 Ratios'!$B$10,0)</f>
        <v>0</v>
      </c>
      <c r="AI601" s="60">
        <f>(VLOOKUP($E601,'AWS Platforms Ratios'!$A$2:$O$25,3,FALSE)-1)*'Scope 3 Ratios'!$B$7</f>
        <v>100</v>
      </c>
      <c r="AJ601" s="60">
        <f>'Scope 3 Ratios'!$B$2+AF601+AG601+AH601+AI601</f>
        <v>1754.6168</v>
      </c>
      <c r="AK601" s="60">
        <f>AJ601*'Scope 3 Ratios'!$B$4*(C601/D601)</f>
        <v>22.56451646</v>
      </c>
      <c r="AL601" s="61" t="s">
        <v>549</v>
      </c>
    </row>
    <row r="602" ht="15.0" customHeight="1">
      <c r="A602" s="56" t="s">
        <v>928</v>
      </c>
      <c r="B602" s="56" t="s">
        <v>119</v>
      </c>
      <c r="C602" s="56">
        <v>64.0</v>
      </c>
      <c r="D602" s="56">
        <f>VLOOKUP(E602,'AWS Platforms Ratios'!$A$2:$B$25,2,FALSE)</f>
        <v>72</v>
      </c>
      <c r="E602" s="57" t="s">
        <v>269</v>
      </c>
      <c r="F602" s="56">
        <v>488.0</v>
      </c>
      <c r="G602" s="56">
        <v>488.0</v>
      </c>
      <c r="H602" s="57" t="s">
        <v>71</v>
      </c>
      <c r="I602" s="56" t="s">
        <v>72</v>
      </c>
      <c r="J602" s="56">
        <v>0.0</v>
      </c>
      <c r="K602" s="58" t="s">
        <v>73</v>
      </c>
      <c r="L602" s="58" t="s">
        <v>73</v>
      </c>
      <c r="M602" s="58" t="s">
        <v>73</v>
      </c>
      <c r="N602" s="58" t="s">
        <v>73</v>
      </c>
      <c r="O602" s="59">
        <f>($C602/$D602)*VLOOKUP($E602,'AWS Platforms Ratios'!$A$2:$O$25,7,FALSE)</f>
        <v>31.09333333</v>
      </c>
      <c r="P602" s="59">
        <f>($C602/$D602)*VLOOKUP($E602,'AWS Platforms Ratios'!$A$2:$O$25,8,FALSE)</f>
        <v>88.76444444</v>
      </c>
      <c r="Q602" s="59">
        <f>($C602/$D602)*VLOOKUP($E602,'AWS Platforms Ratios'!$A$2:$O$25,9,FALSE)</f>
        <v>182.5688889</v>
      </c>
      <c r="R602" s="59">
        <f>($C602/$D602)*VLOOKUP($E602,'AWS Platforms Ratios'!$A$2:$O$25,10,FALSE)</f>
        <v>249.8955556</v>
      </c>
      <c r="S602" s="59">
        <f>$F602*VLOOKUP($E602,'AWS Platforms Ratios'!$A$2:$O$25,11,FALSE)</f>
        <v>97.6</v>
      </c>
      <c r="T602" s="59">
        <f>$F602*VLOOKUP($E602,'AWS Platforms Ratios'!$A$2:$O$25,12,FALSE)</f>
        <v>146.4</v>
      </c>
      <c r="U602" s="59">
        <f>$F602*VLOOKUP($E602,'AWS Platforms Ratios'!$A$2:$O$25,13,FALSE)</f>
        <v>195.2</v>
      </c>
      <c r="V602" s="59">
        <f>$F602*VLOOKUP($E602,'AWS Platforms Ratios'!$A$2:$O$25,14,FALSE)</f>
        <v>292.8</v>
      </c>
      <c r="W602" s="60">
        <f>IF($K602&lt;&gt;"N/A",$M602*(VLOOKUP($L602,'GPU Specs &amp; Ratios'!$B$2:$I$8,5,FALSE)),0)</f>
        <v>0</v>
      </c>
      <c r="X602" s="60">
        <f>IF($K602&lt;&gt;"N/A",$M602*(VLOOKUP($L602,'GPU Specs &amp; Ratios'!$B$2:$I$8,6,FALSE)),0)</f>
        <v>0</v>
      </c>
      <c r="Y602" s="60">
        <f>IF($K602&lt;&gt;"N/A",$M602*(VLOOKUP($L602,'GPU Specs &amp; Ratios'!$B$2:$I$8,7,FALSE)),0)</f>
        <v>0</v>
      </c>
      <c r="Z602" s="60">
        <f>IF($K602&lt;&gt;"N/A",$M602*(VLOOKUP($L602,'GPU Specs &amp; Ratios'!$B$2:$I$8,8,FALSE)),0)</f>
        <v>0</v>
      </c>
      <c r="AA602" s="60">
        <f>(C602/D602)*VLOOKUP($E602,'AWS Platforms Ratios'!$A$2:$O$25,15,FALSE)</f>
        <v>51.55555556</v>
      </c>
      <c r="AB602" s="60">
        <f t="shared" ref="AB602:AE602" si="602">O602+S602+W602+$AA602</f>
        <v>180.2488889</v>
      </c>
      <c r="AC602" s="60">
        <f t="shared" si="602"/>
        <v>286.72</v>
      </c>
      <c r="AD602" s="60">
        <f t="shared" si="602"/>
        <v>429.3244444</v>
      </c>
      <c r="AE602" s="60">
        <f t="shared" si="602"/>
        <v>594.2511111</v>
      </c>
      <c r="AF602" s="60">
        <f>IF(G602&gt;'Scope 3 Ratios'!$B$5,(G602-'Scope 3 Ratios'!$B$5)*('Scope 3 Ratios'!$B$6/'Scope 3 Ratios'!$B$5),0)</f>
        <v>654.6168</v>
      </c>
      <c r="AG602" s="60">
        <f>J602*IF(I602="SSD",'Scope 3 Ratios'!$B$9,'Scope 3 Ratios'!$B$8)</f>
        <v>0</v>
      </c>
      <c r="AH602" s="60">
        <f>IF(K602&lt;&gt;"N/A",K602*'Scope 3 Ratios'!$B$10,0)</f>
        <v>0</v>
      </c>
      <c r="AI602" s="60">
        <f>(VLOOKUP($E602,'AWS Platforms Ratios'!$A$2:$O$25,3,FALSE)-1)*'Scope 3 Ratios'!$B$7</f>
        <v>100</v>
      </c>
      <c r="AJ602" s="60">
        <f>'Scope 3 Ratios'!$B$2+AF602+AG602+AH602+AI602</f>
        <v>1754.6168</v>
      </c>
      <c r="AK602" s="60">
        <f>AJ602*'Scope 3 Ratios'!$B$4*(C602/D602)</f>
        <v>45.12903292</v>
      </c>
      <c r="AL602" s="61" t="s">
        <v>549</v>
      </c>
    </row>
    <row r="603" ht="15.0" customHeight="1">
      <c r="A603" s="56" t="s">
        <v>929</v>
      </c>
      <c r="B603" s="56" t="s">
        <v>540</v>
      </c>
      <c r="C603" s="56">
        <v>2.0</v>
      </c>
      <c r="D603" s="56">
        <f>VLOOKUP(E603,'AWS Platforms Ratios'!$A$2:$B$25,2,FALSE)</f>
        <v>40</v>
      </c>
      <c r="E603" s="57" t="s">
        <v>259</v>
      </c>
      <c r="F603" s="56">
        <v>15.25</v>
      </c>
      <c r="G603" s="56">
        <v>244.0</v>
      </c>
      <c r="H603" s="57" t="s">
        <v>71</v>
      </c>
      <c r="I603" s="56" t="s">
        <v>72</v>
      </c>
      <c r="J603" s="56">
        <v>0.0</v>
      </c>
      <c r="K603" s="58" t="s">
        <v>73</v>
      </c>
      <c r="L603" s="58" t="s">
        <v>73</v>
      </c>
      <c r="M603" s="58" t="s">
        <v>73</v>
      </c>
      <c r="N603" s="58" t="s">
        <v>73</v>
      </c>
      <c r="O603" s="59">
        <f>($C603/$D603)*VLOOKUP($E603,'AWS Platforms Ratios'!$A$2:$O$25,7,FALSE)</f>
        <v>1.387137931</v>
      </c>
      <c r="P603" s="59">
        <f>($C603/$D603)*VLOOKUP($E603,'AWS Platforms Ratios'!$A$2:$O$25,8,FALSE)</f>
        <v>3.959965517</v>
      </c>
      <c r="Q603" s="59">
        <f>($C603/$D603)*VLOOKUP($E603,'AWS Platforms Ratios'!$A$2:$O$25,9,FALSE)</f>
        <v>8.144775862</v>
      </c>
      <c r="R603" s="59">
        <f>($C603/$D603)*VLOOKUP($E603,'AWS Platforms Ratios'!$A$2:$O$25,10,FALSE)</f>
        <v>11.14835776</v>
      </c>
      <c r="S603" s="59">
        <f>$F603*VLOOKUP($E603,'AWS Platforms Ratios'!$A$2:$O$25,11,FALSE)</f>
        <v>3.05</v>
      </c>
      <c r="T603" s="59">
        <f>$F603*VLOOKUP($E603,'AWS Platforms Ratios'!$A$2:$O$25,12,FALSE)</f>
        <v>4.575</v>
      </c>
      <c r="U603" s="59">
        <f>$F603*VLOOKUP($E603,'AWS Platforms Ratios'!$A$2:$O$25,13,FALSE)</f>
        <v>6.1</v>
      </c>
      <c r="V603" s="59">
        <f>$F603*VLOOKUP($E603,'AWS Platforms Ratios'!$A$2:$O$25,14,FALSE)</f>
        <v>9.15</v>
      </c>
      <c r="W603" s="60">
        <f>IF($K603&lt;&gt;"N/A",$M603*(VLOOKUP($L603,'GPU Specs &amp; Ratios'!$B$2:$I$8,5,FALSE)),0)</f>
        <v>0</v>
      </c>
      <c r="X603" s="60">
        <f>IF($K603&lt;&gt;"N/A",$M603*(VLOOKUP($L603,'GPU Specs &amp; Ratios'!$B$2:$I$8,6,FALSE)),0)</f>
        <v>0</v>
      </c>
      <c r="Y603" s="60">
        <f>IF($K603&lt;&gt;"N/A",$M603*(VLOOKUP($L603,'GPU Specs &amp; Ratios'!$B$2:$I$8,7,FALSE)),0)</f>
        <v>0</v>
      </c>
      <c r="Z603" s="60">
        <f>IF($K603&lt;&gt;"N/A",$M603*(VLOOKUP($L603,'GPU Specs &amp; Ratios'!$B$2:$I$8,8,FALSE)),0)</f>
        <v>0</v>
      </c>
      <c r="AA603" s="60">
        <f>(C603/D603)*VLOOKUP($E603,'AWS Platforms Ratios'!$A$2:$O$25,15,FALSE)</f>
        <v>2.3</v>
      </c>
      <c r="AB603" s="60">
        <f t="shared" ref="AB603:AE603" si="603">O603+S603+W603+$AA603</f>
        <v>6.737137931</v>
      </c>
      <c r="AC603" s="60">
        <f t="shared" si="603"/>
        <v>10.83496552</v>
      </c>
      <c r="AD603" s="60">
        <f t="shared" si="603"/>
        <v>16.54477586</v>
      </c>
      <c r="AE603" s="60">
        <f t="shared" si="603"/>
        <v>22.59835776</v>
      </c>
      <c r="AF603" s="60">
        <f>IF(G603&gt;'Scope 3 Ratios'!$B$5,(G603-'Scope 3 Ratios'!$B$5)*('Scope 3 Ratios'!$B$6/'Scope 3 Ratios'!$B$5),0)</f>
        <v>316.2132</v>
      </c>
      <c r="AG603" s="60">
        <f>J603*IF(I603="SSD",'Scope 3 Ratios'!$B$9,'Scope 3 Ratios'!$B$8)</f>
        <v>0</v>
      </c>
      <c r="AH603" s="60">
        <f>IF(K603&lt;&gt;"N/A",K603*'Scope 3 Ratios'!$B$10,0)</f>
        <v>0</v>
      </c>
      <c r="AI603" s="60">
        <f>(VLOOKUP($E603,'AWS Platforms Ratios'!$A$2:$O$25,3,FALSE)-1)*'Scope 3 Ratios'!$B$7</f>
        <v>100</v>
      </c>
      <c r="AJ603" s="60">
        <f>'Scope 3 Ratios'!$B$2+AF603+AG603+AH603+AI603</f>
        <v>1416.2132</v>
      </c>
      <c r="AK603" s="60">
        <f>AJ603*'Scope 3 Ratios'!$B$4*(C603/D603)</f>
        <v>2.04891956</v>
      </c>
      <c r="AL603" s="61" t="s">
        <v>541</v>
      </c>
    </row>
    <row r="604" ht="15.0" customHeight="1">
      <c r="A604" s="56" t="s">
        <v>930</v>
      </c>
      <c r="B604" s="56" t="s">
        <v>540</v>
      </c>
      <c r="C604" s="56">
        <v>4.0</v>
      </c>
      <c r="D604" s="56">
        <f>VLOOKUP(E604,'AWS Platforms Ratios'!$A$2:$B$25,2,FALSE)</f>
        <v>40</v>
      </c>
      <c r="E604" s="57" t="s">
        <v>259</v>
      </c>
      <c r="F604" s="56">
        <v>30.5</v>
      </c>
      <c r="G604" s="56">
        <v>244.0</v>
      </c>
      <c r="H604" s="57" t="s">
        <v>71</v>
      </c>
      <c r="I604" s="56" t="s">
        <v>72</v>
      </c>
      <c r="J604" s="56">
        <v>0.0</v>
      </c>
      <c r="K604" s="58" t="s">
        <v>73</v>
      </c>
      <c r="L604" s="58" t="s">
        <v>73</v>
      </c>
      <c r="M604" s="58" t="s">
        <v>73</v>
      </c>
      <c r="N604" s="58" t="s">
        <v>73</v>
      </c>
      <c r="O604" s="59">
        <f>($C604/$D604)*VLOOKUP($E604,'AWS Platforms Ratios'!$A$2:$O$25,7,FALSE)</f>
        <v>2.774275862</v>
      </c>
      <c r="P604" s="59">
        <f>($C604/$D604)*VLOOKUP($E604,'AWS Platforms Ratios'!$A$2:$O$25,8,FALSE)</f>
        <v>7.919931034</v>
      </c>
      <c r="Q604" s="59">
        <f>($C604/$D604)*VLOOKUP($E604,'AWS Platforms Ratios'!$A$2:$O$25,9,FALSE)</f>
        <v>16.28955172</v>
      </c>
      <c r="R604" s="59">
        <f>($C604/$D604)*VLOOKUP($E604,'AWS Platforms Ratios'!$A$2:$O$25,10,FALSE)</f>
        <v>22.29671552</v>
      </c>
      <c r="S604" s="59">
        <f>$F604*VLOOKUP($E604,'AWS Platforms Ratios'!$A$2:$O$25,11,FALSE)</f>
        <v>6.1</v>
      </c>
      <c r="T604" s="59">
        <f>$F604*VLOOKUP($E604,'AWS Platforms Ratios'!$A$2:$O$25,12,FALSE)</f>
        <v>9.15</v>
      </c>
      <c r="U604" s="59">
        <f>$F604*VLOOKUP($E604,'AWS Platforms Ratios'!$A$2:$O$25,13,FALSE)</f>
        <v>12.2</v>
      </c>
      <c r="V604" s="59">
        <f>$F604*VLOOKUP($E604,'AWS Platforms Ratios'!$A$2:$O$25,14,FALSE)</f>
        <v>18.3</v>
      </c>
      <c r="W604" s="60">
        <f>IF($K604&lt;&gt;"N/A",$M604*(VLOOKUP($L604,'GPU Specs &amp; Ratios'!$B$2:$I$8,5,FALSE)),0)</f>
        <v>0</v>
      </c>
      <c r="X604" s="60">
        <f>IF($K604&lt;&gt;"N/A",$M604*(VLOOKUP($L604,'GPU Specs &amp; Ratios'!$B$2:$I$8,6,FALSE)),0)</f>
        <v>0</v>
      </c>
      <c r="Y604" s="60">
        <f>IF($K604&lt;&gt;"N/A",$M604*(VLOOKUP($L604,'GPU Specs &amp; Ratios'!$B$2:$I$8,7,FALSE)),0)</f>
        <v>0</v>
      </c>
      <c r="Z604" s="60">
        <f>IF($K604&lt;&gt;"N/A",$M604*(VLOOKUP($L604,'GPU Specs &amp; Ratios'!$B$2:$I$8,8,FALSE)),0)</f>
        <v>0</v>
      </c>
      <c r="AA604" s="60">
        <f>(C604/D604)*VLOOKUP($E604,'AWS Platforms Ratios'!$A$2:$O$25,15,FALSE)</f>
        <v>4.6</v>
      </c>
      <c r="AB604" s="60">
        <f t="shared" ref="AB604:AE604" si="604">O604+S604+W604+$AA604</f>
        <v>13.47427586</v>
      </c>
      <c r="AC604" s="60">
        <f t="shared" si="604"/>
        <v>21.66993103</v>
      </c>
      <c r="AD604" s="60">
        <f t="shared" si="604"/>
        <v>33.08955172</v>
      </c>
      <c r="AE604" s="60">
        <f t="shared" si="604"/>
        <v>45.19671552</v>
      </c>
      <c r="AF604" s="60">
        <f>IF(G604&gt;'Scope 3 Ratios'!$B$5,(G604-'Scope 3 Ratios'!$B$5)*('Scope 3 Ratios'!$B$6/'Scope 3 Ratios'!$B$5),0)</f>
        <v>316.2132</v>
      </c>
      <c r="AG604" s="60">
        <f>J604*IF(I604="SSD",'Scope 3 Ratios'!$B$9,'Scope 3 Ratios'!$B$8)</f>
        <v>0</v>
      </c>
      <c r="AH604" s="60">
        <f>IF(K604&lt;&gt;"N/A",K604*'Scope 3 Ratios'!$B$10,0)</f>
        <v>0</v>
      </c>
      <c r="AI604" s="60">
        <f>(VLOOKUP($E604,'AWS Platforms Ratios'!$A$2:$O$25,3,FALSE)-1)*'Scope 3 Ratios'!$B$7</f>
        <v>100</v>
      </c>
      <c r="AJ604" s="60">
        <f>'Scope 3 Ratios'!$B$2+AF604+AG604+AH604+AI604</f>
        <v>1416.2132</v>
      </c>
      <c r="AK604" s="60">
        <f>AJ604*'Scope 3 Ratios'!$B$4*(C604/D604)</f>
        <v>4.09783912</v>
      </c>
      <c r="AL604" s="61" t="s">
        <v>541</v>
      </c>
    </row>
    <row r="605" ht="15.0" customHeight="1">
      <c r="A605" s="56" t="s">
        <v>931</v>
      </c>
      <c r="B605" s="56" t="s">
        <v>540</v>
      </c>
      <c r="C605" s="56">
        <v>8.0</v>
      </c>
      <c r="D605" s="56">
        <f>VLOOKUP(E605,'AWS Platforms Ratios'!$A$2:$B$25,2,FALSE)</f>
        <v>40</v>
      </c>
      <c r="E605" s="57" t="s">
        <v>259</v>
      </c>
      <c r="F605" s="56">
        <v>61.0</v>
      </c>
      <c r="G605" s="56">
        <v>244.0</v>
      </c>
      <c r="H605" s="57" t="s">
        <v>71</v>
      </c>
      <c r="I605" s="56" t="s">
        <v>72</v>
      </c>
      <c r="J605" s="56">
        <v>0.0</v>
      </c>
      <c r="K605" s="58" t="s">
        <v>73</v>
      </c>
      <c r="L605" s="58" t="s">
        <v>73</v>
      </c>
      <c r="M605" s="58" t="s">
        <v>73</v>
      </c>
      <c r="N605" s="58" t="s">
        <v>73</v>
      </c>
      <c r="O605" s="59">
        <f>($C605/$D605)*VLOOKUP($E605,'AWS Platforms Ratios'!$A$2:$O$25,7,FALSE)</f>
        <v>5.548551724</v>
      </c>
      <c r="P605" s="59">
        <f>($C605/$D605)*VLOOKUP($E605,'AWS Platforms Ratios'!$A$2:$O$25,8,FALSE)</f>
        <v>15.83986207</v>
      </c>
      <c r="Q605" s="59">
        <f>($C605/$D605)*VLOOKUP($E605,'AWS Platforms Ratios'!$A$2:$O$25,9,FALSE)</f>
        <v>32.57910345</v>
      </c>
      <c r="R605" s="59">
        <f>($C605/$D605)*VLOOKUP($E605,'AWS Platforms Ratios'!$A$2:$O$25,10,FALSE)</f>
        <v>44.59343103</v>
      </c>
      <c r="S605" s="59">
        <f>$F605*VLOOKUP($E605,'AWS Platforms Ratios'!$A$2:$O$25,11,FALSE)</f>
        <v>12.2</v>
      </c>
      <c r="T605" s="59">
        <f>$F605*VLOOKUP($E605,'AWS Platforms Ratios'!$A$2:$O$25,12,FALSE)</f>
        <v>18.3</v>
      </c>
      <c r="U605" s="59">
        <f>$F605*VLOOKUP($E605,'AWS Platforms Ratios'!$A$2:$O$25,13,FALSE)</f>
        <v>24.4</v>
      </c>
      <c r="V605" s="59">
        <f>$F605*VLOOKUP($E605,'AWS Platforms Ratios'!$A$2:$O$25,14,FALSE)</f>
        <v>36.6</v>
      </c>
      <c r="W605" s="60">
        <f>IF($K605&lt;&gt;"N/A",$M605*(VLOOKUP($L605,'GPU Specs &amp; Ratios'!$B$2:$I$8,5,FALSE)),0)</f>
        <v>0</v>
      </c>
      <c r="X605" s="60">
        <f>IF($K605&lt;&gt;"N/A",$M605*(VLOOKUP($L605,'GPU Specs &amp; Ratios'!$B$2:$I$8,6,FALSE)),0)</f>
        <v>0</v>
      </c>
      <c r="Y605" s="60">
        <f>IF($K605&lt;&gt;"N/A",$M605*(VLOOKUP($L605,'GPU Specs &amp; Ratios'!$B$2:$I$8,7,FALSE)),0)</f>
        <v>0</v>
      </c>
      <c r="Z605" s="60">
        <f>IF($K605&lt;&gt;"N/A",$M605*(VLOOKUP($L605,'GPU Specs &amp; Ratios'!$B$2:$I$8,8,FALSE)),0)</f>
        <v>0</v>
      </c>
      <c r="AA605" s="60">
        <f>(C605/D605)*VLOOKUP($E605,'AWS Platforms Ratios'!$A$2:$O$25,15,FALSE)</f>
        <v>9.2</v>
      </c>
      <c r="AB605" s="60">
        <f t="shared" ref="AB605:AE605" si="605">O605+S605+W605+$AA605</f>
        <v>26.94855172</v>
      </c>
      <c r="AC605" s="60">
        <f t="shared" si="605"/>
        <v>43.33986207</v>
      </c>
      <c r="AD605" s="60">
        <f t="shared" si="605"/>
        <v>66.17910345</v>
      </c>
      <c r="AE605" s="60">
        <f t="shared" si="605"/>
        <v>90.39343103</v>
      </c>
      <c r="AF605" s="60">
        <f>IF(G605&gt;'Scope 3 Ratios'!$B$5,(G605-'Scope 3 Ratios'!$B$5)*('Scope 3 Ratios'!$B$6/'Scope 3 Ratios'!$B$5),0)</f>
        <v>316.2132</v>
      </c>
      <c r="AG605" s="60">
        <f>J605*IF(I605="SSD",'Scope 3 Ratios'!$B$9,'Scope 3 Ratios'!$B$8)</f>
        <v>0</v>
      </c>
      <c r="AH605" s="60">
        <f>IF(K605&lt;&gt;"N/A",K605*'Scope 3 Ratios'!$B$10,0)</f>
        <v>0</v>
      </c>
      <c r="AI605" s="60">
        <f>(VLOOKUP($E605,'AWS Platforms Ratios'!$A$2:$O$25,3,FALSE)-1)*'Scope 3 Ratios'!$B$7</f>
        <v>100</v>
      </c>
      <c r="AJ605" s="60">
        <f>'Scope 3 Ratios'!$B$2+AF605+AG605+AH605+AI605</f>
        <v>1416.2132</v>
      </c>
      <c r="AK605" s="60">
        <f>AJ605*'Scope 3 Ratios'!$B$4*(C605/D605)</f>
        <v>8.195678241</v>
      </c>
      <c r="AL605" s="61" t="s">
        <v>541</v>
      </c>
    </row>
    <row r="606" ht="15.0" customHeight="1">
      <c r="A606" s="56" t="s">
        <v>932</v>
      </c>
      <c r="B606" s="56" t="s">
        <v>540</v>
      </c>
      <c r="C606" s="56">
        <v>16.0</v>
      </c>
      <c r="D606" s="56">
        <f>VLOOKUP(E606,'AWS Platforms Ratios'!$A$2:$B$25,2,FALSE)</f>
        <v>40</v>
      </c>
      <c r="E606" s="57" t="s">
        <v>259</v>
      </c>
      <c r="F606" s="56">
        <v>122.0</v>
      </c>
      <c r="G606" s="56">
        <v>244.0</v>
      </c>
      <c r="H606" s="57" t="s">
        <v>71</v>
      </c>
      <c r="I606" s="56" t="s">
        <v>72</v>
      </c>
      <c r="J606" s="56">
        <v>0.0</v>
      </c>
      <c r="K606" s="58" t="s">
        <v>73</v>
      </c>
      <c r="L606" s="58" t="s">
        <v>73</v>
      </c>
      <c r="M606" s="58" t="s">
        <v>73</v>
      </c>
      <c r="N606" s="58" t="s">
        <v>73</v>
      </c>
      <c r="O606" s="59">
        <f>($C606/$D606)*VLOOKUP($E606,'AWS Platforms Ratios'!$A$2:$O$25,7,FALSE)</f>
        <v>11.09710345</v>
      </c>
      <c r="P606" s="59">
        <f>($C606/$D606)*VLOOKUP($E606,'AWS Platforms Ratios'!$A$2:$O$25,8,FALSE)</f>
        <v>31.67972414</v>
      </c>
      <c r="Q606" s="59">
        <f>($C606/$D606)*VLOOKUP($E606,'AWS Platforms Ratios'!$A$2:$O$25,9,FALSE)</f>
        <v>65.1582069</v>
      </c>
      <c r="R606" s="59">
        <f>($C606/$D606)*VLOOKUP($E606,'AWS Platforms Ratios'!$A$2:$O$25,10,FALSE)</f>
        <v>89.18686207</v>
      </c>
      <c r="S606" s="59">
        <f>$F606*VLOOKUP($E606,'AWS Platforms Ratios'!$A$2:$O$25,11,FALSE)</f>
        <v>24.4</v>
      </c>
      <c r="T606" s="59">
        <f>$F606*VLOOKUP($E606,'AWS Platforms Ratios'!$A$2:$O$25,12,FALSE)</f>
        <v>36.6</v>
      </c>
      <c r="U606" s="59">
        <f>$F606*VLOOKUP($E606,'AWS Platforms Ratios'!$A$2:$O$25,13,FALSE)</f>
        <v>48.8</v>
      </c>
      <c r="V606" s="59">
        <f>$F606*VLOOKUP($E606,'AWS Platforms Ratios'!$A$2:$O$25,14,FALSE)</f>
        <v>73.2</v>
      </c>
      <c r="W606" s="60">
        <f>IF($K606&lt;&gt;"N/A",$M606*(VLOOKUP($L606,'GPU Specs &amp; Ratios'!$B$2:$I$8,5,FALSE)),0)</f>
        <v>0</v>
      </c>
      <c r="X606" s="60">
        <f>IF($K606&lt;&gt;"N/A",$M606*(VLOOKUP($L606,'GPU Specs &amp; Ratios'!$B$2:$I$8,6,FALSE)),0)</f>
        <v>0</v>
      </c>
      <c r="Y606" s="60">
        <f>IF($K606&lt;&gt;"N/A",$M606*(VLOOKUP($L606,'GPU Specs &amp; Ratios'!$B$2:$I$8,7,FALSE)),0)</f>
        <v>0</v>
      </c>
      <c r="Z606" s="60">
        <f>IF($K606&lt;&gt;"N/A",$M606*(VLOOKUP($L606,'GPU Specs &amp; Ratios'!$B$2:$I$8,8,FALSE)),0)</f>
        <v>0</v>
      </c>
      <c r="AA606" s="60">
        <f>(C606/D606)*VLOOKUP($E606,'AWS Platforms Ratios'!$A$2:$O$25,15,FALSE)</f>
        <v>18.4</v>
      </c>
      <c r="AB606" s="60">
        <f t="shared" ref="AB606:AE606" si="606">O606+S606+W606+$AA606</f>
        <v>53.89710345</v>
      </c>
      <c r="AC606" s="60">
        <f t="shared" si="606"/>
        <v>86.67972414</v>
      </c>
      <c r="AD606" s="60">
        <f t="shared" si="606"/>
        <v>132.3582069</v>
      </c>
      <c r="AE606" s="60">
        <f t="shared" si="606"/>
        <v>180.7868621</v>
      </c>
      <c r="AF606" s="60">
        <f>IF(G606&gt;'Scope 3 Ratios'!$B$5,(G606-'Scope 3 Ratios'!$B$5)*('Scope 3 Ratios'!$B$6/'Scope 3 Ratios'!$B$5),0)</f>
        <v>316.2132</v>
      </c>
      <c r="AG606" s="60">
        <f>J606*IF(I606="SSD",'Scope 3 Ratios'!$B$9,'Scope 3 Ratios'!$B$8)</f>
        <v>0</v>
      </c>
      <c r="AH606" s="60">
        <f>IF(K606&lt;&gt;"N/A",K606*'Scope 3 Ratios'!$B$10,0)</f>
        <v>0</v>
      </c>
      <c r="AI606" s="60">
        <f>(VLOOKUP($E606,'AWS Platforms Ratios'!$A$2:$O$25,3,FALSE)-1)*'Scope 3 Ratios'!$B$7</f>
        <v>100</v>
      </c>
      <c r="AJ606" s="60">
        <f>'Scope 3 Ratios'!$B$2+AF606+AG606+AH606+AI606</f>
        <v>1416.2132</v>
      </c>
      <c r="AK606" s="60">
        <f>AJ606*'Scope 3 Ratios'!$B$4*(C606/D606)</f>
        <v>16.39135648</v>
      </c>
      <c r="AL606" s="61" t="s">
        <v>541</v>
      </c>
    </row>
    <row r="607" ht="15.0" customHeight="1">
      <c r="A607" s="56" t="s">
        <v>933</v>
      </c>
      <c r="B607" s="56" t="s">
        <v>540</v>
      </c>
      <c r="C607" s="56">
        <v>32.0</v>
      </c>
      <c r="D607" s="56">
        <f>VLOOKUP(E607,'AWS Platforms Ratios'!$A$2:$B$25,2,FALSE)</f>
        <v>40</v>
      </c>
      <c r="E607" s="57" t="s">
        <v>259</v>
      </c>
      <c r="F607" s="56">
        <v>244.0</v>
      </c>
      <c r="G607" s="56">
        <v>244.0</v>
      </c>
      <c r="H607" s="57" t="s">
        <v>71</v>
      </c>
      <c r="I607" s="56" t="s">
        <v>72</v>
      </c>
      <c r="J607" s="56">
        <v>0.0</v>
      </c>
      <c r="K607" s="58" t="s">
        <v>73</v>
      </c>
      <c r="L607" s="58" t="s">
        <v>73</v>
      </c>
      <c r="M607" s="58" t="s">
        <v>73</v>
      </c>
      <c r="N607" s="58" t="s">
        <v>73</v>
      </c>
      <c r="O607" s="59">
        <f>($C607/$D607)*VLOOKUP($E607,'AWS Platforms Ratios'!$A$2:$O$25,7,FALSE)</f>
        <v>22.1942069</v>
      </c>
      <c r="P607" s="59">
        <f>($C607/$D607)*VLOOKUP($E607,'AWS Platforms Ratios'!$A$2:$O$25,8,FALSE)</f>
        <v>63.35944828</v>
      </c>
      <c r="Q607" s="59">
        <f>($C607/$D607)*VLOOKUP($E607,'AWS Platforms Ratios'!$A$2:$O$25,9,FALSE)</f>
        <v>130.3164138</v>
      </c>
      <c r="R607" s="59">
        <f>($C607/$D607)*VLOOKUP($E607,'AWS Platforms Ratios'!$A$2:$O$25,10,FALSE)</f>
        <v>178.3737241</v>
      </c>
      <c r="S607" s="59">
        <f>$F607*VLOOKUP($E607,'AWS Platforms Ratios'!$A$2:$O$25,11,FALSE)</f>
        <v>48.8</v>
      </c>
      <c r="T607" s="59">
        <f>$F607*VLOOKUP($E607,'AWS Platforms Ratios'!$A$2:$O$25,12,FALSE)</f>
        <v>73.2</v>
      </c>
      <c r="U607" s="59">
        <f>$F607*VLOOKUP($E607,'AWS Platforms Ratios'!$A$2:$O$25,13,FALSE)</f>
        <v>97.6</v>
      </c>
      <c r="V607" s="59">
        <f>$F607*VLOOKUP($E607,'AWS Platforms Ratios'!$A$2:$O$25,14,FALSE)</f>
        <v>146.4</v>
      </c>
      <c r="W607" s="60">
        <f>IF($K607&lt;&gt;"N/A",$M607*(VLOOKUP($L607,'GPU Specs &amp; Ratios'!$B$2:$I$8,5,FALSE)),0)</f>
        <v>0</v>
      </c>
      <c r="X607" s="60">
        <f>IF($K607&lt;&gt;"N/A",$M607*(VLOOKUP($L607,'GPU Specs &amp; Ratios'!$B$2:$I$8,6,FALSE)),0)</f>
        <v>0</v>
      </c>
      <c r="Y607" s="60">
        <f>IF($K607&lt;&gt;"N/A",$M607*(VLOOKUP($L607,'GPU Specs &amp; Ratios'!$B$2:$I$8,7,FALSE)),0)</f>
        <v>0</v>
      </c>
      <c r="Z607" s="60">
        <f>IF($K607&lt;&gt;"N/A",$M607*(VLOOKUP($L607,'GPU Specs &amp; Ratios'!$B$2:$I$8,8,FALSE)),0)</f>
        <v>0</v>
      </c>
      <c r="AA607" s="60">
        <f>(C607/D607)*VLOOKUP($E607,'AWS Platforms Ratios'!$A$2:$O$25,15,FALSE)</f>
        <v>36.8</v>
      </c>
      <c r="AB607" s="60">
        <f t="shared" ref="AB607:AE607" si="607">O607+S607+W607+$AA607</f>
        <v>107.7942069</v>
      </c>
      <c r="AC607" s="60">
        <f t="shared" si="607"/>
        <v>173.3594483</v>
      </c>
      <c r="AD607" s="60">
        <f t="shared" si="607"/>
        <v>264.7164138</v>
      </c>
      <c r="AE607" s="60">
        <f t="shared" si="607"/>
        <v>361.5737241</v>
      </c>
      <c r="AF607" s="60">
        <f>IF(G607&gt;'Scope 3 Ratios'!$B$5,(G607-'Scope 3 Ratios'!$B$5)*('Scope 3 Ratios'!$B$6/'Scope 3 Ratios'!$B$5),0)</f>
        <v>316.2132</v>
      </c>
      <c r="AG607" s="60">
        <f>J607*IF(I607="SSD",'Scope 3 Ratios'!$B$9,'Scope 3 Ratios'!$B$8)</f>
        <v>0</v>
      </c>
      <c r="AH607" s="60">
        <f>IF(K607&lt;&gt;"N/A",K607*'Scope 3 Ratios'!$B$10,0)</f>
        <v>0</v>
      </c>
      <c r="AI607" s="60">
        <f>(VLOOKUP($E607,'AWS Platforms Ratios'!$A$2:$O$25,3,FALSE)-1)*'Scope 3 Ratios'!$B$7</f>
        <v>100</v>
      </c>
      <c r="AJ607" s="60">
        <f>'Scope 3 Ratios'!$B$2+AF607+AG607+AH607+AI607</f>
        <v>1416.2132</v>
      </c>
      <c r="AK607" s="60">
        <f>AJ607*'Scope 3 Ratios'!$B$4*(C607/D607)</f>
        <v>32.78271296</v>
      </c>
      <c r="AL607" s="61" t="s">
        <v>541</v>
      </c>
    </row>
    <row r="608" ht="15.0" customHeight="1">
      <c r="A608" s="56" t="s">
        <v>934</v>
      </c>
      <c r="B608" s="56" t="s">
        <v>386</v>
      </c>
      <c r="C608" s="56">
        <v>2.0</v>
      </c>
      <c r="D608" s="56">
        <f>VLOOKUP(E608,'AWS Platforms Ratios'!$A$2:$B$25,2,FALSE)</f>
        <v>32</v>
      </c>
      <c r="E608" s="57" t="s">
        <v>387</v>
      </c>
      <c r="F608" s="56">
        <v>17.1</v>
      </c>
      <c r="G608" s="70">
        <v>280.0</v>
      </c>
      <c r="H608" s="57" t="s">
        <v>71</v>
      </c>
      <c r="I608" s="56" t="s">
        <v>72</v>
      </c>
      <c r="J608" s="56">
        <v>0.0</v>
      </c>
      <c r="K608" s="58" t="s">
        <v>73</v>
      </c>
      <c r="L608" s="58" t="s">
        <v>73</v>
      </c>
      <c r="M608" s="58" t="s">
        <v>73</v>
      </c>
      <c r="N608" s="58" t="s">
        <v>73</v>
      </c>
      <c r="O608" s="59">
        <f>($C608/$D608)*VLOOKUP($E608,'AWS Platforms Ratios'!$A$2:$O$25,7,FALSE)</f>
        <v>1.733922414</v>
      </c>
      <c r="P608" s="59">
        <f>($C608/$D608)*VLOOKUP($E608,'AWS Platforms Ratios'!$A$2:$O$25,8,FALSE)</f>
        <v>4.949956897</v>
      </c>
      <c r="Q608" s="59">
        <f>($C608/$D608)*VLOOKUP($E608,'AWS Platforms Ratios'!$A$2:$O$25,9,FALSE)</f>
        <v>10.18096983</v>
      </c>
      <c r="R608" s="59">
        <f>($C608/$D608)*VLOOKUP($E608,'AWS Platforms Ratios'!$A$2:$O$25,10,FALSE)</f>
        <v>13.9354472</v>
      </c>
      <c r="S608" s="59">
        <f>$F608*VLOOKUP($E608,'AWS Platforms Ratios'!$A$2:$O$25,11,FALSE)</f>
        <v>3.42</v>
      </c>
      <c r="T608" s="59">
        <f>$F608*VLOOKUP($E608,'AWS Platforms Ratios'!$A$2:$O$25,12,FALSE)</f>
        <v>5.13</v>
      </c>
      <c r="U608" s="59">
        <f>$F608*VLOOKUP($E608,'AWS Platforms Ratios'!$A$2:$O$25,13,FALSE)</f>
        <v>6.84</v>
      </c>
      <c r="V608" s="59">
        <f>$F608*VLOOKUP($E608,'AWS Platforms Ratios'!$A$2:$O$25,14,FALSE)</f>
        <v>10.26</v>
      </c>
      <c r="W608" s="60">
        <f>IF($K608&lt;&gt;"N/A",$M608*(VLOOKUP($L608,'GPU Specs &amp; Ratios'!$B$2:$I$8,5,FALSE)),0)</f>
        <v>0</v>
      </c>
      <c r="X608" s="60">
        <f>IF($K608&lt;&gt;"N/A",$M608*(VLOOKUP($L608,'GPU Specs &amp; Ratios'!$B$2:$I$8,6,FALSE)),0)</f>
        <v>0</v>
      </c>
      <c r="Y608" s="60">
        <f>IF($K608&lt;&gt;"N/A",$M608*(VLOOKUP($L608,'GPU Specs &amp; Ratios'!$B$2:$I$8,7,FALSE)),0)</f>
        <v>0</v>
      </c>
      <c r="Z608" s="60">
        <f>IF($K608&lt;&gt;"N/A",$M608*(VLOOKUP($L608,'GPU Specs &amp; Ratios'!$B$2:$I$8,8,FALSE)),0)</f>
        <v>0</v>
      </c>
      <c r="AA608" s="60">
        <f>(C608/D608)*VLOOKUP($E608,'AWS Platforms Ratios'!$A$2:$O$25,15,FALSE)</f>
        <v>2.875</v>
      </c>
      <c r="AB608" s="60">
        <f t="shared" ref="AB608:AE608" si="608">O608+S608+W608+$AA608</f>
        <v>8.028922414</v>
      </c>
      <c r="AC608" s="60">
        <f t="shared" si="608"/>
        <v>12.9549569</v>
      </c>
      <c r="AD608" s="60">
        <f t="shared" si="608"/>
        <v>19.89596983</v>
      </c>
      <c r="AE608" s="60">
        <f t="shared" si="608"/>
        <v>27.0704472</v>
      </c>
      <c r="AF608" s="60">
        <f>IF(G608&gt;'Scope 3 Ratios'!$B$5,(G608-'Scope 3 Ratios'!$B$5)*('Scope 3 Ratios'!$B$6/'Scope 3 Ratios'!$B$5),0)</f>
        <v>366.1416</v>
      </c>
      <c r="AG608" s="60">
        <f>J608*IF(I608="SSD",'Scope 3 Ratios'!$B$9,'Scope 3 Ratios'!$B$8)</f>
        <v>0</v>
      </c>
      <c r="AH608" s="60">
        <f>IF(K608&lt;&gt;"N/A",K608*'Scope 3 Ratios'!$B$10,0)</f>
        <v>0</v>
      </c>
      <c r="AI608" s="60">
        <f>(VLOOKUP($E608,'AWS Platforms Ratios'!$A$2:$O$25,3,FALSE)-1)*'Scope 3 Ratios'!$B$7</f>
        <v>100</v>
      </c>
      <c r="AJ608" s="60">
        <f>'Scope 3 Ratios'!$B$2+AF608+AG608+AH608+AI608</f>
        <v>1466.1416</v>
      </c>
      <c r="AK608" s="60">
        <f>AJ608*'Scope 3 Ratios'!$B$4*(C608/D608)</f>
        <v>2.651442419</v>
      </c>
      <c r="AL608" s="61"/>
    </row>
    <row r="609" ht="15.0" customHeight="1">
      <c r="A609" s="56" t="s">
        <v>935</v>
      </c>
      <c r="B609" s="56" t="s">
        <v>390</v>
      </c>
      <c r="C609" s="56">
        <v>4.0</v>
      </c>
      <c r="D609" s="56">
        <f>VLOOKUP(E609,'AWS Platforms Ratios'!$A$2:$B$25,2,FALSE)</f>
        <v>32</v>
      </c>
      <c r="E609" s="57" t="s">
        <v>387</v>
      </c>
      <c r="F609" s="56">
        <v>34.2</v>
      </c>
      <c r="G609" s="70">
        <v>280.0</v>
      </c>
      <c r="H609" s="57" t="s">
        <v>71</v>
      </c>
      <c r="I609" s="56" t="s">
        <v>72</v>
      </c>
      <c r="J609" s="56">
        <v>0.0</v>
      </c>
      <c r="K609" s="58" t="s">
        <v>73</v>
      </c>
      <c r="L609" s="58" t="s">
        <v>73</v>
      </c>
      <c r="M609" s="58" t="s">
        <v>73</v>
      </c>
      <c r="N609" s="58" t="s">
        <v>73</v>
      </c>
      <c r="O609" s="59">
        <f>($C609/$D609)*VLOOKUP($E609,'AWS Platforms Ratios'!$A$2:$O$25,7,FALSE)</f>
        <v>3.467844828</v>
      </c>
      <c r="P609" s="59">
        <f>($C609/$D609)*VLOOKUP($E609,'AWS Platforms Ratios'!$A$2:$O$25,8,FALSE)</f>
        <v>9.899913793</v>
      </c>
      <c r="Q609" s="59">
        <f>($C609/$D609)*VLOOKUP($E609,'AWS Platforms Ratios'!$A$2:$O$25,9,FALSE)</f>
        <v>20.36193966</v>
      </c>
      <c r="R609" s="59">
        <f>($C609/$D609)*VLOOKUP($E609,'AWS Platforms Ratios'!$A$2:$O$25,10,FALSE)</f>
        <v>27.8708944</v>
      </c>
      <c r="S609" s="59">
        <f>$F609*VLOOKUP($E609,'AWS Platforms Ratios'!$A$2:$O$25,11,FALSE)</f>
        <v>6.84</v>
      </c>
      <c r="T609" s="59">
        <f>$F609*VLOOKUP($E609,'AWS Platforms Ratios'!$A$2:$O$25,12,FALSE)</f>
        <v>10.26</v>
      </c>
      <c r="U609" s="59">
        <f>$F609*VLOOKUP($E609,'AWS Platforms Ratios'!$A$2:$O$25,13,FALSE)</f>
        <v>13.68</v>
      </c>
      <c r="V609" s="59">
        <f>$F609*VLOOKUP($E609,'AWS Platforms Ratios'!$A$2:$O$25,14,FALSE)</f>
        <v>20.52</v>
      </c>
      <c r="W609" s="60">
        <f>IF($K609&lt;&gt;"N/A",$M609*(VLOOKUP($L609,'GPU Specs &amp; Ratios'!$B$2:$I$8,5,FALSE)),0)</f>
        <v>0</v>
      </c>
      <c r="X609" s="60">
        <f>IF($K609&lt;&gt;"N/A",$M609*(VLOOKUP($L609,'GPU Specs &amp; Ratios'!$B$2:$I$8,6,FALSE)),0)</f>
        <v>0</v>
      </c>
      <c r="Y609" s="60">
        <f>IF($K609&lt;&gt;"N/A",$M609*(VLOOKUP($L609,'GPU Specs &amp; Ratios'!$B$2:$I$8,7,FALSE)),0)</f>
        <v>0</v>
      </c>
      <c r="Z609" s="60">
        <f>IF($K609&lt;&gt;"N/A",$M609*(VLOOKUP($L609,'GPU Specs &amp; Ratios'!$B$2:$I$8,8,FALSE)),0)</f>
        <v>0</v>
      </c>
      <c r="AA609" s="60">
        <f>(C609/D609)*VLOOKUP($E609,'AWS Platforms Ratios'!$A$2:$O$25,15,FALSE)</f>
        <v>5.75</v>
      </c>
      <c r="AB609" s="60">
        <f t="shared" ref="AB609:AE609" si="609">O609+S609+W609+$AA609</f>
        <v>16.05784483</v>
      </c>
      <c r="AC609" s="60">
        <f t="shared" si="609"/>
        <v>25.90991379</v>
      </c>
      <c r="AD609" s="60">
        <f t="shared" si="609"/>
        <v>39.79193966</v>
      </c>
      <c r="AE609" s="60">
        <f t="shared" si="609"/>
        <v>54.1408944</v>
      </c>
      <c r="AF609" s="60">
        <f>IF(G609&gt;'Scope 3 Ratios'!$B$5,(G609-'Scope 3 Ratios'!$B$5)*('Scope 3 Ratios'!$B$6/'Scope 3 Ratios'!$B$5),0)</f>
        <v>366.1416</v>
      </c>
      <c r="AG609" s="60">
        <f>J609*IF(I609="SSD",'Scope 3 Ratios'!$B$9,'Scope 3 Ratios'!$B$8)</f>
        <v>0</v>
      </c>
      <c r="AH609" s="60">
        <f>IF(K609&lt;&gt;"N/A",K609*'Scope 3 Ratios'!$B$10,0)</f>
        <v>0</v>
      </c>
      <c r="AI609" s="60">
        <f>(VLOOKUP($E609,'AWS Platforms Ratios'!$A$2:$O$25,3,FALSE)-1)*'Scope 3 Ratios'!$B$7</f>
        <v>100</v>
      </c>
      <c r="AJ609" s="60">
        <f>'Scope 3 Ratios'!$B$2+AF609+AG609+AH609+AI609</f>
        <v>1466.1416</v>
      </c>
      <c r="AK609" s="60">
        <f>AJ609*'Scope 3 Ratios'!$B$4*(C609/D609)</f>
        <v>5.302884838</v>
      </c>
      <c r="AL609" s="61"/>
    </row>
    <row r="610" ht="15.0" customHeight="1">
      <c r="A610" s="56" t="s">
        <v>936</v>
      </c>
      <c r="B610" s="56" t="s">
        <v>390</v>
      </c>
      <c r="C610" s="56">
        <v>8.0</v>
      </c>
      <c r="D610" s="56">
        <f>VLOOKUP(E610,'AWS Platforms Ratios'!$A$2:$B$25,2,FALSE)</f>
        <v>32</v>
      </c>
      <c r="E610" s="57" t="s">
        <v>387</v>
      </c>
      <c r="F610" s="56">
        <v>68.4</v>
      </c>
      <c r="G610" s="70">
        <v>280.0</v>
      </c>
      <c r="H610" s="57" t="s">
        <v>71</v>
      </c>
      <c r="I610" s="56" t="s">
        <v>72</v>
      </c>
      <c r="J610" s="56">
        <v>0.0</v>
      </c>
      <c r="K610" s="58" t="s">
        <v>73</v>
      </c>
      <c r="L610" s="58" t="s">
        <v>73</v>
      </c>
      <c r="M610" s="58" t="s">
        <v>73</v>
      </c>
      <c r="N610" s="58" t="s">
        <v>73</v>
      </c>
      <c r="O610" s="59">
        <f>($C610/$D610)*VLOOKUP($E610,'AWS Platforms Ratios'!$A$2:$O$25,7,FALSE)</f>
        <v>6.935689655</v>
      </c>
      <c r="P610" s="59">
        <f>($C610/$D610)*VLOOKUP($E610,'AWS Platforms Ratios'!$A$2:$O$25,8,FALSE)</f>
        <v>19.79982759</v>
      </c>
      <c r="Q610" s="59">
        <f>($C610/$D610)*VLOOKUP($E610,'AWS Platforms Ratios'!$A$2:$O$25,9,FALSE)</f>
        <v>40.72387931</v>
      </c>
      <c r="R610" s="59">
        <f>($C610/$D610)*VLOOKUP($E610,'AWS Platforms Ratios'!$A$2:$O$25,10,FALSE)</f>
        <v>55.74178879</v>
      </c>
      <c r="S610" s="59">
        <f>$F610*VLOOKUP($E610,'AWS Platforms Ratios'!$A$2:$O$25,11,FALSE)</f>
        <v>13.68</v>
      </c>
      <c r="T610" s="59">
        <f>$F610*VLOOKUP($E610,'AWS Platforms Ratios'!$A$2:$O$25,12,FALSE)</f>
        <v>20.52</v>
      </c>
      <c r="U610" s="59">
        <f>$F610*VLOOKUP($E610,'AWS Platforms Ratios'!$A$2:$O$25,13,FALSE)</f>
        <v>27.36</v>
      </c>
      <c r="V610" s="59">
        <f>$F610*VLOOKUP($E610,'AWS Platforms Ratios'!$A$2:$O$25,14,FALSE)</f>
        <v>41.04</v>
      </c>
      <c r="W610" s="60">
        <f>IF($K610&lt;&gt;"N/A",$M610*(VLOOKUP($L610,'GPU Specs &amp; Ratios'!$B$2:$I$8,5,FALSE)),0)</f>
        <v>0</v>
      </c>
      <c r="X610" s="60">
        <f>IF($K610&lt;&gt;"N/A",$M610*(VLOOKUP($L610,'GPU Specs &amp; Ratios'!$B$2:$I$8,6,FALSE)),0)</f>
        <v>0</v>
      </c>
      <c r="Y610" s="60">
        <f>IF($K610&lt;&gt;"N/A",$M610*(VLOOKUP($L610,'GPU Specs &amp; Ratios'!$B$2:$I$8,7,FALSE)),0)</f>
        <v>0</v>
      </c>
      <c r="Z610" s="60">
        <f>IF($K610&lt;&gt;"N/A",$M610*(VLOOKUP($L610,'GPU Specs &amp; Ratios'!$B$2:$I$8,8,FALSE)),0)</f>
        <v>0</v>
      </c>
      <c r="AA610" s="60">
        <f>(C610/D610)*VLOOKUP($E610,'AWS Platforms Ratios'!$A$2:$O$25,15,FALSE)</f>
        <v>11.5</v>
      </c>
      <c r="AB610" s="60">
        <f t="shared" ref="AB610:AE610" si="610">O610+S610+W610+$AA610</f>
        <v>32.11568966</v>
      </c>
      <c r="AC610" s="60">
        <f t="shared" si="610"/>
        <v>51.81982759</v>
      </c>
      <c r="AD610" s="60">
        <f t="shared" si="610"/>
        <v>79.58387931</v>
      </c>
      <c r="AE610" s="60">
        <f t="shared" si="610"/>
        <v>108.2817888</v>
      </c>
      <c r="AF610" s="60">
        <f>IF(G610&gt;'Scope 3 Ratios'!$B$5,(G610-'Scope 3 Ratios'!$B$5)*('Scope 3 Ratios'!$B$6/'Scope 3 Ratios'!$B$5),0)</f>
        <v>366.1416</v>
      </c>
      <c r="AG610" s="60">
        <f>J610*IF(I610="SSD",'Scope 3 Ratios'!$B$9,'Scope 3 Ratios'!$B$8)</f>
        <v>0</v>
      </c>
      <c r="AH610" s="60">
        <f>IF(K610&lt;&gt;"N/A",K610*'Scope 3 Ratios'!$B$10,0)</f>
        <v>0</v>
      </c>
      <c r="AI610" s="60">
        <f>(VLOOKUP($E610,'AWS Platforms Ratios'!$A$2:$O$25,3,FALSE)-1)*'Scope 3 Ratios'!$B$7</f>
        <v>100</v>
      </c>
      <c r="AJ610" s="60">
        <f>'Scope 3 Ratios'!$B$2+AF610+AG610+AH610+AI610</f>
        <v>1466.1416</v>
      </c>
      <c r="AK610" s="60">
        <f>AJ610*'Scope 3 Ratios'!$B$4*(C610/D610)</f>
        <v>10.60576968</v>
      </c>
      <c r="AL610" s="61"/>
    </row>
    <row r="611" ht="15.0" customHeight="1">
      <c r="A611" s="56" t="s">
        <v>937</v>
      </c>
      <c r="B611" s="56" t="s">
        <v>651</v>
      </c>
      <c r="C611" s="56">
        <v>2.0</v>
      </c>
      <c r="D611" s="56">
        <f>VLOOKUP(E611,'AWS Platforms Ratios'!$A$2:$B$25,2,FALSE)</f>
        <v>96</v>
      </c>
      <c r="E611" s="57" t="s">
        <v>350</v>
      </c>
      <c r="F611" s="56">
        <v>1.0</v>
      </c>
      <c r="G611" s="56">
        <v>384.0</v>
      </c>
      <c r="H611" s="57" t="s">
        <v>71</v>
      </c>
      <c r="I611" s="56" t="s">
        <v>72</v>
      </c>
      <c r="J611" s="56">
        <v>0.0</v>
      </c>
      <c r="K611" s="58" t="s">
        <v>73</v>
      </c>
      <c r="L611" s="58" t="s">
        <v>73</v>
      </c>
      <c r="M611" s="58" t="s">
        <v>73</v>
      </c>
      <c r="N611" s="58" t="s">
        <v>73</v>
      </c>
      <c r="O611" s="59">
        <f>($C611/$D611)*VLOOKUP($E611,'AWS Platforms Ratios'!$A$2:$O$25,7,FALSE)</f>
        <v>1.205833333</v>
      </c>
      <c r="P611" s="59">
        <f>($C611/$D611)*VLOOKUP($E611,'AWS Platforms Ratios'!$A$2:$O$25,8,FALSE)</f>
        <v>3.054791667</v>
      </c>
      <c r="Q611" s="59">
        <f>($C611/$D611)*VLOOKUP($E611,'AWS Platforms Ratios'!$A$2:$O$25,9,FALSE)</f>
        <v>7.160416667</v>
      </c>
      <c r="R611" s="59">
        <f>($C611/$D611)*VLOOKUP($E611,'AWS Platforms Ratios'!$A$2:$O$25,10,FALSE)</f>
        <v>9.9578125</v>
      </c>
      <c r="S611" s="59">
        <f>$F611*VLOOKUP($E611,'AWS Platforms Ratios'!$A$2:$O$25,11,FALSE)</f>
        <v>0.150546875</v>
      </c>
      <c r="T611" s="59">
        <f>$F611*VLOOKUP($E611,'AWS Platforms Ratios'!$A$2:$O$25,12,FALSE)</f>
        <v>0.2405989583</v>
      </c>
      <c r="U611" s="59">
        <f>$F611*VLOOKUP($E611,'AWS Platforms Ratios'!$A$2:$O$25,13,FALSE)</f>
        <v>0.6200520833</v>
      </c>
      <c r="V611" s="59">
        <f>$F611*VLOOKUP($E611,'AWS Platforms Ratios'!$A$2:$O$25,14,FALSE)</f>
        <v>0.9995052083</v>
      </c>
      <c r="W611" s="60">
        <f>IF($K611&lt;&gt;"N/A",$M611*(VLOOKUP($L611,'GPU Specs &amp; Ratios'!$B$2:$I$8,5,FALSE)),0)</f>
        <v>0</v>
      </c>
      <c r="X611" s="60">
        <f>IF($K611&lt;&gt;"N/A",$M611*(VLOOKUP($L611,'GPU Specs &amp; Ratios'!$B$2:$I$8,6,FALSE)),0)</f>
        <v>0</v>
      </c>
      <c r="Y611" s="60">
        <f>IF($K611&lt;&gt;"N/A",$M611*(VLOOKUP($L611,'GPU Specs &amp; Ratios'!$B$2:$I$8,7,FALSE)),0)</f>
        <v>0</v>
      </c>
      <c r="Z611" s="60">
        <f>IF($K611&lt;&gt;"N/A",$M611*(VLOOKUP($L611,'GPU Specs &amp; Ratios'!$B$2:$I$8,8,FALSE)),0)</f>
        <v>0</v>
      </c>
      <c r="AA611" s="60">
        <f>(C611/D611)*VLOOKUP($E611,'AWS Platforms Ratios'!$A$2:$O$25,15,FALSE)</f>
        <v>2</v>
      </c>
      <c r="AB611" s="60">
        <f t="shared" ref="AB611:AE611" si="611">O611+S611+W611+$AA611</f>
        <v>3.356380208</v>
      </c>
      <c r="AC611" s="60">
        <f t="shared" si="611"/>
        <v>5.295390625</v>
      </c>
      <c r="AD611" s="60">
        <f t="shared" si="611"/>
        <v>9.78046875</v>
      </c>
      <c r="AE611" s="60">
        <f t="shared" si="611"/>
        <v>12.95731771</v>
      </c>
      <c r="AF611" s="60">
        <f>IF(G611&gt;'Scope 3 Ratios'!$B$5,(G611-'Scope 3 Ratios'!$B$5)*('Scope 3 Ratios'!$B$6/'Scope 3 Ratios'!$B$5),0)</f>
        <v>510.3792</v>
      </c>
      <c r="AG611" s="60">
        <f>J611*IF(I611="SSD",'Scope 3 Ratios'!$B$9,'Scope 3 Ratios'!$B$8)</f>
        <v>0</v>
      </c>
      <c r="AH611" s="60">
        <f>IF(K611&lt;&gt;"N/A",K611*'Scope 3 Ratios'!$B$10,0)</f>
        <v>0</v>
      </c>
      <c r="AI611" s="60">
        <f>(VLOOKUP($E611,'AWS Platforms Ratios'!$A$2:$O$25,3,FALSE)-1)*'Scope 3 Ratios'!$B$7</f>
        <v>100</v>
      </c>
      <c r="AJ611" s="60">
        <f>'Scope 3 Ratios'!$B$2+AF611+AG611+AH611+AI611</f>
        <v>1610.3792</v>
      </c>
      <c r="AK611" s="60">
        <f>AJ611*'Scope 3 Ratios'!$B$4*(C611/D611)</f>
        <v>0.9707629244</v>
      </c>
      <c r="AL611" s="61" t="s">
        <v>652</v>
      </c>
    </row>
    <row r="612" ht="15.0" customHeight="1">
      <c r="A612" s="56" t="s">
        <v>938</v>
      </c>
      <c r="B612" s="56" t="s">
        <v>651</v>
      </c>
      <c r="C612" s="56">
        <v>2.0</v>
      </c>
      <c r="D612" s="56">
        <f>VLOOKUP(E612,'AWS Platforms Ratios'!$A$2:$B$25,2,FALSE)</f>
        <v>96</v>
      </c>
      <c r="E612" s="57" t="s">
        <v>350</v>
      </c>
      <c r="F612" s="56">
        <v>2.0</v>
      </c>
      <c r="G612" s="56">
        <v>384.0</v>
      </c>
      <c r="H612" s="57" t="s">
        <v>71</v>
      </c>
      <c r="I612" s="56" t="s">
        <v>72</v>
      </c>
      <c r="J612" s="56">
        <v>0.0</v>
      </c>
      <c r="K612" s="58" t="s">
        <v>73</v>
      </c>
      <c r="L612" s="58" t="s">
        <v>73</v>
      </c>
      <c r="M612" s="58" t="s">
        <v>73</v>
      </c>
      <c r="N612" s="58" t="s">
        <v>73</v>
      </c>
      <c r="O612" s="59">
        <f>($C612/$D612)*VLOOKUP($E612,'AWS Platforms Ratios'!$A$2:$O$25,7,FALSE)</f>
        <v>1.205833333</v>
      </c>
      <c r="P612" s="59">
        <f>($C612/$D612)*VLOOKUP($E612,'AWS Platforms Ratios'!$A$2:$O$25,8,FALSE)</f>
        <v>3.054791667</v>
      </c>
      <c r="Q612" s="59">
        <f>($C612/$D612)*VLOOKUP($E612,'AWS Platforms Ratios'!$A$2:$O$25,9,FALSE)</f>
        <v>7.160416667</v>
      </c>
      <c r="R612" s="59">
        <f>($C612/$D612)*VLOOKUP($E612,'AWS Platforms Ratios'!$A$2:$O$25,10,FALSE)</f>
        <v>9.9578125</v>
      </c>
      <c r="S612" s="59">
        <f>$F612*VLOOKUP($E612,'AWS Platforms Ratios'!$A$2:$O$25,11,FALSE)</f>
        <v>0.30109375</v>
      </c>
      <c r="T612" s="59">
        <f>$F612*VLOOKUP($E612,'AWS Platforms Ratios'!$A$2:$O$25,12,FALSE)</f>
        <v>0.4811979167</v>
      </c>
      <c r="U612" s="59">
        <f>$F612*VLOOKUP($E612,'AWS Platforms Ratios'!$A$2:$O$25,13,FALSE)</f>
        <v>1.240104167</v>
      </c>
      <c r="V612" s="59">
        <f>$F612*VLOOKUP($E612,'AWS Platforms Ratios'!$A$2:$O$25,14,FALSE)</f>
        <v>1.999010417</v>
      </c>
      <c r="W612" s="60">
        <f>IF($K612&lt;&gt;"N/A",$M612*(VLOOKUP($L612,'GPU Specs &amp; Ratios'!$B$2:$I$8,5,FALSE)),0)</f>
        <v>0</v>
      </c>
      <c r="X612" s="60">
        <f>IF($K612&lt;&gt;"N/A",$M612*(VLOOKUP($L612,'GPU Specs &amp; Ratios'!$B$2:$I$8,6,FALSE)),0)</f>
        <v>0</v>
      </c>
      <c r="Y612" s="60">
        <f>IF($K612&lt;&gt;"N/A",$M612*(VLOOKUP($L612,'GPU Specs &amp; Ratios'!$B$2:$I$8,7,FALSE)),0)</f>
        <v>0</v>
      </c>
      <c r="Z612" s="60">
        <f>IF($K612&lt;&gt;"N/A",$M612*(VLOOKUP($L612,'GPU Specs &amp; Ratios'!$B$2:$I$8,8,FALSE)),0)</f>
        <v>0</v>
      </c>
      <c r="AA612" s="60">
        <f>(C612/D612)*VLOOKUP($E612,'AWS Platforms Ratios'!$A$2:$O$25,15,FALSE)</f>
        <v>2</v>
      </c>
      <c r="AB612" s="60">
        <f t="shared" ref="AB612:AE612" si="612">O612+S612+W612+$AA612</f>
        <v>3.506927083</v>
      </c>
      <c r="AC612" s="60">
        <f t="shared" si="612"/>
        <v>5.535989583</v>
      </c>
      <c r="AD612" s="60">
        <f t="shared" si="612"/>
        <v>10.40052083</v>
      </c>
      <c r="AE612" s="60">
        <f t="shared" si="612"/>
        <v>13.95682292</v>
      </c>
      <c r="AF612" s="60">
        <f>IF(G612&gt;'Scope 3 Ratios'!$B$5,(G612-'Scope 3 Ratios'!$B$5)*('Scope 3 Ratios'!$B$6/'Scope 3 Ratios'!$B$5),0)</f>
        <v>510.3792</v>
      </c>
      <c r="AG612" s="60">
        <f>J612*IF(I612="SSD",'Scope 3 Ratios'!$B$9,'Scope 3 Ratios'!$B$8)</f>
        <v>0</v>
      </c>
      <c r="AH612" s="60">
        <f>IF(K612&lt;&gt;"N/A",K612*'Scope 3 Ratios'!$B$10,0)</f>
        <v>0</v>
      </c>
      <c r="AI612" s="60">
        <f>(VLOOKUP($E612,'AWS Platforms Ratios'!$A$2:$O$25,3,FALSE)-1)*'Scope 3 Ratios'!$B$7</f>
        <v>100</v>
      </c>
      <c r="AJ612" s="60">
        <f>'Scope 3 Ratios'!$B$2+AF612+AG612+AH612+AI612</f>
        <v>1610.3792</v>
      </c>
      <c r="AK612" s="60">
        <f>AJ612*'Scope 3 Ratios'!$B$4*(C612/D612)</f>
        <v>0.9707629244</v>
      </c>
      <c r="AL612" s="61" t="s">
        <v>652</v>
      </c>
    </row>
    <row r="613" ht="15.0" customHeight="1">
      <c r="A613" s="56" t="s">
        <v>939</v>
      </c>
      <c r="B613" s="56" t="s">
        <v>651</v>
      </c>
      <c r="C613" s="56">
        <v>2.0</v>
      </c>
      <c r="D613" s="56">
        <f>VLOOKUP(E613,'AWS Platforms Ratios'!$A$2:$B$25,2,FALSE)</f>
        <v>96</v>
      </c>
      <c r="E613" s="57" t="s">
        <v>350</v>
      </c>
      <c r="F613" s="56">
        <v>4.0</v>
      </c>
      <c r="G613" s="56">
        <v>384.0</v>
      </c>
      <c r="H613" s="57" t="s">
        <v>71</v>
      </c>
      <c r="I613" s="56" t="s">
        <v>72</v>
      </c>
      <c r="J613" s="56">
        <v>0.0</v>
      </c>
      <c r="K613" s="58" t="s">
        <v>73</v>
      </c>
      <c r="L613" s="58" t="s">
        <v>73</v>
      </c>
      <c r="M613" s="58" t="s">
        <v>73</v>
      </c>
      <c r="N613" s="58" t="s">
        <v>73</v>
      </c>
      <c r="O613" s="59">
        <f>($C613/$D613)*VLOOKUP($E613,'AWS Platforms Ratios'!$A$2:$O$25,7,FALSE)</f>
        <v>1.205833333</v>
      </c>
      <c r="P613" s="59">
        <f>($C613/$D613)*VLOOKUP($E613,'AWS Platforms Ratios'!$A$2:$O$25,8,FALSE)</f>
        <v>3.054791667</v>
      </c>
      <c r="Q613" s="59">
        <f>($C613/$D613)*VLOOKUP($E613,'AWS Platforms Ratios'!$A$2:$O$25,9,FALSE)</f>
        <v>7.160416667</v>
      </c>
      <c r="R613" s="59">
        <f>($C613/$D613)*VLOOKUP($E613,'AWS Platforms Ratios'!$A$2:$O$25,10,FALSE)</f>
        <v>9.9578125</v>
      </c>
      <c r="S613" s="59">
        <f>$F613*VLOOKUP($E613,'AWS Platforms Ratios'!$A$2:$O$25,11,FALSE)</f>
        <v>0.6021875</v>
      </c>
      <c r="T613" s="59">
        <f>$F613*VLOOKUP($E613,'AWS Platforms Ratios'!$A$2:$O$25,12,FALSE)</f>
        <v>0.9623958333</v>
      </c>
      <c r="U613" s="59">
        <f>$F613*VLOOKUP($E613,'AWS Platforms Ratios'!$A$2:$O$25,13,FALSE)</f>
        <v>2.480208333</v>
      </c>
      <c r="V613" s="59">
        <f>$F613*VLOOKUP($E613,'AWS Platforms Ratios'!$A$2:$O$25,14,FALSE)</f>
        <v>3.998020833</v>
      </c>
      <c r="W613" s="60">
        <f>IF($K613&lt;&gt;"N/A",$M613*(VLOOKUP($L613,'GPU Specs &amp; Ratios'!$B$2:$I$8,5,FALSE)),0)</f>
        <v>0</v>
      </c>
      <c r="X613" s="60">
        <f>IF($K613&lt;&gt;"N/A",$M613*(VLOOKUP($L613,'GPU Specs &amp; Ratios'!$B$2:$I$8,6,FALSE)),0)</f>
        <v>0</v>
      </c>
      <c r="Y613" s="60">
        <f>IF($K613&lt;&gt;"N/A",$M613*(VLOOKUP($L613,'GPU Specs &amp; Ratios'!$B$2:$I$8,7,FALSE)),0)</f>
        <v>0</v>
      </c>
      <c r="Z613" s="60">
        <f>IF($K613&lt;&gt;"N/A",$M613*(VLOOKUP($L613,'GPU Specs &amp; Ratios'!$B$2:$I$8,8,FALSE)),0)</f>
        <v>0</v>
      </c>
      <c r="AA613" s="60">
        <f>(C613/D613)*VLOOKUP($E613,'AWS Platforms Ratios'!$A$2:$O$25,15,FALSE)</f>
        <v>2</v>
      </c>
      <c r="AB613" s="60">
        <f t="shared" ref="AB613:AE613" si="613">O613+S613+W613+$AA613</f>
        <v>3.808020833</v>
      </c>
      <c r="AC613" s="60">
        <f t="shared" si="613"/>
        <v>6.0171875</v>
      </c>
      <c r="AD613" s="60">
        <f t="shared" si="613"/>
        <v>11.640625</v>
      </c>
      <c r="AE613" s="60">
        <f t="shared" si="613"/>
        <v>15.95583333</v>
      </c>
      <c r="AF613" s="60">
        <f>IF(G613&gt;'Scope 3 Ratios'!$B$5,(G613-'Scope 3 Ratios'!$B$5)*('Scope 3 Ratios'!$B$6/'Scope 3 Ratios'!$B$5),0)</f>
        <v>510.3792</v>
      </c>
      <c r="AG613" s="60">
        <f>J613*IF(I613="SSD",'Scope 3 Ratios'!$B$9,'Scope 3 Ratios'!$B$8)</f>
        <v>0</v>
      </c>
      <c r="AH613" s="60">
        <f>IF(K613&lt;&gt;"N/A",K613*'Scope 3 Ratios'!$B$10,0)</f>
        <v>0</v>
      </c>
      <c r="AI613" s="60">
        <f>(VLOOKUP($E613,'AWS Platforms Ratios'!$A$2:$O$25,3,FALSE)-1)*'Scope 3 Ratios'!$B$7</f>
        <v>100</v>
      </c>
      <c r="AJ613" s="60">
        <f>'Scope 3 Ratios'!$B$2+AF613+AG613+AH613+AI613</f>
        <v>1610.3792</v>
      </c>
      <c r="AK613" s="60">
        <f>AJ613*'Scope 3 Ratios'!$B$4*(C613/D613)</f>
        <v>0.9707629244</v>
      </c>
      <c r="AL613" s="61" t="s">
        <v>652</v>
      </c>
    </row>
    <row r="614" ht="15.0" customHeight="1">
      <c r="A614" s="56" t="s">
        <v>940</v>
      </c>
      <c r="B614" s="56" t="s">
        <v>651</v>
      </c>
      <c r="C614" s="56">
        <v>2.0</v>
      </c>
      <c r="D614" s="56">
        <f>VLOOKUP(E614,'AWS Platforms Ratios'!$A$2:$B$25,2,FALSE)</f>
        <v>96</v>
      </c>
      <c r="E614" s="57" t="s">
        <v>350</v>
      </c>
      <c r="F614" s="56">
        <v>8.0</v>
      </c>
      <c r="G614" s="56">
        <v>384.0</v>
      </c>
      <c r="H614" s="57" t="s">
        <v>71</v>
      </c>
      <c r="I614" s="56" t="s">
        <v>72</v>
      </c>
      <c r="J614" s="56">
        <v>0.0</v>
      </c>
      <c r="K614" s="58" t="s">
        <v>73</v>
      </c>
      <c r="L614" s="58" t="s">
        <v>73</v>
      </c>
      <c r="M614" s="58" t="s">
        <v>73</v>
      </c>
      <c r="N614" s="58" t="s">
        <v>73</v>
      </c>
      <c r="O614" s="59">
        <f>($C614/$D614)*VLOOKUP($E614,'AWS Platforms Ratios'!$A$2:$O$25,7,FALSE)</f>
        <v>1.205833333</v>
      </c>
      <c r="P614" s="59">
        <f>($C614/$D614)*VLOOKUP($E614,'AWS Platforms Ratios'!$A$2:$O$25,8,FALSE)</f>
        <v>3.054791667</v>
      </c>
      <c r="Q614" s="59">
        <f>($C614/$D614)*VLOOKUP($E614,'AWS Platforms Ratios'!$A$2:$O$25,9,FALSE)</f>
        <v>7.160416667</v>
      </c>
      <c r="R614" s="59">
        <f>($C614/$D614)*VLOOKUP($E614,'AWS Platforms Ratios'!$A$2:$O$25,10,FALSE)</f>
        <v>9.9578125</v>
      </c>
      <c r="S614" s="59">
        <f>$F614*VLOOKUP($E614,'AWS Platforms Ratios'!$A$2:$O$25,11,FALSE)</f>
        <v>1.204375</v>
      </c>
      <c r="T614" s="59">
        <f>$F614*VLOOKUP($E614,'AWS Platforms Ratios'!$A$2:$O$25,12,FALSE)</f>
        <v>1.924791667</v>
      </c>
      <c r="U614" s="59">
        <f>$F614*VLOOKUP($E614,'AWS Platforms Ratios'!$A$2:$O$25,13,FALSE)</f>
        <v>4.960416667</v>
      </c>
      <c r="V614" s="59">
        <f>$F614*VLOOKUP($E614,'AWS Platforms Ratios'!$A$2:$O$25,14,FALSE)</f>
        <v>7.996041667</v>
      </c>
      <c r="W614" s="60">
        <f>IF($K614&lt;&gt;"N/A",$M614*(VLOOKUP($L614,'GPU Specs &amp; Ratios'!$B$2:$I$8,5,FALSE)),0)</f>
        <v>0</v>
      </c>
      <c r="X614" s="60">
        <f>IF($K614&lt;&gt;"N/A",$M614*(VLOOKUP($L614,'GPU Specs &amp; Ratios'!$B$2:$I$8,6,FALSE)),0)</f>
        <v>0</v>
      </c>
      <c r="Y614" s="60">
        <f>IF($K614&lt;&gt;"N/A",$M614*(VLOOKUP($L614,'GPU Specs &amp; Ratios'!$B$2:$I$8,7,FALSE)),0)</f>
        <v>0</v>
      </c>
      <c r="Z614" s="60">
        <f>IF($K614&lt;&gt;"N/A",$M614*(VLOOKUP($L614,'GPU Specs &amp; Ratios'!$B$2:$I$8,8,FALSE)),0)</f>
        <v>0</v>
      </c>
      <c r="AA614" s="60">
        <f>(C614/D614)*VLOOKUP($E614,'AWS Platforms Ratios'!$A$2:$O$25,15,FALSE)</f>
        <v>2</v>
      </c>
      <c r="AB614" s="60">
        <f t="shared" ref="AB614:AE614" si="614">O614+S614+W614+$AA614</f>
        <v>4.410208333</v>
      </c>
      <c r="AC614" s="60">
        <f t="shared" si="614"/>
        <v>6.979583333</v>
      </c>
      <c r="AD614" s="60">
        <f t="shared" si="614"/>
        <v>14.12083333</v>
      </c>
      <c r="AE614" s="60">
        <f t="shared" si="614"/>
        <v>19.95385417</v>
      </c>
      <c r="AF614" s="60">
        <f>IF(G614&gt;'Scope 3 Ratios'!$B$5,(G614-'Scope 3 Ratios'!$B$5)*('Scope 3 Ratios'!$B$6/'Scope 3 Ratios'!$B$5),0)</f>
        <v>510.3792</v>
      </c>
      <c r="AG614" s="60">
        <f>J614*IF(I614="SSD",'Scope 3 Ratios'!$B$9,'Scope 3 Ratios'!$B$8)</f>
        <v>0</v>
      </c>
      <c r="AH614" s="60">
        <f>IF(K614&lt;&gt;"N/A",K614*'Scope 3 Ratios'!$B$10,0)</f>
        <v>0</v>
      </c>
      <c r="AI614" s="60">
        <f>(VLOOKUP($E614,'AWS Platforms Ratios'!$A$2:$O$25,3,FALSE)-1)*'Scope 3 Ratios'!$B$7</f>
        <v>100</v>
      </c>
      <c r="AJ614" s="60">
        <f>'Scope 3 Ratios'!$B$2+AF614+AG614+AH614+AI614</f>
        <v>1610.3792</v>
      </c>
      <c r="AK614" s="60">
        <f>AJ614*'Scope 3 Ratios'!$B$4*(C614/D614)</f>
        <v>0.9707629244</v>
      </c>
      <c r="AL614" s="61" t="s">
        <v>652</v>
      </c>
    </row>
    <row r="615" ht="15.0" customHeight="1">
      <c r="A615" s="56" t="s">
        <v>941</v>
      </c>
      <c r="B615" s="56" t="s">
        <v>651</v>
      </c>
      <c r="C615" s="56">
        <v>4.0</v>
      </c>
      <c r="D615" s="56">
        <f>VLOOKUP(E615,'AWS Platforms Ratios'!$A$2:$B$25,2,FALSE)</f>
        <v>96</v>
      </c>
      <c r="E615" s="57" t="s">
        <v>350</v>
      </c>
      <c r="F615" s="56">
        <v>16.0</v>
      </c>
      <c r="G615" s="56">
        <v>384.0</v>
      </c>
      <c r="H615" s="57" t="s">
        <v>71</v>
      </c>
      <c r="I615" s="56" t="s">
        <v>72</v>
      </c>
      <c r="J615" s="56">
        <v>0.0</v>
      </c>
      <c r="K615" s="58" t="s">
        <v>73</v>
      </c>
      <c r="L615" s="58" t="s">
        <v>73</v>
      </c>
      <c r="M615" s="58" t="s">
        <v>73</v>
      </c>
      <c r="N615" s="58" t="s">
        <v>73</v>
      </c>
      <c r="O615" s="59">
        <f>($C615/$D615)*VLOOKUP($E615,'AWS Platforms Ratios'!$A$2:$O$25,7,FALSE)</f>
        <v>2.411666667</v>
      </c>
      <c r="P615" s="59">
        <f>($C615/$D615)*VLOOKUP($E615,'AWS Platforms Ratios'!$A$2:$O$25,8,FALSE)</f>
        <v>6.109583333</v>
      </c>
      <c r="Q615" s="59">
        <f>($C615/$D615)*VLOOKUP($E615,'AWS Platforms Ratios'!$A$2:$O$25,9,FALSE)</f>
        <v>14.32083333</v>
      </c>
      <c r="R615" s="59">
        <f>($C615/$D615)*VLOOKUP($E615,'AWS Platforms Ratios'!$A$2:$O$25,10,FALSE)</f>
        <v>19.915625</v>
      </c>
      <c r="S615" s="59">
        <f>$F615*VLOOKUP($E615,'AWS Platforms Ratios'!$A$2:$O$25,11,FALSE)</f>
        <v>2.40875</v>
      </c>
      <c r="T615" s="59">
        <f>$F615*VLOOKUP($E615,'AWS Platforms Ratios'!$A$2:$O$25,12,FALSE)</f>
        <v>3.849583333</v>
      </c>
      <c r="U615" s="59">
        <f>$F615*VLOOKUP($E615,'AWS Platforms Ratios'!$A$2:$O$25,13,FALSE)</f>
        <v>9.920833333</v>
      </c>
      <c r="V615" s="59">
        <f>$F615*VLOOKUP($E615,'AWS Platforms Ratios'!$A$2:$O$25,14,FALSE)</f>
        <v>15.99208333</v>
      </c>
      <c r="W615" s="60">
        <f>IF($K615&lt;&gt;"N/A",$M615*(VLOOKUP($L615,'GPU Specs &amp; Ratios'!$B$2:$I$8,5,FALSE)),0)</f>
        <v>0</v>
      </c>
      <c r="X615" s="60">
        <f>IF($K615&lt;&gt;"N/A",$M615*(VLOOKUP($L615,'GPU Specs &amp; Ratios'!$B$2:$I$8,6,FALSE)),0)</f>
        <v>0</v>
      </c>
      <c r="Y615" s="60">
        <f>IF($K615&lt;&gt;"N/A",$M615*(VLOOKUP($L615,'GPU Specs &amp; Ratios'!$B$2:$I$8,7,FALSE)),0)</f>
        <v>0</v>
      </c>
      <c r="Z615" s="60">
        <f>IF($K615&lt;&gt;"N/A",$M615*(VLOOKUP($L615,'GPU Specs &amp; Ratios'!$B$2:$I$8,8,FALSE)),0)</f>
        <v>0</v>
      </c>
      <c r="AA615" s="60">
        <f>(C615/D615)*VLOOKUP($E615,'AWS Platforms Ratios'!$A$2:$O$25,15,FALSE)</f>
        <v>4</v>
      </c>
      <c r="AB615" s="60">
        <f t="shared" ref="AB615:AE615" si="615">O615+S615+W615+$AA615</f>
        <v>8.820416667</v>
      </c>
      <c r="AC615" s="60">
        <f t="shared" si="615"/>
        <v>13.95916667</v>
      </c>
      <c r="AD615" s="60">
        <f t="shared" si="615"/>
        <v>28.24166667</v>
      </c>
      <c r="AE615" s="60">
        <f t="shared" si="615"/>
        <v>39.90770833</v>
      </c>
      <c r="AF615" s="60">
        <f>IF(G615&gt;'Scope 3 Ratios'!$B$5,(G615-'Scope 3 Ratios'!$B$5)*('Scope 3 Ratios'!$B$6/'Scope 3 Ratios'!$B$5),0)</f>
        <v>510.3792</v>
      </c>
      <c r="AG615" s="60">
        <f>J615*IF(I615="SSD",'Scope 3 Ratios'!$B$9,'Scope 3 Ratios'!$B$8)</f>
        <v>0</v>
      </c>
      <c r="AH615" s="60">
        <f>IF(K615&lt;&gt;"N/A",K615*'Scope 3 Ratios'!$B$10,0)</f>
        <v>0</v>
      </c>
      <c r="AI615" s="60">
        <f>(VLOOKUP($E615,'AWS Platforms Ratios'!$A$2:$O$25,3,FALSE)-1)*'Scope 3 Ratios'!$B$7</f>
        <v>100</v>
      </c>
      <c r="AJ615" s="60">
        <f>'Scope 3 Ratios'!$B$2+AF615+AG615+AH615+AI615</f>
        <v>1610.3792</v>
      </c>
      <c r="AK615" s="60">
        <f>AJ615*'Scope 3 Ratios'!$B$4*(C615/D615)</f>
        <v>1.941525849</v>
      </c>
      <c r="AL615" s="61" t="s">
        <v>652</v>
      </c>
    </row>
    <row r="616" ht="15.0" customHeight="1">
      <c r="A616" s="56" t="s">
        <v>942</v>
      </c>
      <c r="B616" s="56" t="s">
        <v>651</v>
      </c>
      <c r="C616" s="56">
        <v>8.0</v>
      </c>
      <c r="D616" s="56">
        <f>VLOOKUP(E616,'AWS Platforms Ratios'!$A$2:$B$25,2,FALSE)</f>
        <v>96</v>
      </c>
      <c r="E616" s="57" t="s">
        <v>350</v>
      </c>
      <c r="F616" s="56">
        <v>32.0</v>
      </c>
      <c r="G616" s="56">
        <v>384.0</v>
      </c>
      <c r="H616" s="57" t="s">
        <v>71</v>
      </c>
      <c r="I616" s="56" t="s">
        <v>72</v>
      </c>
      <c r="J616" s="56">
        <v>0.0</v>
      </c>
      <c r="K616" s="58" t="s">
        <v>73</v>
      </c>
      <c r="L616" s="58" t="s">
        <v>73</v>
      </c>
      <c r="M616" s="58" t="s">
        <v>73</v>
      </c>
      <c r="N616" s="58" t="s">
        <v>73</v>
      </c>
      <c r="O616" s="59">
        <f>($C616/$D616)*VLOOKUP($E616,'AWS Platforms Ratios'!$A$2:$O$25,7,FALSE)</f>
        <v>4.823333333</v>
      </c>
      <c r="P616" s="59">
        <f>($C616/$D616)*VLOOKUP($E616,'AWS Platforms Ratios'!$A$2:$O$25,8,FALSE)</f>
        <v>12.21916667</v>
      </c>
      <c r="Q616" s="59">
        <f>($C616/$D616)*VLOOKUP($E616,'AWS Platforms Ratios'!$A$2:$O$25,9,FALSE)</f>
        <v>28.64166667</v>
      </c>
      <c r="R616" s="59">
        <f>($C616/$D616)*VLOOKUP($E616,'AWS Platforms Ratios'!$A$2:$O$25,10,FALSE)</f>
        <v>39.83125</v>
      </c>
      <c r="S616" s="59">
        <f>$F616*VLOOKUP($E616,'AWS Platforms Ratios'!$A$2:$O$25,11,FALSE)</f>
        <v>4.8175</v>
      </c>
      <c r="T616" s="59">
        <f>$F616*VLOOKUP($E616,'AWS Platforms Ratios'!$A$2:$O$25,12,FALSE)</f>
        <v>7.699166667</v>
      </c>
      <c r="U616" s="59">
        <f>$F616*VLOOKUP($E616,'AWS Platforms Ratios'!$A$2:$O$25,13,FALSE)</f>
        <v>19.84166667</v>
      </c>
      <c r="V616" s="59">
        <f>$F616*VLOOKUP($E616,'AWS Platforms Ratios'!$A$2:$O$25,14,FALSE)</f>
        <v>31.98416667</v>
      </c>
      <c r="W616" s="60">
        <f>IF($K616&lt;&gt;"N/A",$M616*(VLOOKUP($L616,'GPU Specs &amp; Ratios'!$B$2:$I$8,5,FALSE)),0)</f>
        <v>0</v>
      </c>
      <c r="X616" s="60">
        <f>IF($K616&lt;&gt;"N/A",$M616*(VLOOKUP($L616,'GPU Specs &amp; Ratios'!$B$2:$I$8,6,FALSE)),0)</f>
        <v>0</v>
      </c>
      <c r="Y616" s="60">
        <f>IF($K616&lt;&gt;"N/A",$M616*(VLOOKUP($L616,'GPU Specs &amp; Ratios'!$B$2:$I$8,7,FALSE)),0)</f>
        <v>0</v>
      </c>
      <c r="Z616" s="60">
        <f>IF($K616&lt;&gt;"N/A",$M616*(VLOOKUP($L616,'GPU Specs &amp; Ratios'!$B$2:$I$8,8,FALSE)),0)</f>
        <v>0</v>
      </c>
      <c r="AA616" s="60">
        <f>(C616/D616)*VLOOKUP($E616,'AWS Platforms Ratios'!$A$2:$O$25,15,FALSE)</f>
        <v>8</v>
      </c>
      <c r="AB616" s="60">
        <f t="shared" ref="AB616:AE616" si="616">O616+S616+W616+$AA616</f>
        <v>17.64083333</v>
      </c>
      <c r="AC616" s="60">
        <f t="shared" si="616"/>
        <v>27.91833333</v>
      </c>
      <c r="AD616" s="60">
        <f t="shared" si="616"/>
        <v>56.48333333</v>
      </c>
      <c r="AE616" s="60">
        <f t="shared" si="616"/>
        <v>79.81541667</v>
      </c>
      <c r="AF616" s="60">
        <f>IF(G616&gt;'Scope 3 Ratios'!$B$5,(G616-'Scope 3 Ratios'!$B$5)*('Scope 3 Ratios'!$B$6/'Scope 3 Ratios'!$B$5),0)</f>
        <v>510.3792</v>
      </c>
      <c r="AG616" s="60">
        <f>J616*IF(I616="SSD",'Scope 3 Ratios'!$B$9,'Scope 3 Ratios'!$B$8)</f>
        <v>0</v>
      </c>
      <c r="AH616" s="60">
        <f>IF(K616&lt;&gt;"N/A",K616*'Scope 3 Ratios'!$B$10,0)</f>
        <v>0</v>
      </c>
      <c r="AI616" s="60">
        <f>(VLOOKUP($E616,'AWS Platforms Ratios'!$A$2:$O$25,3,FALSE)-1)*'Scope 3 Ratios'!$B$7</f>
        <v>100</v>
      </c>
      <c r="AJ616" s="60">
        <f>'Scope 3 Ratios'!$B$2+AF616+AG616+AH616+AI616</f>
        <v>1610.3792</v>
      </c>
      <c r="AK616" s="60">
        <f>AJ616*'Scope 3 Ratios'!$B$4*(C616/D616)</f>
        <v>3.883051698</v>
      </c>
      <c r="AL616" s="61" t="s">
        <v>652</v>
      </c>
    </row>
    <row r="617" ht="15.0" customHeight="1">
      <c r="A617" s="56" t="s">
        <v>943</v>
      </c>
      <c r="B617" s="56" t="s">
        <v>643</v>
      </c>
      <c r="C617" s="56">
        <v>1.0</v>
      </c>
      <c r="D617" s="56">
        <f>VLOOKUP(E617,'AWS Platforms Ratios'!$A$2:$B$25,2,FALSE)</f>
        <v>48</v>
      </c>
      <c r="E617" s="57" t="s">
        <v>225</v>
      </c>
      <c r="F617" s="56">
        <v>1.0</v>
      </c>
      <c r="G617" s="56">
        <v>288.0</v>
      </c>
      <c r="H617" s="57" t="s">
        <v>71</v>
      </c>
      <c r="I617" s="56" t="s">
        <v>72</v>
      </c>
      <c r="J617" s="56">
        <v>0.0</v>
      </c>
      <c r="K617" s="58" t="s">
        <v>73</v>
      </c>
      <c r="L617" s="58" t="s">
        <v>73</v>
      </c>
      <c r="M617" s="58" t="s">
        <v>73</v>
      </c>
      <c r="N617" s="58" t="s">
        <v>73</v>
      </c>
      <c r="O617" s="59">
        <f>($C617/$D617)*VLOOKUP($E617,'AWS Platforms Ratios'!$A$2:$O$25,7,FALSE)</f>
        <v>0.6031034483</v>
      </c>
      <c r="P617" s="59">
        <f>($C617/$D617)*VLOOKUP($E617,'AWS Platforms Ratios'!$A$2:$O$25,8,FALSE)</f>
        <v>1.721724138</v>
      </c>
      <c r="Q617" s="59">
        <f>($C617/$D617)*VLOOKUP($E617,'AWS Platforms Ratios'!$A$2:$O$25,9,FALSE)</f>
        <v>3.541206897</v>
      </c>
      <c r="R617" s="59">
        <f>($C617/$D617)*VLOOKUP($E617,'AWS Platforms Ratios'!$A$2:$O$25,10,FALSE)</f>
        <v>4.847112069</v>
      </c>
      <c r="S617" s="59">
        <f>$F617*VLOOKUP($E617,'AWS Platforms Ratios'!$A$2:$O$25,11,FALSE)</f>
        <v>0.2</v>
      </c>
      <c r="T617" s="59">
        <f>$F617*VLOOKUP($E617,'AWS Platforms Ratios'!$A$2:$O$25,12,FALSE)</f>
        <v>0.3</v>
      </c>
      <c r="U617" s="59">
        <f>$F617*VLOOKUP($E617,'AWS Platforms Ratios'!$A$2:$O$25,13,FALSE)</f>
        <v>0.4</v>
      </c>
      <c r="V617" s="59">
        <f>$F617*VLOOKUP($E617,'AWS Platforms Ratios'!$A$2:$O$25,14,FALSE)</f>
        <v>0.6</v>
      </c>
      <c r="W617" s="60">
        <f>IF($K617&lt;&gt;"N/A",$M617*(VLOOKUP($L617,'GPU Specs &amp; Ratios'!$B$2:$I$8,5,FALSE)),0)</f>
        <v>0</v>
      </c>
      <c r="X617" s="60">
        <f>IF($K617&lt;&gt;"N/A",$M617*(VLOOKUP($L617,'GPU Specs &amp; Ratios'!$B$2:$I$8,6,FALSE)),0)</f>
        <v>0</v>
      </c>
      <c r="Y617" s="60">
        <f>IF($K617&lt;&gt;"N/A",$M617*(VLOOKUP($L617,'GPU Specs &amp; Ratios'!$B$2:$I$8,7,FALSE)),0)</f>
        <v>0</v>
      </c>
      <c r="Z617" s="60">
        <f>IF($K617&lt;&gt;"N/A",$M617*(VLOOKUP($L617,'GPU Specs &amp; Ratios'!$B$2:$I$8,8,FALSE)),0)</f>
        <v>0</v>
      </c>
      <c r="AA617" s="60">
        <f>(C617/D617)*VLOOKUP($E617,'AWS Platforms Ratios'!$A$2:$O$25,15,FALSE)</f>
        <v>1</v>
      </c>
      <c r="AB617" s="60">
        <f t="shared" ref="AB617:AE617" si="617">O617+S617+W617+$AA617</f>
        <v>1.803103448</v>
      </c>
      <c r="AC617" s="60">
        <f t="shared" si="617"/>
        <v>3.021724138</v>
      </c>
      <c r="AD617" s="60">
        <f t="shared" si="617"/>
        <v>4.941206897</v>
      </c>
      <c r="AE617" s="60">
        <f t="shared" si="617"/>
        <v>6.447112069</v>
      </c>
      <c r="AF617" s="60">
        <f>IF(G617&gt;'Scope 3 Ratios'!$B$5,(G617-'Scope 3 Ratios'!$B$5)*('Scope 3 Ratios'!$B$6/'Scope 3 Ratios'!$B$5),0)</f>
        <v>377.2368</v>
      </c>
      <c r="AG617" s="60">
        <f>J617*IF(I617="SSD",'Scope 3 Ratios'!$B$9,'Scope 3 Ratios'!$B$8)</f>
        <v>0</v>
      </c>
      <c r="AH617" s="60">
        <f>IF(K617&lt;&gt;"N/A",K617*'Scope 3 Ratios'!$B$10,0)</f>
        <v>0</v>
      </c>
      <c r="AI617" s="60">
        <f>(VLOOKUP($E617,'AWS Platforms Ratios'!$A$2:$O$25,3,FALSE)-1)*'Scope 3 Ratios'!$B$7</f>
        <v>100</v>
      </c>
      <c r="AJ617" s="60">
        <f>'Scope 3 Ratios'!$B$2+AF617+AG617+AH617+AI617</f>
        <v>1477.2368</v>
      </c>
      <c r="AK617" s="60">
        <f>AJ617*'Scope 3 Ratios'!$B$4*(C617/D617)</f>
        <v>0.8905025077</v>
      </c>
      <c r="AL617" s="61" t="s">
        <v>641</v>
      </c>
    </row>
    <row r="618" ht="15.0" customHeight="1">
      <c r="A618" s="56" t="s">
        <v>944</v>
      </c>
      <c r="B618" s="56" t="s">
        <v>643</v>
      </c>
      <c r="C618" s="56">
        <v>1.0</v>
      </c>
      <c r="D618" s="56">
        <f>VLOOKUP(E618,'AWS Platforms Ratios'!$A$2:$B$25,2,FALSE)</f>
        <v>48</v>
      </c>
      <c r="E618" s="57" t="s">
        <v>225</v>
      </c>
      <c r="F618" s="56">
        <v>2.0</v>
      </c>
      <c r="G618" s="56">
        <v>288.0</v>
      </c>
      <c r="H618" s="57" t="s">
        <v>71</v>
      </c>
      <c r="I618" s="56" t="s">
        <v>72</v>
      </c>
      <c r="J618" s="56">
        <v>0.0</v>
      </c>
      <c r="K618" s="58" t="s">
        <v>73</v>
      </c>
      <c r="L618" s="58" t="s">
        <v>73</v>
      </c>
      <c r="M618" s="58" t="s">
        <v>73</v>
      </c>
      <c r="N618" s="58" t="s">
        <v>73</v>
      </c>
      <c r="O618" s="59">
        <f>($C618/$D618)*VLOOKUP($E618,'AWS Platforms Ratios'!$A$2:$O$25,7,FALSE)</f>
        <v>0.6031034483</v>
      </c>
      <c r="P618" s="59">
        <f>($C618/$D618)*VLOOKUP($E618,'AWS Platforms Ratios'!$A$2:$O$25,8,FALSE)</f>
        <v>1.721724138</v>
      </c>
      <c r="Q618" s="59">
        <f>($C618/$D618)*VLOOKUP($E618,'AWS Platforms Ratios'!$A$2:$O$25,9,FALSE)</f>
        <v>3.541206897</v>
      </c>
      <c r="R618" s="59">
        <f>($C618/$D618)*VLOOKUP($E618,'AWS Platforms Ratios'!$A$2:$O$25,10,FALSE)</f>
        <v>4.847112069</v>
      </c>
      <c r="S618" s="59">
        <f>$F618*VLOOKUP($E618,'AWS Platforms Ratios'!$A$2:$O$25,11,FALSE)</f>
        <v>0.4</v>
      </c>
      <c r="T618" s="59">
        <f>$F618*VLOOKUP($E618,'AWS Platforms Ratios'!$A$2:$O$25,12,FALSE)</f>
        <v>0.6</v>
      </c>
      <c r="U618" s="59">
        <f>$F618*VLOOKUP($E618,'AWS Platforms Ratios'!$A$2:$O$25,13,FALSE)</f>
        <v>0.8</v>
      </c>
      <c r="V618" s="59">
        <f>$F618*VLOOKUP($E618,'AWS Platforms Ratios'!$A$2:$O$25,14,FALSE)</f>
        <v>1.2</v>
      </c>
      <c r="W618" s="60">
        <f>IF($K618&lt;&gt;"N/A",$M618*(VLOOKUP($L618,'GPU Specs &amp; Ratios'!$B$2:$I$8,5,FALSE)),0)</f>
        <v>0</v>
      </c>
      <c r="X618" s="60">
        <f>IF($K618&lt;&gt;"N/A",$M618*(VLOOKUP($L618,'GPU Specs &amp; Ratios'!$B$2:$I$8,6,FALSE)),0)</f>
        <v>0</v>
      </c>
      <c r="Y618" s="60">
        <f>IF($K618&lt;&gt;"N/A",$M618*(VLOOKUP($L618,'GPU Specs &amp; Ratios'!$B$2:$I$8,7,FALSE)),0)</f>
        <v>0</v>
      </c>
      <c r="Z618" s="60">
        <f>IF($K618&lt;&gt;"N/A",$M618*(VLOOKUP($L618,'GPU Specs &amp; Ratios'!$B$2:$I$8,8,FALSE)),0)</f>
        <v>0</v>
      </c>
      <c r="AA618" s="60">
        <f>(C618/D618)*VLOOKUP($E618,'AWS Platforms Ratios'!$A$2:$O$25,15,FALSE)</f>
        <v>1</v>
      </c>
      <c r="AB618" s="60">
        <f t="shared" ref="AB618:AE618" si="618">O618+S618+W618+$AA618</f>
        <v>2.003103448</v>
      </c>
      <c r="AC618" s="60">
        <f t="shared" si="618"/>
        <v>3.321724138</v>
      </c>
      <c r="AD618" s="60">
        <f t="shared" si="618"/>
        <v>5.341206897</v>
      </c>
      <c r="AE618" s="60">
        <f t="shared" si="618"/>
        <v>7.047112069</v>
      </c>
      <c r="AF618" s="60">
        <f>IF(G618&gt;'Scope 3 Ratios'!$B$5,(G618-'Scope 3 Ratios'!$B$5)*('Scope 3 Ratios'!$B$6/'Scope 3 Ratios'!$B$5),0)</f>
        <v>377.2368</v>
      </c>
      <c r="AG618" s="60">
        <f>J618*IF(I618="SSD",'Scope 3 Ratios'!$B$9,'Scope 3 Ratios'!$B$8)</f>
        <v>0</v>
      </c>
      <c r="AH618" s="60">
        <f>IF(K618&lt;&gt;"N/A",K618*'Scope 3 Ratios'!$B$10,0)</f>
        <v>0</v>
      </c>
      <c r="AI618" s="60">
        <f>(VLOOKUP($E618,'AWS Platforms Ratios'!$A$2:$O$25,3,FALSE)-1)*'Scope 3 Ratios'!$B$7</f>
        <v>100</v>
      </c>
      <c r="AJ618" s="60">
        <f>'Scope 3 Ratios'!$B$2+AF618+AG618+AH618+AI618</f>
        <v>1477.2368</v>
      </c>
      <c r="AK618" s="60">
        <f>AJ618*'Scope 3 Ratios'!$B$4*(C618/D618)</f>
        <v>0.8905025077</v>
      </c>
      <c r="AL618" s="61" t="s">
        <v>641</v>
      </c>
    </row>
    <row r="619" ht="15.0" customHeight="1">
      <c r="A619" s="56" t="s">
        <v>945</v>
      </c>
      <c r="B619" s="56" t="s">
        <v>643</v>
      </c>
      <c r="C619" s="56">
        <v>2.0</v>
      </c>
      <c r="D619" s="56">
        <f>VLOOKUP(E619,'AWS Platforms Ratios'!$A$2:$B$25,2,FALSE)</f>
        <v>48</v>
      </c>
      <c r="E619" s="57" t="s">
        <v>225</v>
      </c>
      <c r="F619" s="56">
        <v>4.0</v>
      </c>
      <c r="G619" s="56">
        <v>288.0</v>
      </c>
      <c r="H619" s="57" t="s">
        <v>71</v>
      </c>
      <c r="I619" s="56" t="s">
        <v>72</v>
      </c>
      <c r="J619" s="56">
        <v>0.0</v>
      </c>
      <c r="K619" s="58" t="s">
        <v>73</v>
      </c>
      <c r="L619" s="58" t="s">
        <v>73</v>
      </c>
      <c r="M619" s="58" t="s">
        <v>73</v>
      </c>
      <c r="N619" s="58" t="s">
        <v>73</v>
      </c>
      <c r="O619" s="59">
        <f>($C619/$D619)*VLOOKUP($E619,'AWS Platforms Ratios'!$A$2:$O$25,7,FALSE)</f>
        <v>1.206206897</v>
      </c>
      <c r="P619" s="59">
        <f>($C619/$D619)*VLOOKUP($E619,'AWS Platforms Ratios'!$A$2:$O$25,8,FALSE)</f>
        <v>3.443448276</v>
      </c>
      <c r="Q619" s="59">
        <f>($C619/$D619)*VLOOKUP($E619,'AWS Platforms Ratios'!$A$2:$O$25,9,FALSE)</f>
        <v>7.082413793</v>
      </c>
      <c r="R619" s="59">
        <f>($C619/$D619)*VLOOKUP($E619,'AWS Platforms Ratios'!$A$2:$O$25,10,FALSE)</f>
        <v>9.694224138</v>
      </c>
      <c r="S619" s="59">
        <f>$F619*VLOOKUP($E619,'AWS Platforms Ratios'!$A$2:$O$25,11,FALSE)</f>
        <v>0.8</v>
      </c>
      <c r="T619" s="59">
        <f>$F619*VLOOKUP($E619,'AWS Platforms Ratios'!$A$2:$O$25,12,FALSE)</f>
        <v>1.2</v>
      </c>
      <c r="U619" s="59">
        <f>$F619*VLOOKUP($E619,'AWS Platforms Ratios'!$A$2:$O$25,13,FALSE)</f>
        <v>1.6</v>
      </c>
      <c r="V619" s="59">
        <f>$F619*VLOOKUP($E619,'AWS Platforms Ratios'!$A$2:$O$25,14,FALSE)</f>
        <v>2.4</v>
      </c>
      <c r="W619" s="60">
        <f>IF($K619&lt;&gt;"N/A",$M619*(VLOOKUP($L619,'GPU Specs &amp; Ratios'!$B$2:$I$8,5,FALSE)),0)</f>
        <v>0</v>
      </c>
      <c r="X619" s="60">
        <f>IF($K619&lt;&gt;"N/A",$M619*(VLOOKUP($L619,'GPU Specs &amp; Ratios'!$B$2:$I$8,6,FALSE)),0)</f>
        <v>0</v>
      </c>
      <c r="Y619" s="60">
        <f>IF($K619&lt;&gt;"N/A",$M619*(VLOOKUP($L619,'GPU Specs &amp; Ratios'!$B$2:$I$8,7,FALSE)),0)</f>
        <v>0</v>
      </c>
      <c r="Z619" s="60">
        <f>IF($K619&lt;&gt;"N/A",$M619*(VLOOKUP($L619,'GPU Specs &amp; Ratios'!$B$2:$I$8,8,FALSE)),0)</f>
        <v>0</v>
      </c>
      <c r="AA619" s="60">
        <f>(C619/D619)*VLOOKUP($E619,'AWS Platforms Ratios'!$A$2:$O$25,15,FALSE)</f>
        <v>2</v>
      </c>
      <c r="AB619" s="60">
        <f t="shared" ref="AB619:AE619" si="619">O619+S619+W619+$AA619</f>
        <v>4.006206897</v>
      </c>
      <c r="AC619" s="60">
        <f t="shared" si="619"/>
        <v>6.643448276</v>
      </c>
      <c r="AD619" s="60">
        <f t="shared" si="619"/>
        <v>10.68241379</v>
      </c>
      <c r="AE619" s="60">
        <f t="shared" si="619"/>
        <v>14.09422414</v>
      </c>
      <c r="AF619" s="60">
        <f>IF(G619&gt;'Scope 3 Ratios'!$B$5,(G619-'Scope 3 Ratios'!$B$5)*('Scope 3 Ratios'!$B$6/'Scope 3 Ratios'!$B$5),0)</f>
        <v>377.2368</v>
      </c>
      <c r="AG619" s="60">
        <f>J619*IF(I619="SSD",'Scope 3 Ratios'!$B$9,'Scope 3 Ratios'!$B$8)</f>
        <v>0</v>
      </c>
      <c r="AH619" s="60">
        <f>IF(K619&lt;&gt;"N/A",K619*'Scope 3 Ratios'!$B$10,0)</f>
        <v>0</v>
      </c>
      <c r="AI619" s="60">
        <f>(VLOOKUP($E619,'AWS Platforms Ratios'!$A$2:$O$25,3,FALSE)-1)*'Scope 3 Ratios'!$B$7</f>
        <v>100</v>
      </c>
      <c r="AJ619" s="60">
        <f>'Scope 3 Ratios'!$B$2+AF619+AG619+AH619+AI619</f>
        <v>1477.2368</v>
      </c>
      <c r="AK619" s="60">
        <f>AJ619*'Scope 3 Ratios'!$B$4*(C619/D619)</f>
        <v>1.781005015</v>
      </c>
      <c r="AL619" s="61" t="s">
        <v>641</v>
      </c>
    </row>
    <row r="620" ht="15.0" customHeight="1">
      <c r="A620" s="56" t="s">
        <v>946</v>
      </c>
      <c r="B620" s="56" t="s">
        <v>264</v>
      </c>
      <c r="C620" s="56">
        <v>2.0</v>
      </c>
      <c r="D620" s="56">
        <f>VLOOKUP(E620,'AWS Platforms Ratios'!$A$2:$B$25,2,FALSE)</f>
        <v>48</v>
      </c>
      <c r="E620" s="57" t="s">
        <v>225</v>
      </c>
      <c r="F620" s="56">
        <v>8.0</v>
      </c>
      <c r="G620" s="56">
        <v>288.0</v>
      </c>
      <c r="H620" s="57" t="s">
        <v>71</v>
      </c>
      <c r="I620" s="56" t="s">
        <v>72</v>
      </c>
      <c r="J620" s="56">
        <v>0.0</v>
      </c>
      <c r="K620" s="58" t="s">
        <v>73</v>
      </c>
      <c r="L620" s="58" t="s">
        <v>73</v>
      </c>
      <c r="M620" s="58" t="s">
        <v>73</v>
      </c>
      <c r="N620" s="58" t="s">
        <v>73</v>
      </c>
      <c r="O620" s="59">
        <f>($C620/$D620)*VLOOKUP($E620,'AWS Platforms Ratios'!$A$2:$O$25,7,FALSE)</f>
        <v>1.206206897</v>
      </c>
      <c r="P620" s="59">
        <f>($C620/$D620)*VLOOKUP($E620,'AWS Platforms Ratios'!$A$2:$O$25,8,FALSE)</f>
        <v>3.443448276</v>
      </c>
      <c r="Q620" s="59">
        <f>($C620/$D620)*VLOOKUP($E620,'AWS Platforms Ratios'!$A$2:$O$25,9,FALSE)</f>
        <v>7.082413793</v>
      </c>
      <c r="R620" s="59">
        <f>($C620/$D620)*VLOOKUP($E620,'AWS Platforms Ratios'!$A$2:$O$25,10,FALSE)</f>
        <v>9.694224138</v>
      </c>
      <c r="S620" s="59">
        <f>$F620*VLOOKUP($E620,'AWS Platforms Ratios'!$A$2:$O$25,11,FALSE)</f>
        <v>1.6</v>
      </c>
      <c r="T620" s="59">
        <f>$F620*VLOOKUP($E620,'AWS Platforms Ratios'!$A$2:$O$25,12,FALSE)</f>
        <v>2.4</v>
      </c>
      <c r="U620" s="59">
        <f>$F620*VLOOKUP($E620,'AWS Platforms Ratios'!$A$2:$O$25,13,FALSE)</f>
        <v>3.2</v>
      </c>
      <c r="V620" s="59">
        <f>$F620*VLOOKUP($E620,'AWS Platforms Ratios'!$A$2:$O$25,14,FALSE)</f>
        <v>4.8</v>
      </c>
      <c r="W620" s="60">
        <f>IF($K620&lt;&gt;"N/A",$M620*(VLOOKUP($L620,'GPU Specs &amp; Ratios'!$B$2:$I$8,5,FALSE)),0)</f>
        <v>0</v>
      </c>
      <c r="X620" s="60">
        <f>IF($K620&lt;&gt;"N/A",$M620*(VLOOKUP($L620,'GPU Specs &amp; Ratios'!$B$2:$I$8,6,FALSE)),0)</f>
        <v>0</v>
      </c>
      <c r="Y620" s="60">
        <f>IF($K620&lt;&gt;"N/A",$M620*(VLOOKUP($L620,'GPU Specs &amp; Ratios'!$B$2:$I$8,7,FALSE)),0)</f>
        <v>0</v>
      </c>
      <c r="Z620" s="60">
        <f>IF($K620&lt;&gt;"N/A",$M620*(VLOOKUP($L620,'GPU Specs &amp; Ratios'!$B$2:$I$8,8,FALSE)),0)</f>
        <v>0</v>
      </c>
      <c r="AA620" s="60">
        <f>(C620/D620)*VLOOKUP($E620,'AWS Platforms Ratios'!$A$2:$O$25,15,FALSE)</f>
        <v>2</v>
      </c>
      <c r="AB620" s="60">
        <f t="shared" ref="AB620:AE620" si="620">O620+S620+W620+$AA620</f>
        <v>4.806206897</v>
      </c>
      <c r="AC620" s="60">
        <f t="shared" si="620"/>
        <v>7.843448276</v>
      </c>
      <c r="AD620" s="60">
        <f t="shared" si="620"/>
        <v>12.28241379</v>
      </c>
      <c r="AE620" s="60">
        <f t="shared" si="620"/>
        <v>16.49422414</v>
      </c>
      <c r="AF620" s="60">
        <f>IF(G620&gt;'Scope 3 Ratios'!$B$5,(G620-'Scope 3 Ratios'!$B$5)*('Scope 3 Ratios'!$B$6/'Scope 3 Ratios'!$B$5),0)</f>
        <v>377.2368</v>
      </c>
      <c r="AG620" s="60">
        <f>J620*IF(I620="SSD",'Scope 3 Ratios'!$B$9,'Scope 3 Ratios'!$B$8)</f>
        <v>0</v>
      </c>
      <c r="AH620" s="60">
        <f>IF(K620&lt;&gt;"N/A",K620*'Scope 3 Ratios'!$B$10,0)</f>
        <v>0</v>
      </c>
      <c r="AI620" s="60">
        <f>(VLOOKUP($E620,'AWS Platforms Ratios'!$A$2:$O$25,3,FALSE)-1)*'Scope 3 Ratios'!$B$7</f>
        <v>100</v>
      </c>
      <c r="AJ620" s="60">
        <f>'Scope 3 Ratios'!$B$2+AF620+AG620+AH620+AI620</f>
        <v>1477.2368</v>
      </c>
      <c r="AK620" s="60">
        <f>AJ620*'Scope 3 Ratios'!$B$4*(C620/D620)</f>
        <v>1.781005015</v>
      </c>
      <c r="AL620" s="61" t="s">
        <v>641</v>
      </c>
    </row>
    <row r="621" ht="15.0" customHeight="1">
      <c r="A621" s="56" t="s">
        <v>947</v>
      </c>
      <c r="B621" s="56" t="s">
        <v>119</v>
      </c>
      <c r="C621" s="56">
        <v>4.0</v>
      </c>
      <c r="D621" s="56">
        <f>VLOOKUP(E621,'AWS Platforms Ratios'!$A$2:$B$25,2,FALSE)</f>
        <v>48</v>
      </c>
      <c r="E621" s="57" t="s">
        <v>225</v>
      </c>
      <c r="F621" s="56">
        <v>16.0</v>
      </c>
      <c r="G621" s="56">
        <v>288.0</v>
      </c>
      <c r="H621" s="57" t="s">
        <v>71</v>
      </c>
      <c r="I621" s="56" t="s">
        <v>72</v>
      </c>
      <c r="J621" s="56">
        <v>0.0</v>
      </c>
      <c r="K621" s="58" t="s">
        <v>73</v>
      </c>
      <c r="L621" s="58" t="s">
        <v>73</v>
      </c>
      <c r="M621" s="58" t="s">
        <v>73</v>
      </c>
      <c r="N621" s="58" t="s">
        <v>73</v>
      </c>
      <c r="O621" s="59">
        <f>($C621/$D621)*VLOOKUP($E621,'AWS Platforms Ratios'!$A$2:$O$25,7,FALSE)</f>
        <v>2.412413793</v>
      </c>
      <c r="P621" s="59">
        <f>($C621/$D621)*VLOOKUP($E621,'AWS Platforms Ratios'!$A$2:$O$25,8,FALSE)</f>
        <v>6.886896552</v>
      </c>
      <c r="Q621" s="59">
        <f>($C621/$D621)*VLOOKUP($E621,'AWS Platforms Ratios'!$A$2:$O$25,9,FALSE)</f>
        <v>14.16482759</v>
      </c>
      <c r="R621" s="59">
        <f>($C621/$D621)*VLOOKUP($E621,'AWS Platforms Ratios'!$A$2:$O$25,10,FALSE)</f>
        <v>19.38844828</v>
      </c>
      <c r="S621" s="59">
        <f>$F621*VLOOKUP($E621,'AWS Platforms Ratios'!$A$2:$O$25,11,FALSE)</f>
        <v>3.2</v>
      </c>
      <c r="T621" s="59">
        <f>$F621*VLOOKUP($E621,'AWS Platforms Ratios'!$A$2:$O$25,12,FALSE)</f>
        <v>4.8</v>
      </c>
      <c r="U621" s="59">
        <f>$F621*VLOOKUP($E621,'AWS Platforms Ratios'!$A$2:$O$25,13,FALSE)</f>
        <v>6.4</v>
      </c>
      <c r="V621" s="59">
        <f>$F621*VLOOKUP($E621,'AWS Platforms Ratios'!$A$2:$O$25,14,FALSE)</f>
        <v>9.6</v>
      </c>
      <c r="W621" s="60">
        <f>IF($K621&lt;&gt;"N/A",$M621*(VLOOKUP($L621,'GPU Specs &amp; Ratios'!$B$2:$I$8,5,FALSE)),0)</f>
        <v>0</v>
      </c>
      <c r="X621" s="60">
        <f>IF($K621&lt;&gt;"N/A",$M621*(VLOOKUP($L621,'GPU Specs &amp; Ratios'!$B$2:$I$8,6,FALSE)),0)</f>
        <v>0</v>
      </c>
      <c r="Y621" s="60">
        <f>IF($K621&lt;&gt;"N/A",$M621*(VLOOKUP($L621,'GPU Specs &amp; Ratios'!$B$2:$I$8,7,FALSE)),0)</f>
        <v>0</v>
      </c>
      <c r="Z621" s="60">
        <f>IF($K621&lt;&gt;"N/A",$M621*(VLOOKUP($L621,'GPU Specs &amp; Ratios'!$B$2:$I$8,8,FALSE)),0)</f>
        <v>0</v>
      </c>
      <c r="AA621" s="60">
        <f>(C621/D621)*VLOOKUP($E621,'AWS Platforms Ratios'!$A$2:$O$25,15,FALSE)</f>
        <v>4</v>
      </c>
      <c r="AB621" s="60">
        <f t="shared" ref="AB621:AE621" si="621">O621+S621+W621+$AA621</f>
        <v>9.612413793</v>
      </c>
      <c r="AC621" s="60">
        <f t="shared" si="621"/>
        <v>15.68689655</v>
      </c>
      <c r="AD621" s="60">
        <f t="shared" si="621"/>
        <v>24.56482759</v>
      </c>
      <c r="AE621" s="60">
        <f t="shared" si="621"/>
        <v>32.98844828</v>
      </c>
      <c r="AF621" s="60">
        <f>IF(G621&gt;'Scope 3 Ratios'!$B$5,(G621-'Scope 3 Ratios'!$B$5)*('Scope 3 Ratios'!$B$6/'Scope 3 Ratios'!$B$5),0)</f>
        <v>377.2368</v>
      </c>
      <c r="AG621" s="60">
        <f>J621*IF(I621="SSD",'Scope 3 Ratios'!$B$9,'Scope 3 Ratios'!$B$8)</f>
        <v>0</v>
      </c>
      <c r="AH621" s="60">
        <f>IF(K621&lt;&gt;"N/A",K621*'Scope 3 Ratios'!$B$10,0)</f>
        <v>0</v>
      </c>
      <c r="AI621" s="60">
        <f>(VLOOKUP($E621,'AWS Platforms Ratios'!$A$2:$O$25,3,FALSE)-1)*'Scope 3 Ratios'!$B$7</f>
        <v>100</v>
      </c>
      <c r="AJ621" s="60">
        <f>'Scope 3 Ratios'!$B$2+AF621+AG621+AH621+AI621</f>
        <v>1477.2368</v>
      </c>
      <c r="AK621" s="60">
        <f>AJ621*'Scope 3 Ratios'!$B$4*(C621/D621)</f>
        <v>3.562010031</v>
      </c>
      <c r="AL621" s="61" t="s">
        <v>641</v>
      </c>
    </row>
    <row r="622" ht="15.0" customHeight="1">
      <c r="A622" s="56" t="s">
        <v>948</v>
      </c>
      <c r="B622" s="56" t="s">
        <v>119</v>
      </c>
      <c r="C622" s="56">
        <v>8.0</v>
      </c>
      <c r="D622" s="56">
        <f>VLOOKUP(E622,'AWS Platforms Ratios'!$A$2:$B$25,2,FALSE)</f>
        <v>48</v>
      </c>
      <c r="E622" s="57" t="s">
        <v>225</v>
      </c>
      <c r="F622" s="56">
        <v>32.0</v>
      </c>
      <c r="G622" s="56">
        <v>288.0</v>
      </c>
      <c r="H622" s="57" t="s">
        <v>71</v>
      </c>
      <c r="I622" s="56" t="s">
        <v>72</v>
      </c>
      <c r="J622" s="56">
        <v>0.0</v>
      </c>
      <c r="K622" s="58" t="s">
        <v>73</v>
      </c>
      <c r="L622" s="58" t="s">
        <v>73</v>
      </c>
      <c r="M622" s="58" t="s">
        <v>73</v>
      </c>
      <c r="N622" s="58" t="s">
        <v>73</v>
      </c>
      <c r="O622" s="59">
        <f>($C622/$D622)*VLOOKUP($E622,'AWS Platforms Ratios'!$A$2:$O$25,7,FALSE)</f>
        <v>4.824827586</v>
      </c>
      <c r="P622" s="59">
        <f>($C622/$D622)*VLOOKUP($E622,'AWS Platforms Ratios'!$A$2:$O$25,8,FALSE)</f>
        <v>13.7737931</v>
      </c>
      <c r="Q622" s="59">
        <f>($C622/$D622)*VLOOKUP($E622,'AWS Platforms Ratios'!$A$2:$O$25,9,FALSE)</f>
        <v>28.32965517</v>
      </c>
      <c r="R622" s="59">
        <f>($C622/$D622)*VLOOKUP($E622,'AWS Platforms Ratios'!$A$2:$O$25,10,FALSE)</f>
        <v>38.77689655</v>
      </c>
      <c r="S622" s="59">
        <f>$F622*VLOOKUP($E622,'AWS Platforms Ratios'!$A$2:$O$25,11,FALSE)</f>
        <v>6.4</v>
      </c>
      <c r="T622" s="59">
        <f>$F622*VLOOKUP($E622,'AWS Platforms Ratios'!$A$2:$O$25,12,FALSE)</f>
        <v>9.6</v>
      </c>
      <c r="U622" s="59">
        <f>$F622*VLOOKUP($E622,'AWS Platforms Ratios'!$A$2:$O$25,13,FALSE)</f>
        <v>12.8</v>
      </c>
      <c r="V622" s="59">
        <f>$F622*VLOOKUP($E622,'AWS Platforms Ratios'!$A$2:$O$25,14,FALSE)</f>
        <v>19.2</v>
      </c>
      <c r="W622" s="60">
        <f>IF($K622&lt;&gt;"N/A",$M622*(VLOOKUP($L622,'GPU Specs &amp; Ratios'!$B$2:$I$8,5,FALSE)),0)</f>
        <v>0</v>
      </c>
      <c r="X622" s="60">
        <f>IF($K622&lt;&gt;"N/A",$M622*(VLOOKUP($L622,'GPU Specs &amp; Ratios'!$B$2:$I$8,6,FALSE)),0)</f>
        <v>0</v>
      </c>
      <c r="Y622" s="60">
        <f>IF($K622&lt;&gt;"N/A",$M622*(VLOOKUP($L622,'GPU Specs &amp; Ratios'!$B$2:$I$8,7,FALSE)),0)</f>
        <v>0</v>
      </c>
      <c r="Z622" s="60">
        <f>IF($K622&lt;&gt;"N/A",$M622*(VLOOKUP($L622,'GPU Specs &amp; Ratios'!$B$2:$I$8,8,FALSE)),0)</f>
        <v>0</v>
      </c>
      <c r="AA622" s="60">
        <f>(C622/D622)*VLOOKUP($E622,'AWS Platforms Ratios'!$A$2:$O$25,15,FALSE)</f>
        <v>8</v>
      </c>
      <c r="AB622" s="60">
        <f t="shared" ref="AB622:AE622" si="622">O622+S622+W622+$AA622</f>
        <v>19.22482759</v>
      </c>
      <c r="AC622" s="60">
        <f t="shared" si="622"/>
        <v>31.3737931</v>
      </c>
      <c r="AD622" s="60">
        <f t="shared" si="622"/>
        <v>49.12965517</v>
      </c>
      <c r="AE622" s="60">
        <f t="shared" si="622"/>
        <v>65.97689655</v>
      </c>
      <c r="AF622" s="60">
        <f>IF(G622&gt;'Scope 3 Ratios'!$B$5,(G622-'Scope 3 Ratios'!$B$5)*('Scope 3 Ratios'!$B$6/'Scope 3 Ratios'!$B$5),0)</f>
        <v>377.2368</v>
      </c>
      <c r="AG622" s="60">
        <f>J622*IF(I622="SSD",'Scope 3 Ratios'!$B$9,'Scope 3 Ratios'!$B$8)</f>
        <v>0</v>
      </c>
      <c r="AH622" s="60">
        <f>IF(K622&lt;&gt;"N/A",K622*'Scope 3 Ratios'!$B$10,0)</f>
        <v>0</v>
      </c>
      <c r="AI622" s="60">
        <f>(VLOOKUP($E622,'AWS Platforms Ratios'!$A$2:$O$25,3,FALSE)-1)*'Scope 3 Ratios'!$B$7</f>
        <v>100</v>
      </c>
      <c r="AJ622" s="60">
        <f>'Scope 3 Ratios'!$B$2+AF622+AG622+AH622+AI622</f>
        <v>1477.2368</v>
      </c>
      <c r="AK622" s="60">
        <f>AJ622*'Scope 3 Ratios'!$B$4*(C622/D622)</f>
        <v>7.124020062</v>
      </c>
      <c r="AL622" s="61" t="s">
        <v>641</v>
      </c>
    </row>
  </sheetData>
  <printOptions/>
  <pageMargins bottom="0.75" footer="0.0" header="0.0" left="0.7" right="0.7" top="0.75"/>
  <pageSetup paperSize="8" orientation="landscape"/>
  <colBreaks count="2" manualBreakCount="2">
    <brk man="1"/>
    <brk id="37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6.0" ySplit="2.0" topLeftCell="G3" activePane="bottomRight" state="frozen"/>
      <selection activeCell="G1" sqref="G1" pane="topRight"/>
      <selection activeCell="A3" sqref="A3" pane="bottomLeft"/>
      <selection activeCell="G3" sqref="G3" pane="bottomRight"/>
    </sheetView>
  </sheetViews>
  <sheetFormatPr customHeight="1" defaultColWidth="12.63" defaultRowHeight="15.0"/>
  <cols>
    <col customWidth="1" min="1" max="1" width="17.13"/>
    <col customWidth="1" min="2" max="2" width="18.0"/>
    <col customWidth="1" min="3" max="3" width="10.5"/>
    <col customWidth="1" min="4" max="4" width="9.5"/>
    <col customWidth="1" min="5" max="6" width="7.75"/>
    <col customWidth="1" min="7" max="7" width="7.0"/>
    <col customWidth="1" min="8" max="8" width="6.63"/>
    <col customWidth="1" min="9" max="9" width="17.5"/>
    <col customWidth="1" min="10" max="10" width="6.25"/>
    <col customWidth="1" min="11" max="12" width="6.88"/>
    <col customWidth="1" min="13" max="13" width="8.5"/>
    <col customWidth="1" min="14" max="14" width="9.0"/>
    <col customWidth="1" min="15" max="15" width="7.38"/>
    <col customWidth="1" min="16" max="16" width="7.88"/>
    <col customWidth="1" min="17" max="17" width="10.0"/>
    <col customWidth="1" min="18" max="60" width="7.75"/>
  </cols>
  <sheetData>
    <row r="1">
      <c r="A1" s="77" t="s">
        <v>949</v>
      </c>
      <c r="B1" s="78"/>
      <c r="C1" s="78"/>
      <c r="D1" s="78"/>
      <c r="E1" s="78"/>
      <c r="F1" s="78"/>
      <c r="G1" s="78"/>
      <c r="H1" s="79" t="s">
        <v>950</v>
      </c>
      <c r="I1" s="79"/>
      <c r="J1" s="79"/>
      <c r="K1" s="79"/>
      <c r="L1" s="79"/>
      <c r="M1" s="79"/>
      <c r="N1" s="79"/>
      <c r="O1" s="79"/>
      <c r="P1" s="79"/>
      <c r="Q1" s="80" t="s">
        <v>951</v>
      </c>
      <c r="R1" s="81" t="s">
        <v>952</v>
      </c>
      <c r="S1" s="81"/>
      <c r="T1" s="81"/>
      <c r="U1" s="81"/>
      <c r="V1" s="81"/>
      <c r="W1" s="81"/>
      <c r="X1" s="81"/>
      <c r="Y1" s="81"/>
      <c r="Z1" s="81"/>
      <c r="AA1" s="81"/>
      <c r="AB1" s="81"/>
      <c r="AC1" s="81"/>
      <c r="AD1" s="81"/>
      <c r="AE1" s="81"/>
      <c r="AF1" s="81"/>
      <c r="AG1" s="82" t="s">
        <v>953</v>
      </c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4" t="s">
        <v>954</v>
      </c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4"/>
      <c r="BG1" s="84"/>
      <c r="BH1" s="84"/>
    </row>
    <row r="2">
      <c r="A2" s="85" t="s">
        <v>955</v>
      </c>
      <c r="B2" s="85" t="s">
        <v>956</v>
      </c>
      <c r="C2" s="85" t="s">
        <v>957</v>
      </c>
      <c r="D2" s="85" t="s">
        <v>958</v>
      </c>
      <c r="E2" s="85" t="s">
        <v>959</v>
      </c>
      <c r="F2" s="85" t="s">
        <v>960</v>
      </c>
      <c r="G2" s="85" t="s">
        <v>961</v>
      </c>
      <c r="H2" s="86" t="s">
        <v>962</v>
      </c>
      <c r="I2" s="86" t="s">
        <v>963</v>
      </c>
      <c r="J2" s="86" t="s">
        <v>964</v>
      </c>
      <c r="K2" s="86" t="s">
        <v>965</v>
      </c>
      <c r="L2" s="86" t="s">
        <v>966</v>
      </c>
      <c r="M2" s="86" t="s">
        <v>967</v>
      </c>
      <c r="N2" s="86" t="s">
        <v>968</v>
      </c>
      <c r="O2" s="86" t="s">
        <v>969</v>
      </c>
      <c r="P2" s="86" t="s">
        <v>970</v>
      </c>
      <c r="Q2" s="87" t="s">
        <v>971</v>
      </c>
      <c r="R2" s="88" t="s">
        <v>972</v>
      </c>
      <c r="S2" s="88" t="s">
        <v>973</v>
      </c>
      <c r="T2" s="88" t="s">
        <v>974</v>
      </c>
      <c r="U2" s="88" t="s">
        <v>975</v>
      </c>
      <c r="V2" s="88" t="s">
        <v>976</v>
      </c>
      <c r="W2" s="88" t="s">
        <v>977</v>
      </c>
      <c r="X2" s="88" t="s">
        <v>978</v>
      </c>
      <c r="Y2" s="88" t="s">
        <v>979</v>
      </c>
      <c r="Z2" s="88" t="s">
        <v>980</v>
      </c>
      <c r="AA2" s="88" t="s">
        <v>981</v>
      </c>
      <c r="AB2" s="88" t="s">
        <v>982</v>
      </c>
      <c r="AC2" s="88" t="s">
        <v>983</v>
      </c>
      <c r="AD2" s="88" t="s">
        <v>984</v>
      </c>
      <c r="AE2" s="88" t="s">
        <v>985</v>
      </c>
      <c r="AF2" s="89" t="s">
        <v>986</v>
      </c>
      <c r="AG2" s="90" t="s">
        <v>987</v>
      </c>
      <c r="AH2" s="90" t="s">
        <v>988</v>
      </c>
      <c r="AI2" s="90" t="s">
        <v>989</v>
      </c>
      <c r="AJ2" s="90" t="s">
        <v>990</v>
      </c>
      <c r="AK2" s="90" t="s">
        <v>991</v>
      </c>
      <c r="AL2" s="90" t="s">
        <v>992</v>
      </c>
      <c r="AM2" s="90" t="s">
        <v>993</v>
      </c>
      <c r="AN2" s="90" t="s">
        <v>994</v>
      </c>
      <c r="AO2" s="90" t="s">
        <v>995</v>
      </c>
      <c r="AP2" s="90" t="s">
        <v>996</v>
      </c>
      <c r="AQ2" s="90" t="s">
        <v>997</v>
      </c>
      <c r="AR2" s="90" t="s">
        <v>998</v>
      </c>
      <c r="AS2" s="90" t="s">
        <v>999</v>
      </c>
      <c r="AT2" s="90" t="s">
        <v>1000</v>
      </c>
      <c r="AU2" s="91" t="s">
        <v>1001</v>
      </c>
      <c r="AV2" s="91" t="s">
        <v>1002</v>
      </c>
      <c r="AW2" s="91" t="s">
        <v>1003</v>
      </c>
      <c r="AX2" s="91" t="s">
        <v>1004</v>
      </c>
      <c r="AY2" s="91" t="s">
        <v>1005</v>
      </c>
      <c r="AZ2" s="91" t="s">
        <v>1006</v>
      </c>
      <c r="BA2" s="91" t="s">
        <v>1007</v>
      </c>
      <c r="BB2" s="91" t="s">
        <v>1008</v>
      </c>
      <c r="BC2" s="91" t="s">
        <v>1009</v>
      </c>
      <c r="BD2" s="91" t="s">
        <v>1010</v>
      </c>
      <c r="BE2" s="91" t="s">
        <v>1011</v>
      </c>
      <c r="BF2" s="91" t="s">
        <v>1012</v>
      </c>
      <c r="BG2" s="91" t="s">
        <v>1013</v>
      </c>
      <c r="BH2" s="91" t="s">
        <v>1014</v>
      </c>
    </row>
    <row r="3">
      <c r="A3" s="56" t="s">
        <v>1015</v>
      </c>
      <c r="B3" s="56" t="s">
        <v>185</v>
      </c>
      <c r="C3" s="56" t="s">
        <v>1016</v>
      </c>
      <c r="D3" s="92">
        <v>44287.0</v>
      </c>
      <c r="E3" s="56">
        <v>72.0</v>
      </c>
      <c r="F3" s="56">
        <v>192.0</v>
      </c>
      <c r="G3" s="56">
        <v>2.0</v>
      </c>
      <c r="H3" s="56" t="s">
        <v>1017</v>
      </c>
      <c r="I3" s="56" t="s">
        <v>120</v>
      </c>
      <c r="J3" s="56">
        <v>2017.0</v>
      </c>
      <c r="K3" s="56">
        <v>18.0</v>
      </c>
      <c r="L3" s="93">
        <v>36.0</v>
      </c>
      <c r="M3" s="93">
        <v>3.0</v>
      </c>
      <c r="N3" s="93" t="s">
        <v>1018</v>
      </c>
      <c r="O3" s="93" t="s">
        <v>1019</v>
      </c>
      <c r="P3" s="56">
        <v>240.0</v>
      </c>
      <c r="Q3" s="56">
        <v>60.0</v>
      </c>
      <c r="R3" s="94">
        <v>50.66</v>
      </c>
      <c r="S3" s="94">
        <v>134.85</v>
      </c>
      <c r="T3" s="94">
        <v>174.04</v>
      </c>
      <c r="U3" s="94">
        <v>212.08</v>
      </c>
      <c r="V3" s="94">
        <v>249.48</v>
      </c>
      <c r="W3" s="94">
        <v>293.21</v>
      </c>
      <c r="X3" s="94">
        <v>329.88</v>
      </c>
      <c r="Y3" s="94">
        <v>357.26</v>
      </c>
      <c r="Z3" s="94">
        <v>382.02</v>
      </c>
      <c r="AA3" s="94">
        <v>403.87</v>
      </c>
      <c r="AB3" s="94">
        <v>412.67</v>
      </c>
      <c r="AC3" s="94">
        <v>474.58</v>
      </c>
      <c r="AD3" s="94">
        <v>352.1</v>
      </c>
      <c r="AE3" s="94">
        <v>455.37</v>
      </c>
      <c r="AF3" s="95">
        <f t="shared" ref="AF3:AF23" si="1">AVERAGE(AB3:AE3)</f>
        <v>423.68</v>
      </c>
      <c r="AG3" s="94">
        <v>37.34</v>
      </c>
      <c r="AH3" s="94">
        <v>67.45</v>
      </c>
      <c r="AI3" s="94">
        <v>68.88</v>
      </c>
      <c r="AJ3" s="94">
        <v>69.38</v>
      </c>
      <c r="AK3" s="94">
        <v>70.44</v>
      </c>
      <c r="AL3" s="94">
        <v>74.93</v>
      </c>
      <c r="AM3" s="94">
        <v>78.26</v>
      </c>
      <c r="AN3" s="94">
        <v>80.25</v>
      </c>
      <c r="AO3" s="94">
        <v>81.73</v>
      </c>
      <c r="AP3" s="94">
        <v>83.25</v>
      </c>
      <c r="AQ3" s="94">
        <v>84.55</v>
      </c>
      <c r="AR3" s="94">
        <v>84.04</v>
      </c>
      <c r="AS3" s="94">
        <v>152.73</v>
      </c>
      <c r="AT3" s="94">
        <v>169.43</v>
      </c>
      <c r="AU3" s="94">
        <v>43.0</v>
      </c>
      <c r="AV3" s="94">
        <v>52.52</v>
      </c>
      <c r="AW3" s="94">
        <v>57.35</v>
      </c>
      <c r="AX3" s="94">
        <v>61.83</v>
      </c>
      <c r="AY3" s="94">
        <v>66.2</v>
      </c>
      <c r="AZ3" s="94">
        <v>70.4</v>
      </c>
      <c r="BA3" s="94">
        <v>73.88</v>
      </c>
      <c r="BB3" s="94">
        <v>76.73</v>
      </c>
      <c r="BC3" s="94">
        <v>79.63</v>
      </c>
      <c r="BD3" s="94">
        <v>81.65</v>
      </c>
      <c r="BE3" s="94">
        <v>82.77</v>
      </c>
      <c r="BF3" s="94">
        <v>87.67</v>
      </c>
      <c r="BG3" s="94">
        <v>78.73</v>
      </c>
      <c r="BH3" s="94">
        <v>81.9</v>
      </c>
    </row>
    <row r="4">
      <c r="A4" s="56" t="s">
        <v>1015</v>
      </c>
      <c r="B4" s="56" t="s">
        <v>1020</v>
      </c>
      <c r="C4" s="56" t="s">
        <v>1021</v>
      </c>
      <c r="D4" s="92">
        <v>44228.0</v>
      </c>
      <c r="E4" s="56">
        <v>96.0</v>
      </c>
      <c r="F4" s="56">
        <v>192.0</v>
      </c>
      <c r="G4" s="56">
        <v>2.0</v>
      </c>
      <c r="H4" s="56" t="s">
        <v>1017</v>
      </c>
      <c r="I4" s="56" t="s">
        <v>1022</v>
      </c>
      <c r="J4" s="56">
        <v>2019.0</v>
      </c>
      <c r="K4" s="56">
        <v>24.0</v>
      </c>
      <c r="L4" s="93">
        <v>48.0</v>
      </c>
      <c r="M4" s="93">
        <v>3.0</v>
      </c>
      <c r="N4" s="93" t="s">
        <v>1023</v>
      </c>
      <c r="O4" s="93" t="s">
        <v>1024</v>
      </c>
      <c r="P4" s="56">
        <v>240.0</v>
      </c>
      <c r="Q4" s="56">
        <v>10.0</v>
      </c>
      <c r="R4" s="56">
        <v>113.0</v>
      </c>
      <c r="S4" s="56">
        <v>146.0</v>
      </c>
      <c r="T4" s="56">
        <v>194.0</v>
      </c>
      <c r="U4" s="56">
        <v>225.0</v>
      </c>
      <c r="V4" s="56">
        <v>244.0</v>
      </c>
      <c r="W4" s="56">
        <v>263.0</v>
      </c>
      <c r="X4" s="56">
        <v>295.0</v>
      </c>
      <c r="Y4" s="56">
        <v>295.0</v>
      </c>
      <c r="Z4" s="56">
        <v>311.0</v>
      </c>
      <c r="AA4" s="56">
        <v>333.0</v>
      </c>
      <c r="AB4" s="56">
        <v>387.0</v>
      </c>
      <c r="AC4" s="56">
        <v>509.0</v>
      </c>
      <c r="AD4" s="56">
        <v>358.0</v>
      </c>
      <c r="AE4" s="56">
        <v>371.0</v>
      </c>
      <c r="AF4" s="95">
        <f t="shared" si="1"/>
        <v>406.25</v>
      </c>
      <c r="AG4" s="56">
        <v>74.0</v>
      </c>
      <c r="AH4" s="56">
        <v>75.0</v>
      </c>
      <c r="AI4" s="56">
        <v>77.0</v>
      </c>
      <c r="AJ4" s="56">
        <v>77.0</v>
      </c>
      <c r="AK4" s="56">
        <v>75.0</v>
      </c>
      <c r="AL4" s="56">
        <v>75.0</v>
      </c>
      <c r="AM4" s="56">
        <v>80.0</v>
      </c>
      <c r="AN4" s="56">
        <v>76.0</v>
      </c>
      <c r="AO4" s="56">
        <v>79.0</v>
      </c>
      <c r="AP4" s="56">
        <v>81.0</v>
      </c>
      <c r="AQ4" s="56">
        <v>93.0</v>
      </c>
      <c r="AR4" s="56">
        <v>91.0</v>
      </c>
      <c r="AS4" s="56">
        <v>223.0</v>
      </c>
      <c r="AT4" s="56">
        <v>174.0</v>
      </c>
      <c r="AU4" s="56">
        <v>43.0</v>
      </c>
      <c r="AV4" s="56">
        <v>44.0</v>
      </c>
      <c r="AW4" s="56">
        <v>47.0</v>
      </c>
      <c r="AX4" s="56">
        <v>49.0</v>
      </c>
      <c r="AY4" s="56">
        <v>51.0</v>
      </c>
      <c r="AZ4" s="56">
        <v>54.0</v>
      </c>
      <c r="BA4" s="56">
        <v>56.0</v>
      </c>
      <c r="BB4" s="56">
        <v>57.0</v>
      </c>
      <c r="BC4" s="56">
        <v>58.0</v>
      </c>
      <c r="BD4" s="56">
        <v>59.0</v>
      </c>
      <c r="BE4" s="56">
        <v>60.0</v>
      </c>
      <c r="BF4" s="56">
        <v>68.0</v>
      </c>
      <c r="BG4" s="56">
        <v>59.0</v>
      </c>
      <c r="BH4" s="56">
        <v>63.0</v>
      </c>
    </row>
    <row r="5">
      <c r="A5" s="56" t="s">
        <v>1015</v>
      </c>
      <c r="B5" s="56" t="s">
        <v>18</v>
      </c>
      <c r="C5" s="56" t="s">
        <v>1025</v>
      </c>
      <c r="D5" s="92">
        <v>44348.0</v>
      </c>
      <c r="E5" s="56">
        <v>96.0</v>
      </c>
      <c r="F5" s="56">
        <v>192.0</v>
      </c>
      <c r="G5" s="56">
        <v>2.0</v>
      </c>
      <c r="H5" s="56" t="s">
        <v>1017</v>
      </c>
      <c r="I5" s="56" t="s">
        <v>129</v>
      </c>
      <c r="J5" s="56">
        <v>2019.0</v>
      </c>
      <c r="K5" s="56">
        <v>24.0</v>
      </c>
      <c r="L5" s="93">
        <v>48.0</v>
      </c>
      <c r="M5" s="93">
        <v>3.0</v>
      </c>
      <c r="N5" s="93" t="s">
        <v>1023</v>
      </c>
      <c r="O5" s="93" t="s">
        <v>1024</v>
      </c>
      <c r="P5" s="56">
        <v>240.0</v>
      </c>
      <c r="Q5" s="56">
        <v>60.0</v>
      </c>
      <c r="R5" s="94">
        <v>57.93</v>
      </c>
      <c r="S5" s="94">
        <v>175.53</v>
      </c>
      <c r="T5" s="94">
        <v>240.83</v>
      </c>
      <c r="U5" s="94">
        <v>299.4</v>
      </c>
      <c r="V5" s="94">
        <v>375.49</v>
      </c>
      <c r="W5" s="94">
        <v>448.31</v>
      </c>
      <c r="X5" s="94">
        <v>520.45</v>
      </c>
      <c r="Y5" s="94">
        <v>562.42</v>
      </c>
      <c r="Z5" s="94">
        <v>589.55</v>
      </c>
      <c r="AA5" s="94">
        <v>607.21</v>
      </c>
      <c r="AB5" s="94">
        <v>617.36</v>
      </c>
      <c r="AC5" s="94">
        <v>617.92</v>
      </c>
      <c r="AD5" s="94">
        <v>553.06</v>
      </c>
      <c r="AE5" s="94">
        <v>718.68</v>
      </c>
      <c r="AF5" s="95">
        <f t="shared" si="1"/>
        <v>626.755</v>
      </c>
      <c r="AG5" s="94">
        <v>36.55</v>
      </c>
      <c r="AH5" s="94">
        <v>66.26</v>
      </c>
      <c r="AI5" s="94">
        <v>69.56</v>
      </c>
      <c r="AJ5" s="94">
        <v>69.04</v>
      </c>
      <c r="AK5" s="94">
        <v>72.3</v>
      </c>
      <c r="AL5" s="94">
        <v>76.96</v>
      </c>
      <c r="AM5" s="94">
        <v>81.28</v>
      </c>
      <c r="AN5" s="94">
        <v>83.09</v>
      </c>
      <c r="AO5" s="94">
        <v>85.51</v>
      </c>
      <c r="AP5" s="94">
        <v>88.02</v>
      </c>
      <c r="AQ5" s="94">
        <v>89.57</v>
      </c>
      <c r="AR5" s="94">
        <v>89.14</v>
      </c>
      <c r="AS5" s="94">
        <v>209.65</v>
      </c>
      <c r="AT5" s="94">
        <v>210.48</v>
      </c>
      <c r="AU5" s="94">
        <v>47.95</v>
      </c>
      <c r="AV5" s="94">
        <v>57.05</v>
      </c>
      <c r="AW5" s="94">
        <v>61.8</v>
      </c>
      <c r="AX5" s="94">
        <v>67.63</v>
      </c>
      <c r="AY5" s="94">
        <v>74.38</v>
      </c>
      <c r="AZ5" s="94">
        <v>78.47</v>
      </c>
      <c r="BA5" s="94">
        <v>85.1</v>
      </c>
      <c r="BB5" s="94">
        <v>86.47</v>
      </c>
      <c r="BC5" s="94">
        <v>86.35</v>
      </c>
      <c r="BD5" s="94">
        <v>85.43</v>
      </c>
      <c r="BE5" s="94">
        <v>86.83</v>
      </c>
      <c r="BF5" s="94">
        <v>86.32</v>
      </c>
      <c r="BG5" s="94">
        <v>81.48</v>
      </c>
      <c r="BH5" s="94">
        <v>86.6</v>
      </c>
    </row>
    <row r="6">
      <c r="A6" s="56" t="s">
        <v>1015</v>
      </c>
      <c r="B6" s="56" t="s">
        <v>1026</v>
      </c>
      <c r="C6" s="56" t="s">
        <v>1016</v>
      </c>
      <c r="D6" s="92">
        <v>44348.0</v>
      </c>
      <c r="E6" s="56">
        <v>96.0</v>
      </c>
      <c r="F6" s="56">
        <v>192.0</v>
      </c>
      <c r="G6" s="56">
        <v>2.0</v>
      </c>
      <c r="H6" s="56" t="s">
        <v>1017</v>
      </c>
      <c r="I6" s="56" t="s">
        <v>1022</v>
      </c>
      <c r="J6" s="56">
        <v>2019.0</v>
      </c>
      <c r="K6" s="56">
        <v>24.0</v>
      </c>
      <c r="L6" s="93">
        <v>48.0</v>
      </c>
      <c r="M6" s="93">
        <v>3.0</v>
      </c>
      <c r="N6" s="93" t="s">
        <v>1023</v>
      </c>
      <c r="O6" s="93" t="s">
        <v>1024</v>
      </c>
      <c r="P6" s="56">
        <v>240.0</v>
      </c>
      <c r="Q6" s="56">
        <v>60.0</v>
      </c>
      <c r="R6" s="94">
        <v>59.46</v>
      </c>
      <c r="S6" s="94">
        <v>174.23</v>
      </c>
      <c r="T6" s="94">
        <v>242.55</v>
      </c>
      <c r="U6" s="94">
        <v>299.39</v>
      </c>
      <c r="V6" s="94">
        <v>372.07</v>
      </c>
      <c r="W6" s="94">
        <v>440.93</v>
      </c>
      <c r="X6" s="94">
        <v>522.17</v>
      </c>
      <c r="Y6" s="94">
        <v>563.97</v>
      </c>
      <c r="Z6" s="94">
        <v>592.22</v>
      </c>
      <c r="AA6" s="94">
        <v>605.54</v>
      </c>
      <c r="AB6" s="94">
        <v>617.36</v>
      </c>
      <c r="AC6" s="94">
        <v>617.93</v>
      </c>
      <c r="AD6" s="94">
        <v>555.41</v>
      </c>
      <c r="AE6" s="94">
        <v>729.21</v>
      </c>
      <c r="AF6" s="95">
        <f t="shared" si="1"/>
        <v>629.9775</v>
      </c>
      <c r="AG6" s="94">
        <v>46.8</v>
      </c>
      <c r="AH6" s="94">
        <v>74.04</v>
      </c>
      <c r="AI6" s="94">
        <v>76.98</v>
      </c>
      <c r="AJ6" s="94">
        <v>75.68</v>
      </c>
      <c r="AK6" s="94">
        <v>77.71</v>
      </c>
      <c r="AL6" s="94">
        <v>81.04</v>
      </c>
      <c r="AM6" s="94">
        <v>86.64</v>
      </c>
      <c r="AN6" s="94">
        <v>88.44</v>
      </c>
      <c r="AO6" s="94">
        <v>90.65</v>
      </c>
      <c r="AP6" s="94">
        <v>92.45</v>
      </c>
      <c r="AQ6" s="94">
        <v>94.26</v>
      </c>
      <c r="AR6" s="94">
        <v>93.03</v>
      </c>
      <c r="AS6" s="94">
        <v>213.71</v>
      </c>
      <c r="AT6" s="94">
        <v>210.02</v>
      </c>
      <c r="AU6" s="94">
        <v>51.3</v>
      </c>
      <c r="AV6" s="94">
        <v>57.23</v>
      </c>
      <c r="AW6" s="94">
        <v>63.43</v>
      </c>
      <c r="AX6" s="94">
        <v>67.75</v>
      </c>
      <c r="AY6" s="94">
        <v>73.72</v>
      </c>
      <c r="AZ6" s="94">
        <v>78.82</v>
      </c>
      <c r="BA6" s="94">
        <v>83.48</v>
      </c>
      <c r="BB6" s="94">
        <v>86.73</v>
      </c>
      <c r="BC6" s="94">
        <v>86.35</v>
      </c>
      <c r="BD6" s="94">
        <v>86.77</v>
      </c>
      <c r="BE6" s="94">
        <v>87.05</v>
      </c>
      <c r="BF6" s="94">
        <v>87.15</v>
      </c>
      <c r="BG6" s="94">
        <v>83.83</v>
      </c>
      <c r="BH6" s="94">
        <v>86.37</v>
      </c>
    </row>
    <row r="7">
      <c r="A7" s="56" t="s">
        <v>1015</v>
      </c>
      <c r="B7" s="56" t="s">
        <v>1027</v>
      </c>
      <c r="C7" s="56" t="s">
        <v>1021</v>
      </c>
      <c r="D7" s="92">
        <v>44228.0</v>
      </c>
      <c r="E7" s="56">
        <v>96.0</v>
      </c>
      <c r="F7" s="56">
        <v>768.0</v>
      </c>
      <c r="G7" s="56">
        <v>2.0</v>
      </c>
      <c r="H7" s="56" t="s">
        <v>1017</v>
      </c>
      <c r="I7" s="56" t="s">
        <v>1028</v>
      </c>
      <c r="J7" s="56">
        <v>2017.0</v>
      </c>
      <c r="K7" s="56">
        <v>24.0</v>
      </c>
      <c r="L7" s="93">
        <v>48.0</v>
      </c>
      <c r="M7" s="93" t="s">
        <v>1029</v>
      </c>
      <c r="N7" s="93" t="s">
        <v>1030</v>
      </c>
      <c r="O7" s="93">
        <v>33.0</v>
      </c>
      <c r="P7" s="56">
        <v>240.0</v>
      </c>
      <c r="Q7" s="56">
        <v>10.0</v>
      </c>
      <c r="R7" s="94">
        <v>116.0</v>
      </c>
      <c r="S7" s="94">
        <v>148.0</v>
      </c>
      <c r="T7" s="94">
        <v>188.0</v>
      </c>
      <c r="U7" s="94">
        <v>205.0</v>
      </c>
      <c r="V7" s="94">
        <v>222.0</v>
      </c>
      <c r="W7" s="94">
        <v>258.0</v>
      </c>
      <c r="X7" s="94">
        <v>240.0</v>
      </c>
      <c r="Y7" s="94">
        <v>277.0</v>
      </c>
      <c r="Z7" s="94">
        <v>284.0</v>
      </c>
      <c r="AA7" s="94">
        <v>287.0</v>
      </c>
      <c r="AB7" s="94">
        <v>346.0</v>
      </c>
      <c r="AC7" s="94">
        <v>395.0</v>
      </c>
      <c r="AD7" s="94">
        <v>316.0</v>
      </c>
      <c r="AE7" s="94">
        <v>348.0</v>
      </c>
      <c r="AF7" s="95">
        <f t="shared" si="1"/>
        <v>351.25</v>
      </c>
      <c r="AG7" s="94">
        <v>187.0</v>
      </c>
      <c r="AH7" s="94">
        <v>187.0</v>
      </c>
      <c r="AI7" s="94">
        <v>191.0</v>
      </c>
      <c r="AJ7" s="94">
        <v>194.0</v>
      </c>
      <c r="AK7" s="94">
        <v>199.0</v>
      </c>
      <c r="AL7" s="94">
        <v>204.0</v>
      </c>
      <c r="AM7" s="94">
        <v>192.0</v>
      </c>
      <c r="AN7" s="94">
        <v>199.0</v>
      </c>
      <c r="AO7" s="94">
        <v>201.0</v>
      </c>
      <c r="AP7" s="94">
        <v>195.0</v>
      </c>
      <c r="AQ7" s="94">
        <v>232.0</v>
      </c>
      <c r="AR7" s="94">
        <v>230.0</v>
      </c>
      <c r="AS7" s="94">
        <v>470.0</v>
      </c>
      <c r="AT7" s="94">
        <v>414.0</v>
      </c>
      <c r="AU7" s="94">
        <v>44.0</v>
      </c>
      <c r="AV7" s="94">
        <v>46.0</v>
      </c>
      <c r="AW7" s="94">
        <v>49.0</v>
      </c>
      <c r="AX7" s="94">
        <v>50.0</v>
      </c>
      <c r="AY7" s="94">
        <v>53.0</v>
      </c>
      <c r="AZ7" s="94">
        <v>54.0</v>
      </c>
      <c r="BA7" s="94">
        <v>57.0</v>
      </c>
      <c r="BB7" s="94">
        <v>58.0</v>
      </c>
      <c r="BC7" s="94">
        <v>59.0</v>
      </c>
      <c r="BD7" s="94">
        <v>61.0</v>
      </c>
      <c r="BE7" s="94">
        <v>62.0</v>
      </c>
      <c r="BF7" s="94">
        <v>66.0</v>
      </c>
      <c r="BG7" s="94">
        <v>59.0</v>
      </c>
      <c r="BH7" s="94">
        <v>62.0</v>
      </c>
    </row>
    <row r="8">
      <c r="A8" s="56" t="s">
        <v>1015</v>
      </c>
      <c r="B8" s="56" t="s">
        <v>565</v>
      </c>
      <c r="C8" s="56" t="s">
        <v>1021</v>
      </c>
      <c r="D8" s="92">
        <v>44348.0</v>
      </c>
      <c r="E8" s="56">
        <v>96.0</v>
      </c>
      <c r="F8" s="56">
        <v>768.0</v>
      </c>
      <c r="G8" s="56">
        <v>2.0</v>
      </c>
      <c r="H8" s="56" t="s">
        <v>1017</v>
      </c>
      <c r="I8" s="56" t="s">
        <v>237</v>
      </c>
      <c r="J8" s="56">
        <v>2019.0</v>
      </c>
      <c r="K8" s="56">
        <v>24.0</v>
      </c>
      <c r="L8" s="93">
        <v>48.0</v>
      </c>
      <c r="M8" s="93" t="s">
        <v>1029</v>
      </c>
      <c r="N8" s="93" t="s">
        <v>1030</v>
      </c>
      <c r="O8" s="93" t="s">
        <v>1024</v>
      </c>
      <c r="P8" s="56">
        <v>210.0</v>
      </c>
      <c r="Q8" s="56">
        <v>60.0</v>
      </c>
      <c r="R8" s="94">
        <v>54.71</v>
      </c>
      <c r="S8" s="94">
        <v>137.92</v>
      </c>
      <c r="T8" s="94">
        <v>178.35</v>
      </c>
      <c r="U8" s="94">
        <v>223.88</v>
      </c>
      <c r="V8" s="94">
        <v>272.12</v>
      </c>
      <c r="W8" s="94">
        <v>306.93</v>
      </c>
      <c r="X8" s="94">
        <v>343.82</v>
      </c>
      <c r="Y8" s="94">
        <v>375.16</v>
      </c>
      <c r="Z8" s="94">
        <v>400.71</v>
      </c>
      <c r="AA8" s="94">
        <v>425.65</v>
      </c>
      <c r="AB8" s="94">
        <v>440.09</v>
      </c>
      <c r="AC8" s="94">
        <v>427.76</v>
      </c>
      <c r="AD8" s="94">
        <v>401.51</v>
      </c>
      <c r="AE8" s="94">
        <v>512.17</v>
      </c>
      <c r="AF8" s="95">
        <f t="shared" si="1"/>
        <v>445.3825</v>
      </c>
      <c r="AG8" s="94">
        <v>119.43</v>
      </c>
      <c r="AH8" s="94">
        <v>197.66</v>
      </c>
      <c r="AI8" s="94">
        <v>211.05</v>
      </c>
      <c r="AJ8" s="94">
        <v>217.25</v>
      </c>
      <c r="AK8" s="94">
        <v>227.92</v>
      </c>
      <c r="AL8" s="94">
        <v>235.08</v>
      </c>
      <c r="AM8" s="94">
        <v>248.06</v>
      </c>
      <c r="AN8" s="94">
        <v>258.05</v>
      </c>
      <c r="AO8" s="94">
        <v>264.84</v>
      </c>
      <c r="AP8" s="94">
        <v>271.77</v>
      </c>
      <c r="AQ8" s="94">
        <v>276.94</v>
      </c>
      <c r="AR8" s="94">
        <v>276.18</v>
      </c>
      <c r="AS8" s="94">
        <v>509.9</v>
      </c>
      <c r="AT8" s="94">
        <v>509.64</v>
      </c>
      <c r="AU8" s="94">
        <v>40.68</v>
      </c>
      <c r="AV8" s="94">
        <v>47.05</v>
      </c>
      <c r="AW8" s="94">
        <v>51.88</v>
      </c>
      <c r="AX8" s="94">
        <v>56.58</v>
      </c>
      <c r="AY8" s="94">
        <v>60.7</v>
      </c>
      <c r="AZ8" s="94">
        <v>64.45</v>
      </c>
      <c r="BA8" s="94">
        <v>67.32</v>
      </c>
      <c r="BB8" s="94">
        <v>68.62</v>
      </c>
      <c r="BC8" s="94">
        <v>70.95</v>
      </c>
      <c r="BD8" s="94">
        <v>72.65</v>
      </c>
      <c r="BE8" s="94">
        <v>72.9</v>
      </c>
      <c r="BF8" s="94">
        <v>72.08</v>
      </c>
      <c r="BG8" s="94">
        <v>70.45</v>
      </c>
      <c r="BH8" s="94">
        <v>74.77</v>
      </c>
    </row>
    <row r="9">
      <c r="A9" s="56" t="s">
        <v>1015</v>
      </c>
      <c r="B9" s="56" t="s">
        <v>1031</v>
      </c>
      <c r="C9" s="56" t="s">
        <v>1021</v>
      </c>
      <c r="D9" s="92">
        <v>44228.0</v>
      </c>
      <c r="E9" s="56">
        <v>96.0</v>
      </c>
      <c r="F9" s="56">
        <v>384.0</v>
      </c>
      <c r="G9" s="56">
        <v>2.0</v>
      </c>
      <c r="H9" s="56" t="s">
        <v>1017</v>
      </c>
      <c r="I9" s="56" t="s">
        <v>1032</v>
      </c>
      <c r="J9" s="56">
        <v>2019.0</v>
      </c>
      <c r="K9" s="56">
        <v>24.0</v>
      </c>
      <c r="L9" s="93">
        <v>48.0</v>
      </c>
      <c r="M9" s="93" t="s">
        <v>1029</v>
      </c>
      <c r="N9" s="93" t="s">
        <v>1030</v>
      </c>
      <c r="O9" s="93" t="s">
        <v>1024</v>
      </c>
      <c r="P9" s="56">
        <v>210.0</v>
      </c>
      <c r="Q9" s="56">
        <v>10.0</v>
      </c>
      <c r="R9" s="94">
        <v>110.0</v>
      </c>
      <c r="S9" s="94">
        <v>127.0</v>
      </c>
      <c r="T9" s="94">
        <v>150.0</v>
      </c>
      <c r="U9" s="94">
        <v>188.0</v>
      </c>
      <c r="V9" s="94">
        <v>214.0</v>
      </c>
      <c r="W9" s="94">
        <v>224.0</v>
      </c>
      <c r="X9" s="94">
        <v>224.0</v>
      </c>
      <c r="Y9" s="94">
        <v>241.0</v>
      </c>
      <c r="Z9" s="94">
        <v>244.0</v>
      </c>
      <c r="AA9" s="94">
        <v>240.0</v>
      </c>
      <c r="AB9" s="94">
        <v>287.0</v>
      </c>
      <c r="AC9" s="94">
        <v>365.0</v>
      </c>
      <c r="AD9" s="94">
        <v>297.0</v>
      </c>
      <c r="AE9" s="94">
        <v>322.0</v>
      </c>
      <c r="AF9" s="95">
        <f t="shared" si="1"/>
        <v>317.75</v>
      </c>
      <c r="AG9" s="94">
        <v>93.0</v>
      </c>
      <c r="AH9" s="94">
        <v>94.0</v>
      </c>
      <c r="AI9" s="94">
        <v>95.0</v>
      </c>
      <c r="AJ9" s="94">
        <v>98.0</v>
      </c>
      <c r="AK9" s="94">
        <v>101.0</v>
      </c>
      <c r="AL9" s="94">
        <v>100.0</v>
      </c>
      <c r="AM9" s="94">
        <v>95.0</v>
      </c>
      <c r="AN9" s="94">
        <v>99.0</v>
      </c>
      <c r="AO9" s="94">
        <v>98.0</v>
      </c>
      <c r="AP9" s="94">
        <v>95.0</v>
      </c>
      <c r="AQ9" s="94">
        <v>111.0</v>
      </c>
      <c r="AR9" s="94">
        <v>115.0</v>
      </c>
      <c r="AS9" s="94">
        <v>301.0</v>
      </c>
      <c r="AT9" s="94">
        <v>264.0</v>
      </c>
      <c r="AU9" s="94">
        <v>40.0</v>
      </c>
      <c r="AV9" s="94">
        <v>40.0</v>
      </c>
      <c r="AW9" s="94">
        <v>41.0</v>
      </c>
      <c r="AX9" s="94">
        <v>42.0</v>
      </c>
      <c r="AY9" s="94">
        <v>43.0</v>
      </c>
      <c r="AZ9" s="94">
        <v>44.0</v>
      </c>
      <c r="BA9" s="94">
        <v>46.0</v>
      </c>
      <c r="BB9" s="94">
        <v>48.0</v>
      </c>
      <c r="BC9" s="94">
        <v>49.0</v>
      </c>
      <c r="BD9" s="94">
        <v>49.0</v>
      </c>
      <c r="BE9" s="94">
        <v>50.0</v>
      </c>
      <c r="BF9" s="94">
        <v>55.0</v>
      </c>
      <c r="BG9" s="94">
        <v>51.0</v>
      </c>
      <c r="BH9" s="94">
        <v>53.0</v>
      </c>
    </row>
    <row r="10">
      <c r="A10" s="56" t="s">
        <v>1015</v>
      </c>
      <c r="B10" s="56" t="s">
        <v>420</v>
      </c>
      <c r="C10" s="56" t="s">
        <v>1016</v>
      </c>
      <c r="D10" s="92">
        <v>44348.0</v>
      </c>
      <c r="E10" s="56">
        <v>96.0</v>
      </c>
      <c r="F10" s="56">
        <v>384.0</v>
      </c>
      <c r="G10" s="56">
        <v>2.0</v>
      </c>
      <c r="H10" s="56" t="s">
        <v>1017</v>
      </c>
      <c r="I10" s="56" t="s">
        <v>350</v>
      </c>
      <c r="J10" s="56">
        <v>2017.0</v>
      </c>
      <c r="K10" s="56">
        <v>24.0</v>
      </c>
      <c r="L10" s="93">
        <v>48.0</v>
      </c>
      <c r="M10" s="93" t="s">
        <v>1029</v>
      </c>
      <c r="N10" s="93" t="s">
        <v>1030</v>
      </c>
      <c r="O10" s="93">
        <v>33.0</v>
      </c>
      <c r="P10" s="56">
        <v>240.0</v>
      </c>
      <c r="Q10" s="56">
        <v>60.0</v>
      </c>
      <c r="R10" s="94">
        <v>57.88</v>
      </c>
      <c r="S10" s="94">
        <v>146.63</v>
      </c>
      <c r="T10" s="94">
        <v>193.42</v>
      </c>
      <c r="U10" s="94">
        <v>245.54</v>
      </c>
      <c r="V10" s="94">
        <v>298.2</v>
      </c>
      <c r="W10" s="94">
        <v>343.7</v>
      </c>
      <c r="X10" s="94">
        <v>380.53</v>
      </c>
      <c r="Y10" s="94">
        <v>416.92</v>
      </c>
      <c r="Z10" s="94">
        <v>453.27</v>
      </c>
      <c r="AA10" s="94">
        <v>480.81</v>
      </c>
      <c r="AB10" s="94">
        <v>491.77</v>
      </c>
      <c r="AC10" s="94">
        <v>460.82</v>
      </c>
      <c r="AD10" s="94">
        <v>407.36</v>
      </c>
      <c r="AE10" s="94">
        <v>551.95</v>
      </c>
      <c r="AF10" s="95">
        <f t="shared" si="1"/>
        <v>477.975</v>
      </c>
      <c r="AG10" s="94">
        <v>57.81</v>
      </c>
      <c r="AH10" s="94">
        <v>92.39</v>
      </c>
      <c r="AI10" s="94">
        <v>95.41</v>
      </c>
      <c r="AJ10" s="94">
        <v>98.77</v>
      </c>
      <c r="AK10" s="94">
        <v>103.82</v>
      </c>
      <c r="AL10" s="94">
        <v>111.48</v>
      </c>
      <c r="AM10" s="94">
        <v>116.25</v>
      </c>
      <c r="AN10" s="94">
        <v>120.08</v>
      </c>
      <c r="AO10" s="94">
        <v>125.49</v>
      </c>
      <c r="AP10" s="94">
        <v>129.12</v>
      </c>
      <c r="AQ10" s="94">
        <v>132.04</v>
      </c>
      <c r="AR10" s="94">
        <v>126.71</v>
      </c>
      <c r="AS10" s="94">
        <v>359.59</v>
      </c>
      <c r="AT10" s="94">
        <v>383.81</v>
      </c>
      <c r="AU10" s="94">
        <v>36.23</v>
      </c>
      <c r="AV10" s="94">
        <v>40.87</v>
      </c>
      <c r="AW10" s="94">
        <v>46.25</v>
      </c>
      <c r="AX10" s="94">
        <v>57.0</v>
      </c>
      <c r="AY10" s="94">
        <v>68.12</v>
      </c>
      <c r="AZ10" s="94">
        <v>58.03</v>
      </c>
      <c r="BA10" s="94">
        <v>59.75</v>
      </c>
      <c r="BB10" s="94">
        <v>74.32</v>
      </c>
      <c r="BC10" s="94">
        <v>80.17</v>
      </c>
      <c r="BD10" s="94">
        <v>77.67</v>
      </c>
      <c r="BE10" s="94">
        <v>77.0</v>
      </c>
      <c r="BF10" s="94">
        <v>75.78</v>
      </c>
      <c r="BG10" s="94">
        <v>72.17</v>
      </c>
      <c r="BH10" s="94">
        <v>62.22</v>
      </c>
    </row>
    <row r="11">
      <c r="A11" s="56" t="s">
        <v>1015</v>
      </c>
      <c r="B11" s="56" t="s">
        <v>734</v>
      </c>
      <c r="C11" s="56" t="s">
        <v>1021</v>
      </c>
      <c r="D11" s="92">
        <v>44256.0</v>
      </c>
      <c r="E11" s="56">
        <v>48.0</v>
      </c>
      <c r="F11" s="56">
        <v>384.0</v>
      </c>
      <c r="G11" s="56">
        <v>2.0</v>
      </c>
      <c r="H11" s="56" t="s">
        <v>1017</v>
      </c>
      <c r="I11" s="56" t="s">
        <v>726</v>
      </c>
      <c r="J11" s="56">
        <v>2017.0</v>
      </c>
      <c r="K11" s="56">
        <v>12.0</v>
      </c>
      <c r="L11" s="93">
        <v>24.0</v>
      </c>
      <c r="M11" s="93" t="s">
        <v>1018</v>
      </c>
      <c r="N11" s="93">
        <v>4.0</v>
      </c>
      <c r="O11" s="93" t="s">
        <v>1033</v>
      </c>
      <c r="P11" s="56">
        <v>240.0</v>
      </c>
      <c r="Q11" s="56">
        <v>60.0</v>
      </c>
      <c r="R11" s="56">
        <v>48.0</v>
      </c>
      <c r="S11" s="56">
        <v>148.0</v>
      </c>
      <c r="T11" s="56">
        <v>198.0</v>
      </c>
      <c r="U11" s="56">
        <v>245.0</v>
      </c>
      <c r="V11" s="56">
        <v>305.0</v>
      </c>
      <c r="W11" s="56">
        <v>361.0</v>
      </c>
      <c r="X11" s="56">
        <v>389.0</v>
      </c>
      <c r="Y11" s="56">
        <v>413.0</v>
      </c>
      <c r="Z11" s="56">
        <v>447.0</v>
      </c>
      <c r="AA11" s="56">
        <v>471.0</v>
      </c>
      <c r="AB11" s="56">
        <v>480.0</v>
      </c>
      <c r="AC11" s="56">
        <v>438.0</v>
      </c>
      <c r="AD11" s="56">
        <v>363.0</v>
      </c>
      <c r="AE11" s="56">
        <v>483.0</v>
      </c>
      <c r="AF11" s="95">
        <f t="shared" si="1"/>
        <v>441</v>
      </c>
      <c r="AG11" s="56">
        <v>50.0</v>
      </c>
      <c r="AH11" s="56">
        <v>92.0</v>
      </c>
      <c r="AI11" s="56">
        <v>97.0</v>
      </c>
      <c r="AJ11" s="56">
        <v>98.0</v>
      </c>
      <c r="AK11" s="56">
        <v>101.0</v>
      </c>
      <c r="AL11" s="56">
        <v>104.0</v>
      </c>
      <c r="AM11" s="56">
        <v>105.0</v>
      </c>
      <c r="AN11" s="56">
        <v>106.0</v>
      </c>
      <c r="AO11" s="56">
        <v>108.0</v>
      </c>
      <c r="AP11" s="56">
        <v>109.0</v>
      </c>
      <c r="AQ11" s="56">
        <v>111.0</v>
      </c>
      <c r="AR11" s="56">
        <v>109.0</v>
      </c>
      <c r="AS11" s="56">
        <v>256.0</v>
      </c>
      <c r="AT11" s="56">
        <v>230.0</v>
      </c>
      <c r="AU11" s="56">
        <v>35.0</v>
      </c>
      <c r="AV11" s="56">
        <v>56.0</v>
      </c>
      <c r="AW11" s="56">
        <v>59.0</v>
      </c>
      <c r="AX11" s="56">
        <v>60.0</v>
      </c>
      <c r="AY11" s="56">
        <v>75.0</v>
      </c>
      <c r="AZ11" s="56">
        <v>88.0</v>
      </c>
      <c r="BA11" s="56">
        <v>87.0</v>
      </c>
      <c r="BB11" s="56">
        <v>78.0</v>
      </c>
      <c r="BC11" s="56">
        <v>86.0</v>
      </c>
      <c r="BD11" s="56">
        <v>85.0</v>
      </c>
      <c r="BE11" s="56">
        <v>88.0</v>
      </c>
      <c r="BF11" s="56">
        <v>86.0</v>
      </c>
      <c r="BG11" s="56">
        <v>75.0</v>
      </c>
      <c r="BH11" s="56">
        <v>83.0</v>
      </c>
    </row>
    <row r="12">
      <c r="A12" s="56" t="s">
        <v>1015</v>
      </c>
      <c r="B12" s="56" t="s">
        <v>480</v>
      </c>
      <c r="C12" s="56" t="s">
        <v>1021</v>
      </c>
      <c r="D12" s="92">
        <v>44256.0</v>
      </c>
      <c r="E12" s="56">
        <v>48.0</v>
      </c>
      <c r="F12" s="56">
        <v>192.0</v>
      </c>
      <c r="G12" s="56">
        <v>2.0</v>
      </c>
      <c r="H12" s="56" t="s">
        <v>1017</v>
      </c>
      <c r="I12" s="56" t="s">
        <v>472</v>
      </c>
      <c r="J12" s="56">
        <v>2020.0</v>
      </c>
      <c r="K12" s="56">
        <v>12.0</v>
      </c>
      <c r="L12" s="93">
        <v>24.0</v>
      </c>
      <c r="M12" s="93" t="s">
        <v>1034</v>
      </c>
      <c r="N12" s="93" t="s">
        <v>1035</v>
      </c>
      <c r="O12" s="93">
        <v>26.0</v>
      </c>
      <c r="P12" s="56">
        <v>240.0</v>
      </c>
      <c r="Q12" s="56">
        <v>60.0</v>
      </c>
      <c r="R12" s="56">
        <v>57.0</v>
      </c>
      <c r="S12" s="56">
        <v>147.0</v>
      </c>
      <c r="T12" s="56">
        <v>212.0</v>
      </c>
      <c r="U12" s="56">
        <v>270.0</v>
      </c>
      <c r="V12" s="56">
        <v>331.0</v>
      </c>
      <c r="W12" s="56">
        <v>381.0</v>
      </c>
      <c r="X12" s="56">
        <v>417.0</v>
      </c>
      <c r="Y12" s="56">
        <v>453.0</v>
      </c>
      <c r="Z12" s="56">
        <v>481.0</v>
      </c>
      <c r="AA12" s="56">
        <v>513.0</v>
      </c>
      <c r="AB12" s="56">
        <v>513.0</v>
      </c>
      <c r="AC12" s="56">
        <v>438.0</v>
      </c>
      <c r="AD12" s="56">
        <v>408.0</v>
      </c>
      <c r="AE12" s="56">
        <v>528.0</v>
      </c>
      <c r="AF12" s="95">
        <f t="shared" si="1"/>
        <v>471.75</v>
      </c>
      <c r="AG12" s="56">
        <v>48.0</v>
      </c>
      <c r="AH12" s="56">
        <v>69.0</v>
      </c>
      <c r="AI12" s="56">
        <v>77.0</v>
      </c>
      <c r="AJ12" s="56">
        <v>79.0</v>
      </c>
      <c r="AK12" s="56">
        <v>82.0</v>
      </c>
      <c r="AL12" s="56">
        <v>83.0</v>
      </c>
      <c r="AM12" s="56">
        <v>85.0</v>
      </c>
      <c r="AN12" s="56">
        <v>87.0</v>
      </c>
      <c r="AO12" s="56">
        <v>88.0</v>
      </c>
      <c r="AP12" s="56">
        <v>89.0</v>
      </c>
      <c r="AQ12" s="56">
        <v>89.0</v>
      </c>
      <c r="AR12" s="56">
        <v>88.0</v>
      </c>
      <c r="AS12" s="56">
        <v>184.0</v>
      </c>
      <c r="AT12" s="56">
        <v>160.0</v>
      </c>
      <c r="AU12" s="56">
        <v>49.0</v>
      </c>
      <c r="AV12" s="56">
        <v>67.0</v>
      </c>
      <c r="AW12" s="56">
        <v>75.0</v>
      </c>
      <c r="AX12" s="56">
        <v>82.0</v>
      </c>
      <c r="AY12" s="56">
        <v>88.0</v>
      </c>
      <c r="AZ12" s="56">
        <v>95.0</v>
      </c>
      <c r="BA12" s="56">
        <v>95.0</v>
      </c>
      <c r="BB12" s="56">
        <v>96.0</v>
      </c>
      <c r="BC12" s="56">
        <v>95.0</v>
      </c>
      <c r="BD12" s="56">
        <v>95.0</v>
      </c>
      <c r="BE12" s="56">
        <v>96.0</v>
      </c>
      <c r="BF12" s="56">
        <v>89.0</v>
      </c>
      <c r="BG12" s="56">
        <v>90.0</v>
      </c>
      <c r="BH12" s="56">
        <v>95.0</v>
      </c>
    </row>
    <row r="13">
      <c r="A13" s="56" t="s">
        <v>1015</v>
      </c>
      <c r="B13" s="56" t="s">
        <v>347</v>
      </c>
      <c r="C13" s="56" t="s">
        <v>1016</v>
      </c>
      <c r="D13" s="92">
        <v>44287.0</v>
      </c>
      <c r="E13" s="56">
        <v>72.0</v>
      </c>
      <c r="F13" s="56">
        <v>512.0</v>
      </c>
      <c r="G13" s="56">
        <v>2.0</v>
      </c>
      <c r="H13" s="56" t="s">
        <v>1017</v>
      </c>
      <c r="I13" s="56" t="s">
        <v>269</v>
      </c>
      <c r="J13" s="56">
        <v>2016.0</v>
      </c>
      <c r="K13" s="56">
        <v>18.0</v>
      </c>
      <c r="L13" s="56">
        <v>36.0</v>
      </c>
      <c r="M13" s="56">
        <v>2.3</v>
      </c>
      <c r="N13" s="56">
        <v>3.0</v>
      </c>
      <c r="O13" s="56">
        <v>45.0</v>
      </c>
      <c r="P13" s="56">
        <v>145.0</v>
      </c>
      <c r="Q13" s="56">
        <v>60.0</v>
      </c>
      <c r="R13" s="94">
        <v>34.98</v>
      </c>
      <c r="S13" s="94">
        <v>99.86</v>
      </c>
      <c r="T13" s="94">
        <v>125.81</v>
      </c>
      <c r="U13" s="94">
        <v>152.35</v>
      </c>
      <c r="V13" s="94">
        <v>178.49</v>
      </c>
      <c r="W13" s="94">
        <v>205.39</v>
      </c>
      <c r="X13" s="94">
        <v>223.15</v>
      </c>
      <c r="Y13" s="94">
        <v>237.65</v>
      </c>
      <c r="Z13" s="94">
        <v>250.14</v>
      </c>
      <c r="AA13" s="94">
        <v>263.3</v>
      </c>
      <c r="AB13" s="94">
        <v>272.33</v>
      </c>
      <c r="AC13" s="94">
        <v>291.78</v>
      </c>
      <c r="AD13" s="94">
        <v>253.75</v>
      </c>
      <c r="AE13" s="94">
        <v>306.67</v>
      </c>
      <c r="AF13" s="95">
        <f t="shared" si="1"/>
        <v>281.1325</v>
      </c>
      <c r="AG13" s="96">
        <v>11.35</v>
      </c>
      <c r="AH13" s="96">
        <v>17.5</v>
      </c>
      <c r="AI13" s="96">
        <v>17.84</v>
      </c>
      <c r="AJ13" s="96">
        <v>18.14</v>
      </c>
      <c r="AK13" s="96">
        <v>18.78</v>
      </c>
      <c r="AL13" s="96">
        <v>19.9</v>
      </c>
      <c r="AM13" s="96">
        <v>20.43</v>
      </c>
      <c r="AN13" s="96">
        <v>21.0</v>
      </c>
      <c r="AO13" s="96">
        <v>21.42</v>
      </c>
      <c r="AP13" s="96">
        <v>21.82</v>
      </c>
      <c r="AQ13" s="96">
        <v>22.26</v>
      </c>
      <c r="AR13" s="96">
        <v>21.67</v>
      </c>
      <c r="AS13" s="96">
        <v>51.72</v>
      </c>
      <c r="AT13" s="96">
        <v>56.82</v>
      </c>
      <c r="AU13" s="96">
        <v>21.12</v>
      </c>
      <c r="AV13" s="96">
        <v>23.83</v>
      </c>
      <c r="AW13" s="96">
        <v>25.65</v>
      </c>
      <c r="AX13" s="96">
        <v>26.9</v>
      </c>
      <c r="AY13" s="96">
        <v>28.27</v>
      </c>
      <c r="AZ13" s="96">
        <v>29.48</v>
      </c>
      <c r="BA13" s="96">
        <v>30.7</v>
      </c>
      <c r="BB13" s="96">
        <v>31.72</v>
      </c>
      <c r="BC13" s="96">
        <v>32.48</v>
      </c>
      <c r="BD13" s="96">
        <v>33.25</v>
      </c>
      <c r="BE13" s="96">
        <v>33.92</v>
      </c>
      <c r="BF13" s="96">
        <v>35.72</v>
      </c>
      <c r="BG13" s="96">
        <v>32.03</v>
      </c>
      <c r="BH13" s="96">
        <v>32.38</v>
      </c>
    </row>
    <row r="14">
      <c r="A14" s="56" t="s">
        <v>1036</v>
      </c>
      <c r="B14" s="56" t="s">
        <v>1037</v>
      </c>
      <c r="C14" s="56"/>
      <c r="D14" s="56"/>
      <c r="E14" s="56">
        <v>8.0</v>
      </c>
      <c r="F14" s="56">
        <v>32.0</v>
      </c>
      <c r="G14" s="56">
        <v>1.0</v>
      </c>
      <c r="H14" s="56" t="s">
        <v>1017</v>
      </c>
      <c r="I14" s="56" t="s">
        <v>1038</v>
      </c>
      <c r="J14" s="56">
        <v>2017.0</v>
      </c>
      <c r="K14" s="56">
        <v>4.0</v>
      </c>
      <c r="L14" s="93">
        <v>8.0</v>
      </c>
      <c r="M14" s="93" t="s">
        <v>1039</v>
      </c>
      <c r="N14" s="93" t="s">
        <v>1040</v>
      </c>
      <c r="O14" s="93">
        <v>8.0</v>
      </c>
      <c r="P14" s="56">
        <v>72.0</v>
      </c>
      <c r="Q14" s="56">
        <v>60.0</v>
      </c>
      <c r="R14" s="94">
        <v>2.41</v>
      </c>
      <c r="S14" s="94">
        <v>9.78</v>
      </c>
      <c r="T14" s="94">
        <v>15.69</v>
      </c>
      <c r="U14" s="94">
        <v>16.88</v>
      </c>
      <c r="V14" s="94">
        <v>15.0</v>
      </c>
      <c r="W14" s="94">
        <v>14.64</v>
      </c>
      <c r="X14" s="94">
        <v>15.48</v>
      </c>
      <c r="Y14" s="94">
        <v>38.13</v>
      </c>
      <c r="Z14" s="94">
        <v>40.3</v>
      </c>
      <c r="AA14" s="94">
        <v>41.74</v>
      </c>
      <c r="AB14" s="94">
        <v>41.31</v>
      </c>
      <c r="AC14" s="94">
        <v>49.68</v>
      </c>
      <c r="AD14" s="94">
        <v>27.18</v>
      </c>
      <c r="AE14" s="94">
        <v>41.92</v>
      </c>
      <c r="AF14" s="95">
        <f t="shared" si="1"/>
        <v>40.0225</v>
      </c>
      <c r="AG14" s="97">
        <v>2.62</v>
      </c>
      <c r="AH14" s="97">
        <v>2.62</v>
      </c>
      <c r="AI14" s="97">
        <v>2.62</v>
      </c>
      <c r="AJ14" s="97">
        <v>2.63</v>
      </c>
      <c r="AK14" s="97">
        <v>2.67</v>
      </c>
      <c r="AL14" s="97">
        <v>2.7</v>
      </c>
      <c r="AM14" s="97">
        <v>2.69</v>
      </c>
      <c r="AN14" s="97">
        <v>2.66</v>
      </c>
      <c r="AO14" s="97">
        <v>2.66</v>
      </c>
      <c r="AP14" s="97">
        <v>2.66</v>
      </c>
      <c r="AQ14" s="97">
        <v>2.61</v>
      </c>
      <c r="AR14" s="97">
        <v>2.63</v>
      </c>
      <c r="AS14" s="97">
        <v>5.35</v>
      </c>
      <c r="AT14" s="97">
        <v>3.77</v>
      </c>
      <c r="AU14" s="94">
        <v>35.47</v>
      </c>
      <c r="AV14" s="94">
        <v>39.78</v>
      </c>
      <c r="AW14" s="94">
        <v>45.12</v>
      </c>
      <c r="AX14" s="94">
        <v>45.02</v>
      </c>
      <c r="AY14" s="94">
        <v>43.48</v>
      </c>
      <c r="AZ14" s="94">
        <v>44.07</v>
      </c>
      <c r="BA14" s="94">
        <v>46.33</v>
      </c>
      <c r="BB14" s="94">
        <v>59.38</v>
      </c>
      <c r="BC14" s="94">
        <v>60.35</v>
      </c>
      <c r="BD14" s="94">
        <v>61.8</v>
      </c>
      <c r="BE14" s="94">
        <v>62.15</v>
      </c>
      <c r="BF14" s="94">
        <v>67.23</v>
      </c>
      <c r="BG14" s="94">
        <v>52.02</v>
      </c>
      <c r="BH14" s="94">
        <v>62.42</v>
      </c>
    </row>
    <row r="15">
      <c r="A15" s="56" t="s">
        <v>1036</v>
      </c>
      <c r="B15" s="56" t="s">
        <v>1041</v>
      </c>
      <c r="C15" s="56"/>
      <c r="D15" s="56"/>
      <c r="E15" s="56">
        <v>40.0</v>
      </c>
      <c r="F15" s="56">
        <v>96.0</v>
      </c>
      <c r="G15" s="56">
        <v>2.0</v>
      </c>
      <c r="H15" s="56" t="s">
        <v>1017</v>
      </c>
      <c r="I15" s="56" t="s">
        <v>1042</v>
      </c>
      <c r="J15" s="56">
        <v>2017.0</v>
      </c>
      <c r="K15" s="56">
        <v>10.0</v>
      </c>
      <c r="L15" s="93">
        <v>20.0</v>
      </c>
      <c r="M15" s="93" t="s">
        <v>1043</v>
      </c>
      <c r="N15" s="93">
        <v>3.0</v>
      </c>
      <c r="O15" s="93" t="s">
        <v>1044</v>
      </c>
      <c r="P15" s="56">
        <v>85.0</v>
      </c>
      <c r="Q15" s="56">
        <v>60.0</v>
      </c>
      <c r="R15" s="56">
        <v>26.0</v>
      </c>
      <c r="S15" s="56">
        <v>65.0</v>
      </c>
      <c r="T15" s="56">
        <v>83.0</v>
      </c>
      <c r="U15" s="56">
        <v>96.0</v>
      </c>
      <c r="V15" s="56">
        <v>109.0</v>
      </c>
      <c r="W15" s="56">
        <v>117.0</v>
      </c>
      <c r="X15" s="56">
        <v>122.0</v>
      </c>
      <c r="Y15" s="56">
        <v>127.0</v>
      </c>
      <c r="Z15" s="56">
        <v>130.0</v>
      </c>
      <c r="AA15" s="56">
        <v>134.0</v>
      </c>
      <c r="AB15" s="56">
        <v>133.0</v>
      </c>
      <c r="AC15" s="56">
        <v>133.0</v>
      </c>
      <c r="AD15" s="56">
        <v>121.0</v>
      </c>
      <c r="AE15" s="56">
        <v>144.0</v>
      </c>
      <c r="AF15" s="95">
        <f t="shared" si="1"/>
        <v>132.75</v>
      </c>
      <c r="AG15" s="56">
        <v>6.0</v>
      </c>
      <c r="AH15" s="56">
        <v>23.0</v>
      </c>
      <c r="AI15" s="56">
        <v>27.0</v>
      </c>
      <c r="AJ15" s="56">
        <v>28.0</v>
      </c>
      <c r="AK15" s="56">
        <v>28.0</v>
      </c>
      <c r="AL15" s="56">
        <v>28.0</v>
      </c>
      <c r="AM15" s="56">
        <v>28.0</v>
      </c>
      <c r="AN15" s="56">
        <v>28.0</v>
      </c>
      <c r="AO15" s="56">
        <v>28.0</v>
      </c>
      <c r="AP15" s="56">
        <v>28.0</v>
      </c>
      <c r="AQ15" s="56">
        <v>28.0</v>
      </c>
      <c r="AR15" s="56">
        <v>27.0</v>
      </c>
      <c r="AS15" s="56">
        <v>68.0</v>
      </c>
      <c r="AT15" s="56">
        <v>62.0</v>
      </c>
      <c r="AU15" s="56">
        <v>39.0</v>
      </c>
      <c r="AV15" s="56">
        <v>44.0</v>
      </c>
      <c r="AW15" s="56">
        <v>48.0</v>
      </c>
      <c r="AX15" s="56">
        <v>52.0</v>
      </c>
      <c r="AY15" s="56">
        <v>56.0</v>
      </c>
      <c r="AZ15" s="56">
        <v>59.0</v>
      </c>
      <c r="BA15" s="56">
        <v>61.0</v>
      </c>
      <c r="BB15" s="56">
        <v>63.0</v>
      </c>
      <c r="BC15" s="56">
        <v>65.0</v>
      </c>
      <c r="BD15" s="56">
        <v>66.0</v>
      </c>
      <c r="BE15" s="56">
        <v>68.0</v>
      </c>
      <c r="BF15" s="56">
        <v>68.0</v>
      </c>
      <c r="BG15" s="56">
        <v>64.0</v>
      </c>
      <c r="BH15" s="56">
        <v>67.0</v>
      </c>
    </row>
    <row r="16">
      <c r="A16" s="56" t="s">
        <v>1036</v>
      </c>
      <c r="B16" s="56" t="s">
        <v>1045</v>
      </c>
      <c r="C16" s="56"/>
      <c r="D16" s="56"/>
      <c r="E16" s="56">
        <v>56.0</v>
      </c>
      <c r="F16" s="56">
        <v>384.0</v>
      </c>
      <c r="G16" s="56">
        <v>2.0</v>
      </c>
      <c r="H16" s="56" t="s">
        <v>1017</v>
      </c>
      <c r="I16" s="56" t="s">
        <v>1046</v>
      </c>
      <c r="J16" s="56">
        <v>2017.0</v>
      </c>
      <c r="K16" s="56">
        <v>14.0</v>
      </c>
      <c r="L16" s="93">
        <v>28.0</v>
      </c>
      <c r="M16" s="93">
        <v>2.2</v>
      </c>
      <c r="N16" s="93">
        <v>3.2</v>
      </c>
      <c r="O16" s="93">
        <v>19.25</v>
      </c>
      <c r="P16" s="56">
        <v>105.0</v>
      </c>
      <c r="Q16" s="56">
        <v>60.0</v>
      </c>
      <c r="R16" s="94">
        <v>49.96</v>
      </c>
      <c r="S16" s="94">
        <v>98.23</v>
      </c>
      <c r="T16" s="94">
        <v>119.76</v>
      </c>
      <c r="U16" s="94">
        <v>141.11</v>
      </c>
      <c r="V16" s="94">
        <v>158.95</v>
      </c>
      <c r="W16" s="94">
        <v>171.78</v>
      </c>
      <c r="X16" s="94">
        <v>180.98</v>
      </c>
      <c r="Y16" s="94">
        <v>190.32</v>
      </c>
      <c r="Z16" s="94">
        <v>195.15</v>
      </c>
      <c r="AA16" s="94">
        <v>204.28</v>
      </c>
      <c r="AB16" s="94">
        <v>207.1</v>
      </c>
      <c r="AC16" s="94">
        <v>196.3</v>
      </c>
      <c r="AD16" s="94">
        <v>187.64</v>
      </c>
      <c r="AE16" s="94">
        <v>211.13</v>
      </c>
      <c r="AF16" s="95">
        <f t="shared" si="1"/>
        <v>200.5425</v>
      </c>
      <c r="AG16" s="94">
        <v>48.63</v>
      </c>
      <c r="AH16" s="94">
        <v>92.13</v>
      </c>
      <c r="AI16" s="94">
        <v>96.41</v>
      </c>
      <c r="AJ16" s="94">
        <v>99.33</v>
      </c>
      <c r="AK16" s="94">
        <v>101.06</v>
      </c>
      <c r="AL16" s="94">
        <v>102.79</v>
      </c>
      <c r="AM16" s="94">
        <v>101.77</v>
      </c>
      <c r="AN16" s="94">
        <v>102.88</v>
      </c>
      <c r="AO16" s="94">
        <v>102.59</v>
      </c>
      <c r="AP16" s="94">
        <v>104.11</v>
      </c>
      <c r="AQ16" s="94">
        <v>103.63</v>
      </c>
      <c r="AR16" s="94">
        <v>100.5</v>
      </c>
      <c r="AS16" s="94">
        <v>215.5</v>
      </c>
      <c r="AT16" s="94">
        <v>196.44</v>
      </c>
      <c r="AU16" s="94">
        <v>42.95</v>
      </c>
      <c r="AV16" s="94">
        <v>51.53</v>
      </c>
      <c r="AW16" s="94">
        <v>57.42</v>
      </c>
      <c r="AX16" s="94">
        <v>62.35</v>
      </c>
      <c r="AY16" s="94">
        <v>65.87</v>
      </c>
      <c r="AZ16" s="94">
        <v>68.9</v>
      </c>
      <c r="BA16" s="94">
        <v>71.97</v>
      </c>
      <c r="BB16" s="94">
        <v>73.72</v>
      </c>
      <c r="BC16" s="94">
        <v>75.93</v>
      </c>
      <c r="BD16" s="94">
        <v>77.9</v>
      </c>
      <c r="BE16" s="94">
        <v>79.23</v>
      </c>
      <c r="BF16" s="94">
        <v>77.88</v>
      </c>
      <c r="BG16" s="94">
        <v>75.68</v>
      </c>
      <c r="BH16" s="94">
        <v>78.73</v>
      </c>
    </row>
    <row r="17" ht="15.0" customHeight="1">
      <c r="A17" s="57" t="s">
        <v>1047</v>
      </c>
      <c r="B17" s="56" t="s">
        <v>1048</v>
      </c>
      <c r="C17" s="56"/>
      <c r="D17" s="56"/>
      <c r="E17" s="56">
        <v>32.0</v>
      </c>
      <c r="F17" s="56">
        <v>96.0</v>
      </c>
      <c r="G17" s="56">
        <v>2.0</v>
      </c>
      <c r="H17" s="56" t="s">
        <v>1017</v>
      </c>
      <c r="I17" s="56" t="s">
        <v>1049</v>
      </c>
      <c r="J17" s="56">
        <v>2012.0</v>
      </c>
      <c r="K17" s="56">
        <v>8.0</v>
      </c>
      <c r="L17" s="93">
        <v>16.0</v>
      </c>
      <c r="M17" s="56">
        <v>2.2</v>
      </c>
      <c r="N17" s="56">
        <v>2.0</v>
      </c>
      <c r="O17" s="93">
        <v>20.0</v>
      </c>
      <c r="P17" s="56">
        <v>95.0</v>
      </c>
      <c r="Q17" s="56">
        <v>60.0</v>
      </c>
      <c r="R17" s="94">
        <v>28.29</v>
      </c>
      <c r="S17" s="94">
        <v>57.35</v>
      </c>
      <c r="T17" s="94">
        <v>87.72</v>
      </c>
      <c r="U17" s="94">
        <v>110.19</v>
      </c>
      <c r="V17" s="94">
        <v>125.12</v>
      </c>
      <c r="W17" s="94">
        <v>136.42</v>
      </c>
      <c r="X17" s="94">
        <v>145.73</v>
      </c>
      <c r="Y17" s="94">
        <v>150.85</v>
      </c>
      <c r="Z17" s="94">
        <v>156.39</v>
      </c>
      <c r="AA17" s="94">
        <v>157.44</v>
      </c>
      <c r="AB17" s="94">
        <v>168.37</v>
      </c>
      <c r="AC17" s="94">
        <v>201.2</v>
      </c>
      <c r="AD17" s="94">
        <v>165.02</v>
      </c>
      <c r="AE17" s="94">
        <v>173.09</v>
      </c>
      <c r="AF17" s="95">
        <f t="shared" si="1"/>
        <v>176.92</v>
      </c>
      <c r="AG17" s="56" t="s">
        <v>73</v>
      </c>
      <c r="AH17" s="56" t="s">
        <v>73</v>
      </c>
      <c r="AI17" s="56" t="s">
        <v>73</v>
      </c>
      <c r="AJ17" s="56" t="s">
        <v>73</v>
      </c>
      <c r="AK17" s="56" t="s">
        <v>73</v>
      </c>
      <c r="AL17" s="56" t="s">
        <v>73</v>
      </c>
      <c r="AM17" s="56" t="s">
        <v>73</v>
      </c>
      <c r="AN17" s="56" t="s">
        <v>73</v>
      </c>
      <c r="AO17" s="56" t="s">
        <v>73</v>
      </c>
      <c r="AP17" s="56" t="s">
        <v>73</v>
      </c>
      <c r="AQ17" s="56" t="s">
        <v>73</v>
      </c>
      <c r="AR17" s="56" t="s">
        <v>73</v>
      </c>
      <c r="AS17" s="56" t="s">
        <v>73</v>
      </c>
      <c r="AT17" s="56" t="s">
        <v>73</v>
      </c>
      <c r="AU17" s="94">
        <v>50.97</v>
      </c>
      <c r="AV17" s="94">
        <v>55.87</v>
      </c>
      <c r="AW17" s="94">
        <v>65.2</v>
      </c>
      <c r="AX17" s="94">
        <v>73.03</v>
      </c>
      <c r="AY17" s="94">
        <v>79.72</v>
      </c>
      <c r="AZ17" s="94">
        <v>81.27</v>
      </c>
      <c r="BA17" s="94">
        <v>79.87</v>
      </c>
      <c r="BB17" s="94">
        <v>80.33</v>
      </c>
      <c r="BC17" s="94">
        <v>80.15</v>
      </c>
      <c r="BD17" s="94">
        <v>80.13</v>
      </c>
      <c r="BE17" s="94">
        <v>80.03</v>
      </c>
      <c r="BF17" s="94">
        <v>79.87</v>
      </c>
      <c r="BG17" s="94">
        <v>78.97</v>
      </c>
      <c r="BH17" s="94">
        <v>81.28</v>
      </c>
    </row>
    <row r="18" ht="15.0" customHeight="1">
      <c r="A18" s="57" t="s">
        <v>1047</v>
      </c>
      <c r="B18" s="56" t="s">
        <v>1050</v>
      </c>
      <c r="C18" s="56"/>
      <c r="D18" s="56"/>
      <c r="E18" s="56">
        <v>40.0</v>
      </c>
      <c r="F18" s="56">
        <v>128.0</v>
      </c>
      <c r="G18" s="56">
        <v>2.0</v>
      </c>
      <c r="H18" s="56" t="s">
        <v>1017</v>
      </c>
      <c r="I18" s="56" t="s">
        <v>1051</v>
      </c>
      <c r="J18" s="56">
        <v>2020.0</v>
      </c>
      <c r="K18" s="56">
        <v>10.0</v>
      </c>
      <c r="L18" s="93">
        <v>20.0</v>
      </c>
      <c r="M18" s="98">
        <v>2.4</v>
      </c>
      <c r="N18" s="56">
        <v>3.2</v>
      </c>
      <c r="O18" s="93" t="s">
        <v>1044</v>
      </c>
      <c r="P18" s="56">
        <v>100.0</v>
      </c>
      <c r="Q18" s="56">
        <v>60.0</v>
      </c>
      <c r="R18" s="94">
        <v>31.52</v>
      </c>
      <c r="S18" s="94">
        <v>61.97</v>
      </c>
      <c r="T18" s="94">
        <v>78.91</v>
      </c>
      <c r="U18" s="94">
        <v>90.91</v>
      </c>
      <c r="V18" s="94">
        <v>102.53</v>
      </c>
      <c r="W18" s="94">
        <v>111.7</v>
      </c>
      <c r="X18" s="94">
        <v>120.18</v>
      </c>
      <c r="Y18" s="94">
        <v>127.38</v>
      </c>
      <c r="Z18" s="94">
        <v>134.32</v>
      </c>
      <c r="AA18" s="94">
        <v>138.01</v>
      </c>
      <c r="AB18" s="94">
        <v>145.0</v>
      </c>
      <c r="AC18" s="94">
        <v>145.68</v>
      </c>
      <c r="AD18" s="94">
        <v>126.97</v>
      </c>
      <c r="AE18" s="94">
        <v>150.29</v>
      </c>
      <c r="AF18" s="95">
        <f t="shared" si="1"/>
        <v>141.985</v>
      </c>
      <c r="AG18" s="56" t="s">
        <v>73</v>
      </c>
      <c r="AH18" s="56" t="s">
        <v>73</v>
      </c>
      <c r="AI18" s="56" t="s">
        <v>73</v>
      </c>
      <c r="AJ18" s="56" t="s">
        <v>73</v>
      </c>
      <c r="AK18" s="56" t="s">
        <v>73</v>
      </c>
      <c r="AL18" s="56" t="s">
        <v>73</v>
      </c>
      <c r="AM18" s="56" t="s">
        <v>73</v>
      </c>
      <c r="AN18" s="56" t="s">
        <v>73</v>
      </c>
      <c r="AO18" s="56" t="s">
        <v>73</v>
      </c>
      <c r="AP18" s="56" t="s">
        <v>73</v>
      </c>
      <c r="AQ18" s="56" t="s">
        <v>73</v>
      </c>
      <c r="AR18" s="56" t="s">
        <v>73</v>
      </c>
      <c r="AS18" s="56" t="s">
        <v>73</v>
      </c>
      <c r="AT18" s="56" t="s">
        <v>73</v>
      </c>
      <c r="AU18" s="94">
        <v>33.82</v>
      </c>
      <c r="AV18" s="94">
        <v>36.47</v>
      </c>
      <c r="AW18" s="94">
        <v>39.68</v>
      </c>
      <c r="AX18" s="94">
        <v>43.08</v>
      </c>
      <c r="AY18" s="94">
        <v>46.28</v>
      </c>
      <c r="AZ18" s="94">
        <v>49.15</v>
      </c>
      <c r="BA18" s="94">
        <v>52.33</v>
      </c>
      <c r="BB18" s="94">
        <v>55.35</v>
      </c>
      <c r="BC18" s="94">
        <v>57.83</v>
      </c>
      <c r="BD18" s="94">
        <v>59.97</v>
      </c>
      <c r="BE18" s="94">
        <v>61.53</v>
      </c>
      <c r="BF18" s="94">
        <v>62.67</v>
      </c>
      <c r="BG18" s="94">
        <v>58.38</v>
      </c>
      <c r="BH18" s="94">
        <v>62.33</v>
      </c>
    </row>
    <row r="19" ht="15.0" customHeight="1">
      <c r="A19" s="57" t="s">
        <v>1047</v>
      </c>
      <c r="B19" s="56" t="s">
        <v>1052</v>
      </c>
      <c r="C19" s="56"/>
      <c r="D19" s="56"/>
      <c r="E19" s="56">
        <v>32.0</v>
      </c>
      <c r="F19" s="56">
        <v>192.0</v>
      </c>
      <c r="G19" s="56">
        <v>2.0</v>
      </c>
      <c r="H19" s="56" t="s">
        <v>1017</v>
      </c>
      <c r="I19" s="56" t="s">
        <v>1053</v>
      </c>
      <c r="J19" s="56">
        <v>2017.0</v>
      </c>
      <c r="K19" s="56">
        <v>8.0</v>
      </c>
      <c r="L19" s="93">
        <v>16.0</v>
      </c>
      <c r="M19" s="98">
        <v>2.1</v>
      </c>
      <c r="N19" s="93">
        <v>3.0</v>
      </c>
      <c r="O19" s="93">
        <v>11.0</v>
      </c>
      <c r="P19" s="56">
        <v>85.0</v>
      </c>
      <c r="Q19" s="56">
        <v>60.0</v>
      </c>
      <c r="R19" s="94">
        <v>39.87</v>
      </c>
      <c r="S19" s="94">
        <v>63.7</v>
      </c>
      <c r="T19" s="94">
        <v>77.33</v>
      </c>
      <c r="U19" s="94">
        <v>85.56</v>
      </c>
      <c r="V19" s="94">
        <v>92.29</v>
      </c>
      <c r="W19" s="94">
        <v>98.32</v>
      </c>
      <c r="X19" s="94">
        <v>103.52</v>
      </c>
      <c r="Y19" s="94">
        <v>106.78</v>
      </c>
      <c r="Z19" s="94">
        <v>109.81</v>
      </c>
      <c r="AA19" s="94">
        <v>114.02</v>
      </c>
      <c r="AB19" s="94">
        <v>120.44</v>
      </c>
      <c r="AC19" s="94">
        <v>118.31</v>
      </c>
      <c r="AD19" s="94">
        <v>117.37</v>
      </c>
      <c r="AE19" s="94">
        <v>124.52</v>
      </c>
      <c r="AF19" s="95">
        <f t="shared" si="1"/>
        <v>120.16</v>
      </c>
      <c r="AG19" s="94">
        <v>41.07</v>
      </c>
      <c r="AH19" s="94">
        <v>57.78</v>
      </c>
      <c r="AI19" s="94">
        <v>64.96</v>
      </c>
      <c r="AJ19" s="94">
        <v>67.38</v>
      </c>
      <c r="AK19" s="94">
        <v>68.37</v>
      </c>
      <c r="AL19" s="94">
        <v>68.74</v>
      </c>
      <c r="AM19" s="94">
        <v>68.91</v>
      </c>
      <c r="AN19" s="94">
        <v>68.75</v>
      </c>
      <c r="AO19" s="94">
        <v>68.69</v>
      </c>
      <c r="AP19" s="94">
        <v>69.25</v>
      </c>
      <c r="AQ19" s="94">
        <v>72.16</v>
      </c>
      <c r="AR19" s="94">
        <v>70.41</v>
      </c>
      <c r="AS19" s="94">
        <v>131.46</v>
      </c>
      <c r="AT19" s="94">
        <v>107.95</v>
      </c>
      <c r="AU19" s="94">
        <v>30.0</v>
      </c>
      <c r="AV19" s="94">
        <v>33.4</v>
      </c>
      <c r="AW19" s="94">
        <v>36.27</v>
      </c>
      <c r="AX19" s="94">
        <v>37.48</v>
      </c>
      <c r="AY19" s="94">
        <v>39.67</v>
      </c>
      <c r="AZ19" s="94">
        <v>41.15</v>
      </c>
      <c r="BA19" s="94">
        <v>42.78</v>
      </c>
      <c r="BB19" s="94">
        <v>44.0</v>
      </c>
      <c r="BC19" s="94">
        <v>45.13</v>
      </c>
      <c r="BD19" s="94">
        <v>46.52</v>
      </c>
      <c r="BE19" s="94">
        <v>47.15</v>
      </c>
      <c r="BF19" s="94">
        <v>47.22</v>
      </c>
      <c r="BG19" s="94">
        <v>45.7</v>
      </c>
      <c r="BH19" s="94">
        <v>47.92</v>
      </c>
    </row>
    <row r="20">
      <c r="A20" s="56" t="s">
        <v>1054</v>
      </c>
      <c r="B20" s="56" t="s">
        <v>1055</v>
      </c>
      <c r="C20" s="56"/>
      <c r="D20" s="56"/>
      <c r="E20" s="56">
        <v>16.0</v>
      </c>
      <c r="F20" s="56">
        <v>32.0</v>
      </c>
      <c r="G20" s="56">
        <v>1.0</v>
      </c>
      <c r="H20" s="56" t="s">
        <v>1017</v>
      </c>
      <c r="I20" s="56" t="s">
        <v>1056</v>
      </c>
      <c r="J20" s="56">
        <v>2019.0</v>
      </c>
      <c r="K20" s="56">
        <v>8.0</v>
      </c>
      <c r="L20" s="93">
        <v>16.0</v>
      </c>
      <c r="M20" s="56">
        <v>3.4</v>
      </c>
      <c r="N20" s="93">
        <v>5.0</v>
      </c>
      <c r="O20" s="93">
        <v>16.0</v>
      </c>
      <c r="P20" s="56">
        <v>80.0</v>
      </c>
      <c r="Q20" s="56">
        <v>60.0</v>
      </c>
      <c r="R20" s="94">
        <v>1.68</v>
      </c>
      <c r="S20" s="94">
        <v>22.2</v>
      </c>
      <c r="T20" s="94">
        <v>41.46</v>
      </c>
      <c r="U20" s="94">
        <v>58.99</v>
      </c>
      <c r="V20" s="94">
        <v>44.25</v>
      </c>
      <c r="W20" s="94">
        <v>40.99</v>
      </c>
      <c r="X20" s="94">
        <v>39.25</v>
      </c>
      <c r="Y20" s="94">
        <v>47.25</v>
      </c>
      <c r="Z20" s="94">
        <v>90.23</v>
      </c>
      <c r="AA20" s="94">
        <v>81.78</v>
      </c>
      <c r="AB20" s="94">
        <v>85.43</v>
      </c>
      <c r="AC20" s="94">
        <v>84.07</v>
      </c>
      <c r="AD20" s="94">
        <v>72.8</v>
      </c>
      <c r="AE20" s="94">
        <v>84.98</v>
      </c>
      <c r="AF20" s="95">
        <f t="shared" si="1"/>
        <v>81.82</v>
      </c>
      <c r="AG20" s="97">
        <v>2.98</v>
      </c>
      <c r="AH20" s="97">
        <v>2.93</v>
      </c>
      <c r="AI20" s="97">
        <v>2.9</v>
      </c>
      <c r="AJ20" s="97">
        <v>2.91</v>
      </c>
      <c r="AK20" s="97">
        <v>2.95</v>
      </c>
      <c r="AL20" s="97">
        <v>3.02</v>
      </c>
      <c r="AM20" s="97">
        <v>3.04</v>
      </c>
      <c r="AN20" s="97">
        <v>2.99</v>
      </c>
      <c r="AO20" s="97">
        <v>2.93</v>
      </c>
      <c r="AP20" s="97">
        <v>2.91</v>
      </c>
      <c r="AQ20" s="97">
        <v>3.04</v>
      </c>
      <c r="AR20" s="97">
        <v>2.99</v>
      </c>
      <c r="AS20" s="97">
        <v>6.06</v>
      </c>
      <c r="AT20" s="97">
        <v>5.42</v>
      </c>
      <c r="AU20" s="94">
        <v>28.85</v>
      </c>
      <c r="AV20" s="94">
        <v>41.65</v>
      </c>
      <c r="AW20" s="94">
        <v>53.43</v>
      </c>
      <c r="AX20" s="94">
        <v>61.02</v>
      </c>
      <c r="AY20" s="94">
        <v>52.67</v>
      </c>
      <c r="AZ20" s="94">
        <v>49.33</v>
      </c>
      <c r="BA20" s="94">
        <v>49.23</v>
      </c>
      <c r="BB20" s="94">
        <v>52.03</v>
      </c>
      <c r="BC20" s="94">
        <v>71.15</v>
      </c>
      <c r="BD20" s="94">
        <v>67.98</v>
      </c>
      <c r="BE20" s="94">
        <v>67.43</v>
      </c>
      <c r="BF20" s="94">
        <v>66.17</v>
      </c>
      <c r="BG20" s="94">
        <v>60.27</v>
      </c>
      <c r="BH20" s="94">
        <v>68.73</v>
      </c>
    </row>
    <row r="21" ht="15.75" customHeight="1">
      <c r="A21" s="56" t="s">
        <v>1054</v>
      </c>
      <c r="B21" s="56" t="s">
        <v>1057</v>
      </c>
      <c r="C21" s="56"/>
      <c r="D21" s="56"/>
      <c r="E21" s="56">
        <v>48.0</v>
      </c>
      <c r="F21" s="56">
        <v>192.0</v>
      </c>
      <c r="G21" s="56">
        <v>2.0</v>
      </c>
      <c r="H21" s="56" t="s">
        <v>1017</v>
      </c>
      <c r="I21" s="56" t="s">
        <v>1058</v>
      </c>
      <c r="J21" s="56">
        <v>2019.0</v>
      </c>
      <c r="K21" s="56">
        <v>12.0</v>
      </c>
      <c r="L21" s="93">
        <v>24.0</v>
      </c>
      <c r="M21" s="56">
        <v>2.2</v>
      </c>
      <c r="N21" s="93">
        <v>3.2</v>
      </c>
      <c r="O21" s="93">
        <v>16.5</v>
      </c>
      <c r="P21" s="56">
        <v>85.0</v>
      </c>
      <c r="Q21" s="56">
        <v>60.0</v>
      </c>
      <c r="R21" s="94">
        <v>17.22</v>
      </c>
      <c r="S21" s="94">
        <v>67.77</v>
      </c>
      <c r="T21" s="94">
        <v>92.9</v>
      </c>
      <c r="U21" s="94">
        <v>105.54</v>
      </c>
      <c r="V21" s="94">
        <v>117.02</v>
      </c>
      <c r="W21" s="94">
        <v>127.51</v>
      </c>
      <c r="X21" s="94">
        <v>135.48</v>
      </c>
      <c r="Y21" s="94">
        <v>140.22</v>
      </c>
      <c r="Z21" s="94">
        <v>146.35</v>
      </c>
      <c r="AA21" s="94">
        <v>149.59</v>
      </c>
      <c r="AB21" s="94">
        <v>154.04</v>
      </c>
      <c r="AC21" s="94">
        <v>169.24</v>
      </c>
      <c r="AD21" s="94">
        <v>159.62</v>
      </c>
      <c r="AE21" s="94">
        <v>164.25</v>
      </c>
      <c r="AF21" s="95">
        <f t="shared" si="1"/>
        <v>161.7875</v>
      </c>
      <c r="AG21" s="94">
        <v>3.91</v>
      </c>
      <c r="AH21" s="94">
        <v>42.39</v>
      </c>
      <c r="AI21" s="94">
        <v>53.1</v>
      </c>
      <c r="AJ21" s="94">
        <v>53.17</v>
      </c>
      <c r="AK21" s="94">
        <v>53.59</v>
      </c>
      <c r="AL21" s="94">
        <v>54.27</v>
      </c>
      <c r="AM21" s="94">
        <v>54.8</v>
      </c>
      <c r="AN21" s="94">
        <v>54.46</v>
      </c>
      <c r="AO21" s="94">
        <v>55.01</v>
      </c>
      <c r="AP21" s="94">
        <v>54.19</v>
      </c>
      <c r="AQ21" s="94">
        <v>55.42</v>
      </c>
      <c r="AR21" s="94">
        <v>55.79</v>
      </c>
      <c r="AS21" s="94">
        <v>142.42</v>
      </c>
      <c r="AT21" s="94">
        <v>109.63</v>
      </c>
      <c r="AU21" s="94">
        <v>48.07</v>
      </c>
      <c r="AV21" s="94">
        <v>51.65</v>
      </c>
      <c r="AW21" s="94">
        <v>55.08</v>
      </c>
      <c r="AX21" s="94">
        <v>57.53</v>
      </c>
      <c r="AY21" s="94">
        <v>59.32</v>
      </c>
      <c r="AZ21" s="94">
        <v>60.15</v>
      </c>
      <c r="BA21" s="94">
        <v>61.18</v>
      </c>
      <c r="BB21" s="94">
        <v>61.73</v>
      </c>
      <c r="BC21" s="94">
        <v>62.5</v>
      </c>
      <c r="BD21" s="94">
        <v>63.37</v>
      </c>
      <c r="BE21" s="94">
        <v>63.53</v>
      </c>
      <c r="BF21" s="94">
        <v>65.02</v>
      </c>
      <c r="BG21" s="94">
        <v>60.97</v>
      </c>
      <c r="BH21" s="94">
        <v>62.95</v>
      </c>
    </row>
    <row r="22" ht="15.75" customHeight="1">
      <c r="A22" s="56" t="s">
        <v>1054</v>
      </c>
      <c r="B22" s="56" t="s">
        <v>1059</v>
      </c>
      <c r="C22" s="56"/>
      <c r="D22" s="56"/>
      <c r="E22" s="56">
        <v>64.0</v>
      </c>
      <c r="F22" s="56">
        <v>384.0</v>
      </c>
      <c r="G22" s="56">
        <v>2.0</v>
      </c>
      <c r="H22" s="56" t="s">
        <v>1017</v>
      </c>
      <c r="I22" s="56" t="s">
        <v>1060</v>
      </c>
      <c r="J22" s="56">
        <v>2019.0</v>
      </c>
      <c r="K22" s="56">
        <v>16.0</v>
      </c>
      <c r="L22" s="93">
        <v>32.0</v>
      </c>
      <c r="M22" s="56">
        <v>2.3</v>
      </c>
      <c r="N22" s="93">
        <v>3.9</v>
      </c>
      <c r="O22" s="93">
        <v>22.0</v>
      </c>
      <c r="P22" s="56">
        <v>125.0</v>
      </c>
      <c r="Q22" s="56">
        <v>60.0</v>
      </c>
      <c r="R22" s="94">
        <v>71.09</v>
      </c>
      <c r="S22" s="94">
        <v>107.26</v>
      </c>
      <c r="T22" s="94">
        <v>132.43</v>
      </c>
      <c r="U22" s="94">
        <v>153.74</v>
      </c>
      <c r="V22" s="94">
        <v>167.03</v>
      </c>
      <c r="W22" s="94">
        <v>178.52</v>
      </c>
      <c r="X22" s="94">
        <v>183.99</v>
      </c>
      <c r="Y22" s="94">
        <v>195.25</v>
      </c>
      <c r="Z22" s="94">
        <v>199.25</v>
      </c>
      <c r="AA22" s="94">
        <v>203.57</v>
      </c>
      <c r="AB22" s="94">
        <v>204.22</v>
      </c>
      <c r="AC22" s="94">
        <v>197.79</v>
      </c>
      <c r="AD22" s="94">
        <v>207.41</v>
      </c>
      <c r="AE22" s="94">
        <v>232.45</v>
      </c>
      <c r="AF22" s="95">
        <f t="shared" si="1"/>
        <v>210.4675</v>
      </c>
      <c r="AG22" s="94">
        <v>94.17</v>
      </c>
      <c r="AH22" s="94">
        <v>95.24</v>
      </c>
      <c r="AI22" s="94">
        <v>97.58</v>
      </c>
      <c r="AJ22" s="94">
        <v>100.2</v>
      </c>
      <c r="AK22" s="94">
        <v>100.86</v>
      </c>
      <c r="AL22" s="94">
        <v>103.76</v>
      </c>
      <c r="AM22" s="94">
        <v>102.32</v>
      </c>
      <c r="AN22" s="94">
        <v>103.77</v>
      </c>
      <c r="AO22" s="94">
        <v>102.46</v>
      </c>
      <c r="AP22" s="94">
        <v>100.78</v>
      </c>
      <c r="AQ22" s="94">
        <v>99.45</v>
      </c>
      <c r="AR22" s="94">
        <v>95.17</v>
      </c>
      <c r="AS22" s="94">
        <v>173.18</v>
      </c>
      <c r="AT22" s="94">
        <v>229.54</v>
      </c>
      <c r="AU22" s="94">
        <v>47.1</v>
      </c>
      <c r="AV22" s="94">
        <v>53.87</v>
      </c>
      <c r="AW22" s="94">
        <v>57.07</v>
      </c>
      <c r="AX22" s="94">
        <v>59.88</v>
      </c>
      <c r="AY22" s="94">
        <v>61.52</v>
      </c>
      <c r="AZ22" s="94">
        <v>63.17</v>
      </c>
      <c r="BA22" s="94">
        <v>65.22</v>
      </c>
      <c r="BB22" s="94">
        <v>67.05</v>
      </c>
      <c r="BC22" s="94">
        <v>68.93</v>
      </c>
      <c r="BD22" s="94">
        <v>70.35</v>
      </c>
      <c r="BE22" s="94">
        <v>71.15</v>
      </c>
      <c r="BF22" s="94">
        <v>70.67</v>
      </c>
      <c r="BG22" s="94">
        <v>70.92</v>
      </c>
      <c r="BH22" s="94">
        <v>72.98</v>
      </c>
    </row>
    <row r="23" ht="15.75" customHeight="1">
      <c r="A23" s="56" t="s">
        <v>1061</v>
      </c>
      <c r="B23" s="56" t="s">
        <v>1062</v>
      </c>
      <c r="C23" s="56"/>
      <c r="D23" s="56"/>
      <c r="E23" s="56">
        <v>104.0</v>
      </c>
      <c r="F23" s="56">
        <v>256.0</v>
      </c>
      <c r="G23" s="56">
        <v>2.0</v>
      </c>
      <c r="H23" s="56" t="s">
        <v>1017</v>
      </c>
      <c r="I23" s="56" t="s">
        <v>1063</v>
      </c>
      <c r="J23" s="56">
        <v>2020.0</v>
      </c>
      <c r="K23" s="56">
        <v>26.0</v>
      </c>
      <c r="L23" s="93">
        <v>52.0</v>
      </c>
      <c r="M23" s="56">
        <v>2.1</v>
      </c>
      <c r="N23" s="93">
        <v>4.0</v>
      </c>
      <c r="O23" s="93">
        <v>35.75</v>
      </c>
      <c r="P23" s="56">
        <v>150.0</v>
      </c>
      <c r="Q23" s="56">
        <v>60.0</v>
      </c>
      <c r="R23" s="94">
        <v>37.87</v>
      </c>
      <c r="S23" s="94">
        <v>112.85</v>
      </c>
      <c r="T23" s="94">
        <v>133.92</v>
      </c>
      <c r="U23" s="94">
        <v>160.22</v>
      </c>
      <c r="V23" s="94">
        <v>177.94</v>
      </c>
      <c r="W23" s="94">
        <v>203.4</v>
      </c>
      <c r="X23" s="94">
        <v>221.15</v>
      </c>
      <c r="Y23" s="94">
        <v>234.48</v>
      </c>
      <c r="Z23" s="94">
        <v>243.26</v>
      </c>
      <c r="AA23" s="94">
        <v>246.82</v>
      </c>
      <c r="AB23" s="94">
        <v>252.26</v>
      </c>
      <c r="AC23" s="94">
        <v>271.32</v>
      </c>
      <c r="AD23" s="94">
        <v>249.47</v>
      </c>
      <c r="AE23" s="94">
        <v>268.04</v>
      </c>
      <c r="AF23" s="95">
        <f t="shared" si="1"/>
        <v>260.2725</v>
      </c>
      <c r="AG23" s="94">
        <v>7.31</v>
      </c>
      <c r="AH23" s="94">
        <v>37.77</v>
      </c>
      <c r="AI23" s="94">
        <v>36.95</v>
      </c>
      <c r="AJ23" s="94">
        <v>37.91</v>
      </c>
      <c r="AK23" s="94">
        <v>37.23</v>
      </c>
      <c r="AL23" s="94">
        <v>39.53</v>
      </c>
      <c r="AM23" s="94">
        <v>40.82</v>
      </c>
      <c r="AN23" s="94">
        <v>41.77</v>
      </c>
      <c r="AO23" s="94">
        <v>42.11</v>
      </c>
      <c r="AP23" s="94">
        <v>42.72</v>
      </c>
      <c r="AQ23" s="94">
        <v>42.73</v>
      </c>
      <c r="AR23" s="94">
        <v>38.32</v>
      </c>
      <c r="AS23" s="94">
        <v>151.42</v>
      </c>
      <c r="AT23" s="94">
        <v>143.32</v>
      </c>
      <c r="AU23" s="94">
        <v>46.72</v>
      </c>
      <c r="AV23" s="94">
        <v>51.18</v>
      </c>
      <c r="AW23" s="94">
        <v>54.07</v>
      </c>
      <c r="AX23" s="94">
        <v>57.67</v>
      </c>
      <c r="AY23" s="94">
        <v>59.27</v>
      </c>
      <c r="AZ23" s="94">
        <v>61.6</v>
      </c>
      <c r="BA23" s="94">
        <v>62.72</v>
      </c>
      <c r="BB23" s="94">
        <v>63.63</v>
      </c>
      <c r="BC23" s="94">
        <v>64.35</v>
      </c>
      <c r="BD23" s="94">
        <v>65.1</v>
      </c>
      <c r="BE23" s="94">
        <v>65.88</v>
      </c>
      <c r="BF23" s="94">
        <v>69.3</v>
      </c>
      <c r="BG23" s="94">
        <v>64.28</v>
      </c>
      <c r="BH23" s="94">
        <v>65.2</v>
      </c>
    </row>
    <row r="24" ht="15.75" customHeight="1">
      <c r="A24" s="56" t="s">
        <v>1036</v>
      </c>
      <c r="B24" s="56" t="s">
        <v>1064</v>
      </c>
      <c r="C24" s="56"/>
      <c r="D24" s="56"/>
      <c r="E24" s="56">
        <v>32.0</v>
      </c>
      <c r="F24" s="56">
        <v>96.0</v>
      </c>
      <c r="G24" s="56">
        <v>1.0</v>
      </c>
      <c r="H24" s="56" t="s">
        <v>1065</v>
      </c>
      <c r="I24" s="56" t="s">
        <v>1066</v>
      </c>
      <c r="J24" s="56">
        <v>2017.0</v>
      </c>
      <c r="K24" s="56">
        <v>16.0</v>
      </c>
      <c r="L24" s="93">
        <v>32.0</v>
      </c>
      <c r="M24" s="93" t="s">
        <v>1067</v>
      </c>
      <c r="N24" s="93" t="s">
        <v>1068</v>
      </c>
      <c r="O24" s="93">
        <v>32.0</v>
      </c>
      <c r="P24" s="56">
        <v>170.0</v>
      </c>
      <c r="Q24" s="93" t="s">
        <v>1069</v>
      </c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95"/>
      <c r="AG24" s="56" t="s">
        <v>73</v>
      </c>
      <c r="AH24" s="56" t="s">
        <v>73</v>
      </c>
      <c r="AI24" s="56" t="s">
        <v>73</v>
      </c>
      <c r="AJ24" s="56" t="s">
        <v>73</v>
      </c>
      <c r="AK24" s="56" t="s">
        <v>73</v>
      </c>
      <c r="AL24" s="56" t="s">
        <v>73</v>
      </c>
      <c r="AM24" s="56" t="s">
        <v>73</v>
      </c>
      <c r="AN24" s="56" t="s">
        <v>73</v>
      </c>
      <c r="AO24" s="56" t="s">
        <v>73</v>
      </c>
      <c r="AP24" s="56" t="s">
        <v>73</v>
      </c>
      <c r="AQ24" s="56" t="s">
        <v>73</v>
      </c>
      <c r="AR24" s="56" t="s">
        <v>73</v>
      </c>
      <c r="AS24" s="56" t="s">
        <v>73</v>
      </c>
      <c r="AT24" s="56" t="s">
        <v>73</v>
      </c>
      <c r="AU24" s="56" t="s">
        <v>73</v>
      </c>
      <c r="AV24" s="56" t="s">
        <v>73</v>
      </c>
      <c r="AW24" s="56" t="s">
        <v>73</v>
      </c>
      <c r="AX24" s="56" t="s">
        <v>73</v>
      </c>
      <c r="AY24" s="56" t="s">
        <v>73</v>
      </c>
      <c r="AZ24" s="56" t="s">
        <v>73</v>
      </c>
      <c r="BA24" s="56" t="s">
        <v>73</v>
      </c>
      <c r="BB24" s="56" t="s">
        <v>73</v>
      </c>
      <c r="BC24" s="56" t="s">
        <v>73</v>
      </c>
      <c r="BD24" s="56" t="s">
        <v>73</v>
      </c>
      <c r="BE24" s="56" t="s">
        <v>73</v>
      </c>
      <c r="BF24" s="56" t="s">
        <v>73</v>
      </c>
      <c r="BG24" s="56" t="s">
        <v>73</v>
      </c>
      <c r="BH24" s="56" t="s">
        <v>73</v>
      </c>
    </row>
    <row r="25" ht="15.75" customHeight="1">
      <c r="A25" s="56" t="s">
        <v>1036</v>
      </c>
      <c r="B25" s="56" t="s">
        <v>1070</v>
      </c>
      <c r="C25" s="56"/>
      <c r="D25" s="56"/>
      <c r="E25" s="56">
        <v>72.0</v>
      </c>
      <c r="F25" s="56">
        <v>768.0</v>
      </c>
      <c r="G25" s="56">
        <v>2.0</v>
      </c>
      <c r="H25" s="56" t="s">
        <v>1017</v>
      </c>
      <c r="I25" s="56" t="s">
        <v>1071</v>
      </c>
      <c r="J25" s="56">
        <v>2017.0</v>
      </c>
      <c r="K25" s="56">
        <v>18.0</v>
      </c>
      <c r="L25" s="93">
        <v>36.0</v>
      </c>
      <c r="M25" s="93">
        <v>2.3</v>
      </c>
      <c r="N25" s="93">
        <v>3.7</v>
      </c>
      <c r="O25" s="93">
        <v>24.75</v>
      </c>
      <c r="P25" s="56">
        <v>140.0</v>
      </c>
      <c r="Q25" s="56" t="s">
        <v>1072</v>
      </c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95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</row>
    <row r="26" ht="15.75" customHeight="1">
      <c r="R26" s="99"/>
      <c r="S26" s="99"/>
      <c r="T26" s="99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10.5"/>
    <col customWidth="1" min="3" max="3" width="9.63"/>
    <col customWidth="1" min="4" max="5" width="9.13"/>
    <col customWidth="1" min="6" max="6" width="16.13"/>
    <col customWidth="1" min="7" max="14" width="7.75"/>
    <col customWidth="1" min="15" max="15" width="12.88"/>
    <col customWidth="1" min="16" max="16" width="92.25"/>
    <col customWidth="1" min="17" max="17" width="3.5"/>
    <col customWidth="1" min="18" max="18" width="13.38"/>
    <col customWidth="1" min="19" max="22" width="7.75"/>
    <col customWidth="1" min="23" max="23" width="13.38"/>
  </cols>
  <sheetData>
    <row r="1" ht="75.0" customHeight="1">
      <c r="A1" s="47" t="s">
        <v>1073</v>
      </c>
      <c r="B1" s="47" t="s">
        <v>33</v>
      </c>
      <c r="C1" s="48" t="s">
        <v>1074</v>
      </c>
      <c r="D1" s="47" t="s">
        <v>1075</v>
      </c>
      <c r="E1" s="47" t="s">
        <v>970</v>
      </c>
      <c r="F1" s="47" t="s">
        <v>1076</v>
      </c>
      <c r="G1" s="88" t="s">
        <v>972</v>
      </c>
      <c r="H1" s="88" t="s">
        <v>973</v>
      </c>
      <c r="I1" s="88" t="s">
        <v>977</v>
      </c>
      <c r="J1" s="88" t="s">
        <v>986</v>
      </c>
      <c r="K1" s="90" t="s">
        <v>1077</v>
      </c>
      <c r="L1" s="90" t="s">
        <v>1078</v>
      </c>
      <c r="M1" s="90" t="s">
        <v>1079</v>
      </c>
      <c r="N1" s="90" t="s">
        <v>1080</v>
      </c>
      <c r="O1" s="87" t="s">
        <v>1081</v>
      </c>
      <c r="P1" s="47" t="s">
        <v>1082</v>
      </c>
      <c r="R1" s="100" t="s">
        <v>1083</v>
      </c>
      <c r="S1" s="101" t="s">
        <v>972</v>
      </c>
      <c r="T1" s="101" t="s">
        <v>973</v>
      </c>
      <c r="U1" s="101" t="s">
        <v>977</v>
      </c>
      <c r="V1" s="101" t="s">
        <v>986</v>
      </c>
      <c r="W1" s="102" t="s">
        <v>1084</v>
      </c>
    </row>
    <row r="2">
      <c r="A2" s="93" t="s">
        <v>112</v>
      </c>
      <c r="B2" s="93">
        <f t="shared" ref="B2:B18" si="3">C2*D2</f>
        <v>40</v>
      </c>
      <c r="C2" s="93">
        <v>2.0</v>
      </c>
      <c r="D2" s="93">
        <f>VLOOKUP(A2,'CPU Specs'!$B$2:$E$251,4,FALSE)</f>
        <v>20</v>
      </c>
      <c r="E2" s="103">
        <f>VLOOKUP(A2,'CPU Specs'!$B$2:$K$253,10,FALSE)</f>
        <v>135</v>
      </c>
      <c r="F2" s="57" t="str">
        <f>IFNA(VLOOKUP(A2,'Bare Metal Power Profiles'!$I$3:$AE$26,1,FALSE),"No")</f>
        <v>No</v>
      </c>
      <c r="G2" s="104">
        <f t="shared" ref="G2:J2" si="1">G$4*($E2/$E$4)</f>
        <v>32.56758621</v>
      </c>
      <c r="H2" s="104">
        <f t="shared" si="1"/>
        <v>92.97310345</v>
      </c>
      <c r="I2" s="104">
        <f t="shared" si="1"/>
        <v>191.2251724</v>
      </c>
      <c r="J2" s="104">
        <f t="shared" si="1"/>
        <v>261.7440517</v>
      </c>
      <c r="K2" s="105">
        <f>'Memory Ratios'!$N$2</f>
        <v>0.2</v>
      </c>
      <c r="L2" s="105">
        <f>'Memory Ratios'!$O$2</f>
        <v>0.3</v>
      </c>
      <c r="M2" s="105">
        <f>'Memory Ratios'!$P$2</f>
        <v>0.4</v>
      </c>
      <c r="N2" s="105">
        <f>'Memory Ratios'!$Q$2</f>
        <v>0.6</v>
      </c>
      <c r="O2" s="99">
        <f t="shared" ref="O2:O24" si="5">C2*E2*$W$2</f>
        <v>54</v>
      </c>
      <c r="P2" s="98" t="s">
        <v>1085</v>
      </c>
      <c r="S2" s="106">
        <f t="shared" ref="S2:V2" si="2">AVERAGE(G4,G12:G14,G16:G18)/(AVERAGE($E$4,$E$12:$E$14,$E$16:$E$18)*AVERAGE($C$4,$C$12:$C$14,$C$16:$C$18))</f>
        <v>0.1161286174</v>
      </c>
      <c r="T2" s="106">
        <f t="shared" si="2"/>
        <v>0.3182604502</v>
      </c>
      <c r="U2" s="106">
        <f t="shared" si="2"/>
        <v>0.7522636656</v>
      </c>
      <c r="V2" s="106">
        <f t="shared" si="2"/>
        <v>1.018545016</v>
      </c>
      <c r="W2" s="107">
        <v>0.2</v>
      </c>
    </row>
    <row r="3">
      <c r="A3" s="93" t="s">
        <v>225</v>
      </c>
      <c r="B3" s="93">
        <f t="shared" si="3"/>
        <v>48</v>
      </c>
      <c r="C3" s="93">
        <v>2.0</v>
      </c>
      <c r="D3" s="93">
        <f>VLOOKUP(A3,'CPU Specs'!$B$2:$E$251,4,FALSE)</f>
        <v>24</v>
      </c>
      <c r="E3" s="103">
        <f>VLOOKUP(A3,'CPU Specs'!$B$2:$K$253,10,FALSE)</f>
        <v>120</v>
      </c>
      <c r="F3" s="57" t="str">
        <f>IFNA(VLOOKUP(A3,'Bare Metal Power Profiles'!$I$3:$AE$26,1,FALSE),"No")</f>
        <v>No</v>
      </c>
      <c r="G3" s="104">
        <f t="shared" ref="G3:J3" si="4">G4*($E$3/$E$4)</f>
        <v>28.94896552</v>
      </c>
      <c r="H3" s="104">
        <f t="shared" si="4"/>
        <v>82.64275862</v>
      </c>
      <c r="I3" s="104">
        <f t="shared" si="4"/>
        <v>169.977931</v>
      </c>
      <c r="J3" s="104">
        <f t="shared" si="4"/>
        <v>232.6613793</v>
      </c>
      <c r="K3" s="105">
        <f>'Memory Ratios'!$N$2</f>
        <v>0.2</v>
      </c>
      <c r="L3" s="105">
        <f>'Memory Ratios'!$O$2</f>
        <v>0.3</v>
      </c>
      <c r="M3" s="105">
        <f>'Memory Ratios'!$P$2</f>
        <v>0.4</v>
      </c>
      <c r="N3" s="105">
        <f>'Memory Ratios'!$Q$2</f>
        <v>0.6</v>
      </c>
      <c r="O3" s="99">
        <f t="shared" si="5"/>
        <v>48</v>
      </c>
      <c r="P3" s="98" t="s">
        <v>1085</v>
      </c>
    </row>
    <row r="4">
      <c r="A4" s="93" t="s">
        <v>269</v>
      </c>
      <c r="B4" s="93">
        <f t="shared" si="3"/>
        <v>72</v>
      </c>
      <c r="C4" s="93">
        <v>2.0</v>
      </c>
      <c r="D4" s="93">
        <f>VLOOKUP(A4,'CPU Specs'!$B$2:$E$251,4,FALSE)</f>
        <v>36</v>
      </c>
      <c r="E4" s="103">
        <f>VLOOKUP(A4,'CPU Specs'!$B$2:$K$253,10,FALSE)</f>
        <v>145</v>
      </c>
      <c r="F4" s="57" t="str">
        <f>IFNA(VLOOKUP(A4,'Bare Metal Power Profiles'!$I$3:$AE$26,1,FALSE),"No")</f>
        <v>Xeon E5-2686 v4</v>
      </c>
      <c r="G4" s="108">
        <f>IFNA(VLOOKUP(A4,'Bare Metal Power Profiles'!$I$3:$AE$26,10,FALSE),"N/A")</f>
        <v>34.98</v>
      </c>
      <c r="H4" s="108">
        <f>IFNA(VLOOKUP(A4,'Bare Metal Power Profiles'!$I$3:$AE$26,11,FALSE),"N/A")</f>
        <v>99.86</v>
      </c>
      <c r="I4" s="108">
        <f>IFNA(VLOOKUP(A4,'Bare Metal Power Profiles'!$I$3:$AE$26,15,FALSE),"N/A")</f>
        <v>205.39</v>
      </c>
      <c r="J4" s="108">
        <f>IFNA(VLOOKUP(A4,'Bare Metal Power Profiles'!$I$3:$AF$26,24,FALSE),"N/A")</f>
        <v>281.1325</v>
      </c>
      <c r="K4" s="105">
        <f>'Memory Ratios'!$N$2</f>
        <v>0.2</v>
      </c>
      <c r="L4" s="105">
        <f>'Memory Ratios'!$O$2</f>
        <v>0.3</v>
      </c>
      <c r="M4" s="105">
        <f>'Memory Ratios'!$P$2</f>
        <v>0.4</v>
      </c>
      <c r="N4" s="105">
        <f>'Memory Ratios'!$Q$2</f>
        <v>0.6</v>
      </c>
      <c r="O4" s="99">
        <f t="shared" si="5"/>
        <v>58</v>
      </c>
      <c r="P4" s="98" t="s">
        <v>1086</v>
      </c>
    </row>
    <row r="5">
      <c r="A5" s="93" t="s">
        <v>376</v>
      </c>
      <c r="B5" s="93">
        <f t="shared" si="3"/>
        <v>32</v>
      </c>
      <c r="C5" s="93">
        <v>2.0</v>
      </c>
      <c r="D5" s="93">
        <f>VLOOKUP(A5,'CPU Specs'!$B$2:$E$251,4,FALSE)</f>
        <v>16</v>
      </c>
      <c r="E5" s="103">
        <f>VLOOKUP(A5,'CPU Specs'!$B$2:$K$253,10,FALSE)</f>
        <v>95</v>
      </c>
      <c r="F5" s="57" t="str">
        <f>IFNA(VLOOKUP(A5,'Bare Metal Power Profiles'!$I$3:$AE$26,1,FALSE),"No")</f>
        <v>No</v>
      </c>
      <c r="G5" s="104">
        <f t="shared" ref="G5:J5" si="6">G$4*($E5/$E$4)</f>
        <v>22.91793103</v>
      </c>
      <c r="H5" s="104">
        <f t="shared" si="6"/>
        <v>65.42551724</v>
      </c>
      <c r="I5" s="104">
        <f t="shared" si="6"/>
        <v>134.5658621</v>
      </c>
      <c r="J5" s="104">
        <f t="shared" si="6"/>
        <v>184.1902586</v>
      </c>
      <c r="K5" s="105">
        <f>'Memory Ratios'!$N$2</f>
        <v>0.2</v>
      </c>
      <c r="L5" s="105">
        <f>'Memory Ratios'!$O$2</f>
        <v>0.3</v>
      </c>
      <c r="M5" s="105">
        <f>'Memory Ratios'!$P$2</f>
        <v>0.4</v>
      </c>
      <c r="N5" s="105">
        <f>'Memory Ratios'!$Q$2</f>
        <v>0.6</v>
      </c>
      <c r="O5" s="99">
        <f t="shared" si="5"/>
        <v>38</v>
      </c>
      <c r="P5" s="98" t="s">
        <v>1085</v>
      </c>
    </row>
    <row r="6">
      <c r="A6" s="93" t="s">
        <v>387</v>
      </c>
      <c r="B6" s="93">
        <f t="shared" si="3"/>
        <v>32</v>
      </c>
      <c r="C6" s="93">
        <v>2.0</v>
      </c>
      <c r="D6" s="93">
        <f>VLOOKUP(A6,'CPU Specs'!$B$2:$E$251,4,FALSE)</f>
        <v>16</v>
      </c>
      <c r="E6" s="103">
        <f>VLOOKUP(A6,'CPU Specs'!$B$2:$K$253,10,FALSE)</f>
        <v>115</v>
      </c>
      <c r="F6" s="57" t="str">
        <f>IFNA(VLOOKUP(A6,'Bare Metal Power Profiles'!$I$3:$AE$26,1,FALSE),"No")</f>
        <v>No</v>
      </c>
      <c r="G6" s="104">
        <f t="shared" ref="G6:J6" si="7">G$4*($E6/$E$4)</f>
        <v>27.74275862</v>
      </c>
      <c r="H6" s="104">
        <f t="shared" si="7"/>
        <v>79.19931034</v>
      </c>
      <c r="I6" s="104">
        <f t="shared" si="7"/>
        <v>162.8955172</v>
      </c>
      <c r="J6" s="104">
        <f t="shared" si="7"/>
        <v>222.9671552</v>
      </c>
      <c r="K6" s="105">
        <f>'Memory Ratios'!$N$2</f>
        <v>0.2</v>
      </c>
      <c r="L6" s="105">
        <f>'Memory Ratios'!$O$2</f>
        <v>0.3</v>
      </c>
      <c r="M6" s="105">
        <f>'Memory Ratios'!$P$2</f>
        <v>0.4</v>
      </c>
      <c r="N6" s="105">
        <f>'Memory Ratios'!$Q$2</f>
        <v>0.6</v>
      </c>
      <c r="O6" s="99">
        <f t="shared" si="5"/>
        <v>46</v>
      </c>
      <c r="P6" s="98" t="s">
        <v>1085</v>
      </c>
    </row>
    <row r="7">
      <c r="A7" s="93" t="s">
        <v>90</v>
      </c>
      <c r="B7" s="93">
        <f t="shared" si="3"/>
        <v>32</v>
      </c>
      <c r="C7" s="93">
        <v>2.0</v>
      </c>
      <c r="D7" s="93">
        <f>VLOOKUP(A7,'CPU Specs'!$B$2:$E$251,4,FALSE)</f>
        <v>16</v>
      </c>
      <c r="E7" s="103">
        <f>VLOOKUP(A7,'CPU Specs'!$B$2:$K$253,10,FALSE)</f>
        <v>115</v>
      </c>
      <c r="F7" s="57" t="str">
        <f>IFNA(VLOOKUP(A7,'Bare Metal Power Profiles'!$I$3:$AE$26,1,FALSE),"No")</f>
        <v>No</v>
      </c>
      <c r="G7" s="104">
        <f t="shared" ref="G7:J7" si="8">G$4*($E7/$E$4)</f>
        <v>27.74275862</v>
      </c>
      <c r="H7" s="104">
        <f t="shared" si="8"/>
        <v>79.19931034</v>
      </c>
      <c r="I7" s="104">
        <f t="shared" si="8"/>
        <v>162.8955172</v>
      </c>
      <c r="J7" s="104">
        <f t="shared" si="8"/>
        <v>222.9671552</v>
      </c>
      <c r="K7" s="105">
        <f>'Memory Ratios'!$N$2</f>
        <v>0.2</v>
      </c>
      <c r="L7" s="105">
        <f>'Memory Ratios'!$O$2</f>
        <v>0.3</v>
      </c>
      <c r="M7" s="105">
        <f>'Memory Ratios'!$P$2</f>
        <v>0.4</v>
      </c>
      <c r="N7" s="105">
        <f>'Memory Ratios'!$Q$2</f>
        <v>0.6</v>
      </c>
      <c r="O7" s="99">
        <f t="shared" si="5"/>
        <v>46</v>
      </c>
      <c r="P7" s="98" t="s">
        <v>1085</v>
      </c>
    </row>
    <row r="8">
      <c r="A8" s="93" t="s">
        <v>83</v>
      </c>
      <c r="B8" s="93">
        <f t="shared" si="3"/>
        <v>48</v>
      </c>
      <c r="C8" s="93">
        <v>2.0</v>
      </c>
      <c r="D8" s="93">
        <f>VLOOKUP(A8,'CPU Specs'!$B$2:$E$251,4,FALSE)</f>
        <v>24</v>
      </c>
      <c r="E8" s="103">
        <f>VLOOKUP(A8,'CPU Specs'!$B$2:$K$253,10,FALSE)</f>
        <v>95</v>
      </c>
      <c r="F8" s="57" t="str">
        <f>IFNA(VLOOKUP(A8,'Bare Metal Power Profiles'!$I$3:$AE$26,1,FALSE),"No")</f>
        <v>No</v>
      </c>
      <c r="G8" s="104">
        <f t="shared" ref="G8:J8" si="9">G$4*($E8/$E$4)</f>
        <v>22.91793103</v>
      </c>
      <c r="H8" s="104">
        <f t="shared" si="9"/>
        <v>65.42551724</v>
      </c>
      <c r="I8" s="104">
        <f t="shared" si="9"/>
        <v>134.5658621</v>
      </c>
      <c r="J8" s="104">
        <f t="shared" si="9"/>
        <v>184.1902586</v>
      </c>
      <c r="K8" s="105">
        <f>'Memory Ratios'!$N$2</f>
        <v>0.2</v>
      </c>
      <c r="L8" s="105">
        <f>'Memory Ratios'!$O$2</f>
        <v>0.3</v>
      </c>
      <c r="M8" s="105">
        <f>'Memory Ratios'!$P$2</f>
        <v>0.4</v>
      </c>
      <c r="N8" s="105">
        <f>'Memory Ratios'!$Q$2</f>
        <v>0.6</v>
      </c>
      <c r="O8" s="99">
        <f t="shared" si="5"/>
        <v>38</v>
      </c>
      <c r="P8" s="98" t="s">
        <v>1085</v>
      </c>
    </row>
    <row r="9">
      <c r="A9" s="93" t="s">
        <v>259</v>
      </c>
      <c r="B9" s="93">
        <f t="shared" si="3"/>
        <v>40</v>
      </c>
      <c r="C9" s="93">
        <v>2.0</v>
      </c>
      <c r="D9" s="93">
        <f>VLOOKUP(A9,'CPU Specs'!$B$2:$E$251,4,FALSE)</f>
        <v>20</v>
      </c>
      <c r="E9" s="103">
        <f>VLOOKUP(A9,'CPU Specs'!$B$2:$K$253,10,FALSE)</f>
        <v>115</v>
      </c>
      <c r="F9" s="57" t="str">
        <f>IFNA(VLOOKUP(A9,'Bare Metal Power Profiles'!$I$3:$AE$26,1,FALSE),"No")</f>
        <v>No</v>
      </c>
      <c r="G9" s="104">
        <f t="shared" ref="G9:J9" si="10">G$4*($E9/$E$4)</f>
        <v>27.74275862</v>
      </c>
      <c r="H9" s="104">
        <f t="shared" si="10"/>
        <v>79.19931034</v>
      </c>
      <c r="I9" s="104">
        <f t="shared" si="10"/>
        <v>162.8955172</v>
      </c>
      <c r="J9" s="104">
        <f t="shared" si="10"/>
        <v>222.9671552</v>
      </c>
      <c r="K9" s="105">
        <f>'Memory Ratios'!$N$2</f>
        <v>0.2</v>
      </c>
      <c r="L9" s="105">
        <f>'Memory Ratios'!$O$2</f>
        <v>0.3</v>
      </c>
      <c r="M9" s="105">
        <f>'Memory Ratios'!$P$2</f>
        <v>0.4</v>
      </c>
      <c r="N9" s="105">
        <f>'Memory Ratios'!$Q$2</f>
        <v>0.6</v>
      </c>
      <c r="O9" s="99">
        <f t="shared" si="5"/>
        <v>46</v>
      </c>
      <c r="P9" s="98" t="s">
        <v>1085</v>
      </c>
    </row>
    <row r="10">
      <c r="A10" s="93" t="s">
        <v>99</v>
      </c>
      <c r="B10" s="93">
        <f t="shared" si="3"/>
        <v>40</v>
      </c>
      <c r="C10" s="93">
        <v>2.0</v>
      </c>
      <c r="D10" s="93">
        <f>VLOOKUP(A10,'CPU Specs'!$B$2:$E$251,4,FALSE)</f>
        <v>20</v>
      </c>
      <c r="E10" s="103">
        <f>VLOOKUP(A10,'CPU Specs'!$B$2:$K$253,10,FALSE)</f>
        <v>115</v>
      </c>
      <c r="F10" s="57" t="str">
        <f>IFNA(VLOOKUP(A10,'Bare Metal Power Profiles'!$I$3:$AE$26,1,FALSE),"No")</f>
        <v>No</v>
      </c>
      <c r="G10" s="104">
        <f t="shared" ref="G10:J10" si="11">G$4*($E10/$E$4)</f>
        <v>27.74275862</v>
      </c>
      <c r="H10" s="104">
        <f t="shared" si="11"/>
        <v>79.19931034</v>
      </c>
      <c r="I10" s="104">
        <f t="shared" si="11"/>
        <v>162.8955172</v>
      </c>
      <c r="J10" s="104">
        <f t="shared" si="11"/>
        <v>222.9671552</v>
      </c>
      <c r="K10" s="105">
        <f>'Memory Ratios'!$N$2</f>
        <v>0.2</v>
      </c>
      <c r="L10" s="105">
        <f>'Memory Ratios'!$O$2</f>
        <v>0.3</v>
      </c>
      <c r="M10" s="105">
        <f>'Memory Ratios'!$P$2</f>
        <v>0.4</v>
      </c>
      <c r="N10" s="105">
        <f>'Memory Ratios'!$Q$2</f>
        <v>0.6</v>
      </c>
      <c r="O10" s="99">
        <f t="shared" si="5"/>
        <v>46</v>
      </c>
      <c r="P10" s="98" t="s">
        <v>1085</v>
      </c>
    </row>
    <row r="11">
      <c r="A11" s="93" t="s">
        <v>690</v>
      </c>
      <c r="B11" s="93">
        <f t="shared" si="3"/>
        <v>128</v>
      </c>
      <c r="C11" s="93">
        <v>4.0</v>
      </c>
      <c r="D11" s="109">
        <v>32.0</v>
      </c>
      <c r="E11" s="103">
        <f>VLOOKUP(A11,'CPU Specs'!$B$2:$K$253,10,FALSE)</f>
        <v>150</v>
      </c>
      <c r="F11" s="57" t="str">
        <f>IFNA(VLOOKUP(A11,'Bare Metal Power Profiles'!$I$3:$AE$26,1,FALSE),"No")</f>
        <v>No</v>
      </c>
      <c r="G11" s="104">
        <f t="shared" ref="G11:J11" si="12">G$4*(($E11*$C$11)/($E$4*$C$4))</f>
        <v>72.37241379</v>
      </c>
      <c r="H11" s="104">
        <f t="shared" si="12"/>
        <v>206.6068966</v>
      </c>
      <c r="I11" s="104">
        <f t="shared" si="12"/>
        <v>424.9448276</v>
      </c>
      <c r="J11" s="104">
        <f t="shared" si="12"/>
        <v>581.6534483</v>
      </c>
      <c r="K11" s="105">
        <f>'Memory Ratios'!$N$2</f>
        <v>0.2</v>
      </c>
      <c r="L11" s="105">
        <f>'Memory Ratios'!$O$2</f>
        <v>0.3</v>
      </c>
      <c r="M11" s="105">
        <f>'Memory Ratios'!$P$2</f>
        <v>0.4</v>
      </c>
      <c r="N11" s="105">
        <f>'Memory Ratios'!$Q$2</f>
        <v>0.6</v>
      </c>
      <c r="O11" s="99">
        <f t="shared" si="5"/>
        <v>120</v>
      </c>
      <c r="P11" s="98" t="s">
        <v>1087</v>
      </c>
    </row>
    <row r="12">
      <c r="A12" s="93" t="s">
        <v>120</v>
      </c>
      <c r="B12" s="93">
        <f t="shared" si="3"/>
        <v>72</v>
      </c>
      <c r="C12" s="93">
        <v>2.0</v>
      </c>
      <c r="D12" s="93">
        <f>VLOOKUP(A12,'CPU Specs'!$B$2:$E$251,4,FALSE)</f>
        <v>36</v>
      </c>
      <c r="E12" s="103">
        <f>VLOOKUP(A12,'CPU Specs'!$B$2:$K$253,10,FALSE)</f>
        <v>240</v>
      </c>
      <c r="F12" s="57" t="str">
        <f>IFNA(VLOOKUP(A12,'Bare Metal Power Profiles'!$I$3:$AE$26,1,FALSE),"No")</f>
        <v>Xeon Platinum 8124M</v>
      </c>
      <c r="G12" s="108">
        <f>IFNA(VLOOKUP(A12,'Bare Metal Power Profiles'!$I$3:$AE$26,10,FALSE),"N/A")</f>
        <v>50.66</v>
      </c>
      <c r="H12" s="108">
        <f>IFNA(VLOOKUP(A12,'Bare Metal Power Profiles'!$I$3:$AE$26,11,FALSE),"N/A")</f>
        <v>134.85</v>
      </c>
      <c r="I12" s="108">
        <f>IFNA(VLOOKUP(A12,'Bare Metal Power Profiles'!$I$3:$AE$26,15,FALSE),"N/A")</f>
        <v>293.21</v>
      </c>
      <c r="J12" s="108">
        <f>IFNA(VLOOKUP(A12,'Bare Metal Power Profiles'!$I$3:$AF$26,24,FALSE),"N/A")</f>
        <v>423.68</v>
      </c>
      <c r="K12" s="110">
        <f>VLOOKUP(F12,'Memory Ratios'!$B$2:$J$21,6,FALSE)</f>
        <v>0.1944791667</v>
      </c>
      <c r="L12" s="110">
        <f>VLOOKUP(F12,'Memory Ratios'!$B$2:$J$21,7,FALSE)</f>
        <v>0.3513020833</v>
      </c>
      <c r="M12" s="110">
        <f>VLOOKUP(F12,'Memory Ratios'!$B$2:$J$21,8,FALSE)</f>
        <v>0.616875</v>
      </c>
      <c r="N12" s="110">
        <f>VLOOKUP(F12,'Memory Ratios'!$B$2:$J$21,9,FALSE)</f>
        <v>0.8824479167</v>
      </c>
      <c r="O12" s="99">
        <f t="shared" si="5"/>
        <v>96</v>
      </c>
    </row>
    <row r="13">
      <c r="A13" s="93" t="s">
        <v>726</v>
      </c>
      <c r="B13" s="93">
        <f t="shared" si="3"/>
        <v>48</v>
      </c>
      <c r="C13" s="93">
        <v>2.0</v>
      </c>
      <c r="D13" s="93">
        <f>VLOOKUP(A13,'CPU Specs'!$B$2:$E$251,4,FALSE)</f>
        <v>24</v>
      </c>
      <c r="E13" s="103">
        <f>VLOOKUP(A13,'CPU Specs'!$B$2:$K$253,10,FALSE)</f>
        <v>240</v>
      </c>
      <c r="F13" s="57" t="str">
        <f>IFNA(VLOOKUP(A13,'Bare Metal Power Profiles'!$I$3:$AE$26,1,FALSE),"No")</f>
        <v>Xeon Platinum 8151</v>
      </c>
      <c r="G13" s="108">
        <f>IFNA(VLOOKUP(A13,'Bare Metal Power Profiles'!$I$3:$AE$26,10,FALSE),"N/A")</f>
        <v>48</v>
      </c>
      <c r="H13" s="108">
        <f>IFNA(VLOOKUP(A13,'Bare Metal Power Profiles'!$I$3:$AE$26,11,FALSE),"N/A")</f>
        <v>148</v>
      </c>
      <c r="I13" s="108">
        <f>IFNA(VLOOKUP(A13,'Bare Metal Power Profiles'!$I$3:$AE$26,15,FALSE),"N/A")</f>
        <v>361</v>
      </c>
      <c r="J13" s="108">
        <f>IFNA(VLOOKUP(A13,'Bare Metal Power Profiles'!$I$3:$AF$26,24,FALSE),"N/A")</f>
        <v>441</v>
      </c>
      <c r="K13" s="110">
        <f>VLOOKUP(F13,'Memory Ratios'!$B$2:$J$21,6,FALSE)</f>
        <v>0.1302083333</v>
      </c>
      <c r="L13" s="110">
        <f>VLOOKUP(F13,'Memory Ratios'!$B$2:$J$21,7,FALSE)</f>
        <v>0.2395833333</v>
      </c>
      <c r="M13" s="110">
        <f>VLOOKUP(F13,'Memory Ratios'!$B$2:$J$21,8,FALSE)</f>
        <v>0.453125</v>
      </c>
      <c r="N13" s="110">
        <f>VLOOKUP(F13,'Memory Ratios'!$B$2:$J$21,9,FALSE)</f>
        <v>0.6666666667</v>
      </c>
      <c r="O13" s="99">
        <f t="shared" si="5"/>
        <v>96</v>
      </c>
    </row>
    <row r="14">
      <c r="A14" s="93" t="s">
        <v>350</v>
      </c>
      <c r="B14" s="93">
        <f t="shared" si="3"/>
        <v>96</v>
      </c>
      <c r="C14" s="93">
        <v>2.0</v>
      </c>
      <c r="D14" s="93">
        <f>VLOOKUP(A14,'CPU Specs'!$B$2:$E$251,4,FALSE)</f>
        <v>48</v>
      </c>
      <c r="E14" s="103">
        <f>VLOOKUP(A14,'CPU Specs'!$B$2:$K$253,10,FALSE)</f>
        <v>240</v>
      </c>
      <c r="F14" s="57" t="str">
        <f>IFNA(VLOOKUP(A14,'Bare Metal Power Profiles'!$I$3:$AE$26,1,FALSE),"No")</f>
        <v>Xeon Platinum 8175M</v>
      </c>
      <c r="G14" s="108">
        <f>IFNA(VLOOKUP(A14,'Bare Metal Power Profiles'!$I$3:$AE$26,10,FALSE),"N/A")</f>
        <v>57.88</v>
      </c>
      <c r="H14" s="108">
        <f>IFNA(VLOOKUP(A14,'Bare Metal Power Profiles'!$I$3:$AE$26,11,FALSE),"N/A")</f>
        <v>146.63</v>
      </c>
      <c r="I14" s="108">
        <f>IFNA(VLOOKUP(A14,'Bare Metal Power Profiles'!$I$3:$AE$26,15,FALSE),"N/A")</f>
        <v>343.7</v>
      </c>
      <c r="J14" s="108">
        <f>IFNA(VLOOKUP(A14,'Bare Metal Power Profiles'!$I$3:$AF$26,24,FALSE),"N/A")</f>
        <v>477.975</v>
      </c>
      <c r="K14" s="110">
        <f>VLOOKUP(F14,'Memory Ratios'!$B$2:$J$21,6,FALSE)</f>
        <v>0.150546875</v>
      </c>
      <c r="L14" s="110">
        <f>VLOOKUP(F14,'Memory Ratios'!$B$2:$J$21,7,FALSE)</f>
        <v>0.2405989583</v>
      </c>
      <c r="M14" s="110">
        <f>VLOOKUP(F14,'Memory Ratios'!$B$2:$J$21,8,FALSE)</f>
        <v>0.6200520833</v>
      </c>
      <c r="N14" s="110">
        <f>VLOOKUP(F14,'Memory Ratios'!$B$2:$J$21,9,FALSE)</f>
        <v>0.9995052083</v>
      </c>
      <c r="O14" s="99">
        <f t="shared" si="5"/>
        <v>96</v>
      </c>
    </row>
    <row r="15">
      <c r="A15" s="93" t="s">
        <v>682</v>
      </c>
      <c r="B15" s="93">
        <f t="shared" si="3"/>
        <v>448</v>
      </c>
      <c r="C15" s="93">
        <v>8.0</v>
      </c>
      <c r="D15" s="93">
        <f>VLOOKUP(A15,'CPU Specs'!$B$2:$E$251,4,FALSE)</f>
        <v>56</v>
      </c>
      <c r="E15" s="103">
        <f>VLOOKUP(A15,'CPU Specs'!$B$2:$K$253,10,FALSE)</f>
        <v>165</v>
      </c>
      <c r="F15" s="57" t="str">
        <f>IFNA(VLOOKUP(A15,'Bare Metal Power Profiles'!$I$3:$AE$26,1,FALSE),"No")</f>
        <v>No</v>
      </c>
      <c r="G15" s="104">
        <f t="shared" ref="G15:J15" si="13">G14*(($E$15*$C$15)/($E$14*$C$14))</f>
        <v>159.17</v>
      </c>
      <c r="H15" s="104">
        <f t="shared" si="13"/>
        <v>403.2325</v>
      </c>
      <c r="I15" s="104">
        <f t="shared" si="13"/>
        <v>945.175</v>
      </c>
      <c r="J15" s="104">
        <f t="shared" si="13"/>
        <v>1314.43125</v>
      </c>
      <c r="K15" s="105">
        <f>'Memory Ratios'!$N$2</f>
        <v>0.2</v>
      </c>
      <c r="L15" s="105">
        <f>'Memory Ratios'!$O$2</f>
        <v>0.3</v>
      </c>
      <c r="M15" s="105">
        <f>'Memory Ratios'!$P$2</f>
        <v>0.4</v>
      </c>
      <c r="N15" s="105">
        <f>'Memory Ratios'!$Q$2</f>
        <v>0.6</v>
      </c>
      <c r="O15" s="99">
        <f t="shared" si="5"/>
        <v>264</v>
      </c>
      <c r="P15" s="98" t="s">
        <v>1088</v>
      </c>
    </row>
    <row r="16">
      <c r="A16" s="93" t="s">
        <v>472</v>
      </c>
      <c r="B16" s="93">
        <f t="shared" si="3"/>
        <v>48</v>
      </c>
      <c r="C16" s="93">
        <v>2.0</v>
      </c>
      <c r="D16" s="93">
        <f>VLOOKUP(A16,'CPU Specs'!$B$2:$E$251,4,FALSE)</f>
        <v>24</v>
      </c>
      <c r="E16" s="103">
        <f>VLOOKUP(A16,'CPU Specs'!$B$2:$K$253,10,FALSE)</f>
        <v>240</v>
      </c>
      <c r="F16" s="57" t="str">
        <f>IFNA(VLOOKUP(A16,'Bare Metal Power Profiles'!$I$3:$AE$26,1,FALSE),"No")</f>
        <v>Xeon Platinum 8252C</v>
      </c>
      <c r="G16" s="108">
        <f>IFNA(VLOOKUP(A16,'Bare Metal Power Profiles'!$I$3:$AE$26,10,FALSE),"N/A")</f>
        <v>57</v>
      </c>
      <c r="H16" s="108">
        <f>IFNA(VLOOKUP(A16,'Bare Metal Power Profiles'!$I$3:$AE$26,11,FALSE),"N/A")</f>
        <v>147</v>
      </c>
      <c r="I16" s="108">
        <f>IFNA(VLOOKUP(A16,'Bare Metal Power Profiles'!$I$3:$AE$26,15,FALSE),"N/A")</f>
        <v>381</v>
      </c>
      <c r="J16" s="108">
        <f>IFNA(VLOOKUP(A16,'Bare Metal Power Profiles'!$I$3:$AF$26,24,FALSE),"N/A")</f>
        <v>471.75</v>
      </c>
      <c r="K16" s="110">
        <f>VLOOKUP(F16,'Memory Ratios'!$B$2:$J$21,6,FALSE)</f>
        <v>0.25</v>
      </c>
      <c r="L16" s="110">
        <f>VLOOKUP(F16,'Memory Ratios'!$B$2:$J$21,7,FALSE)</f>
        <v>0.359375</v>
      </c>
      <c r="M16" s="110">
        <f>VLOOKUP(F16,'Memory Ratios'!$B$2:$J$21,8,FALSE)</f>
        <v>0.6588541667</v>
      </c>
      <c r="N16" s="110">
        <f>VLOOKUP(F16,'Memory Ratios'!$B$2:$J$21,9,FALSE)</f>
        <v>0.9583333333</v>
      </c>
      <c r="O16" s="99">
        <f t="shared" si="5"/>
        <v>96</v>
      </c>
    </row>
    <row r="17">
      <c r="A17" s="93" t="s">
        <v>237</v>
      </c>
      <c r="B17" s="93">
        <f t="shared" si="3"/>
        <v>96</v>
      </c>
      <c r="C17" s="93">
        <v>2.0</v>
      </c>
      <c r="D17" s="93">
        <f>VLOOKUP(A17,'CPU Specs'!$B$2:$E$251,4,FALSE)</f>
        <v>48</v>
      </c>
      <c r="E17" s="103">
        <f>VLOOKUP(A17,'CPU Specs'!$B$2:$K$253,10,FALSE)</f>
        <v>210</v>
      </c>
      <c r="F17" s="57" t="str">
        <f>IFNA(VLOOKUP(A17,'Bare Metal Power Profiles'!$I$3:$AE$26,1,FALSE),"No")</f>
        <v>Xeon Platinum 8259CL</v>
      </c>
      <c r="G17" s="108">
        <f>IFNA(VLOOKUP(A17,'Bare Metal Power Profiles'!$I$3:$AE$26,10,FALSE),"N/A")</f>
        <v>54.71</v>
      </c>
      <c r="H17" s="108">
        <f>IFNA(VLOOKUP(A17,'Bare Metal Power Profiles'!$I$3:$AE$26,11,FALSE),"N/A")</f>
        <v>137.92</v>
      </c>
      <c r="I17" s="108">
        <f>IFNA(VLOOKUP(A17,'Bare Metal Power Profiles'!$I$3:$AE$26,15,FALSE),"N/A")</f>
        <v>306.93</v>
      </c>
      <c r="J17" s="108">
        <f>IFNA(VLOOKUP(A17,'Bare Metal Power Profiles'!$I$3:$AF$26,24,FALSE),"N/A")</f>
        <v>445.3825</v>
      </c>
      <c r="K17" s="110">
        <f>VLOOKUP(F17,'Memory Ratios'!$B$2:$J$21,6,FALSE)</f>
        <v>0.1555078125</v>
      </c>
      <c r="L17" s="110">
        <f>VLOOKUP(F17,'Memory Ratios'!$B$2:$J$21,7,FALSE)</f>
        <v>0.2573697917</v>
      </c>
      <c r="M17" s="110">
        <f>VLOOKUP(F17,'Memory Ratios'!$B$2:$J$21,8,FALSE)</f>
        <v>0.4606510417</v>
      </c>
      <c r="N17" s="110">
        <f>VLOOKUP(F17,'Memory Ratios'!$B$2:$J$21,9,FALSE)</f>
        <v>0.6639322917</v>
      </c>
      <c r="O17" s="99">
        <f t="shared" si="5"/>
        <v>84</v>
      </c>
    </row>
    <row r="18">
      <c r="A18" s="93" t="s">
        <v>129</v>
      </c>
      <c r="B18" s="93">
        <f t="shared" si="3"/>
        <v>96</v>
      </c>
      <c r="C18" s="93">
        <v>2.0</v>
      </c>
      <c r="D18" s="93">
        <f>VLOOKUP(A18,'CPU Specs'!$B$2:$E$251,4,FALSE)</f>
        <v>48</v>
      </c>
      <c r="E18" s="103">
        <f>VLOOKUP(A18,'CPU Specs'!$B$2:$K$253,10,FALSE)</f>
        <v>240</v>
      </c>
      <c r="F18" s="57" t="str">
        <f>IFNA(VLOOKUP(A18,'Bare Metal Power Profiles'!$I$3:$AE$26,1,FALSE),"No")</f>
        <v>Xeon Platinum 8275CL</v>
      </c>
      <c r="G18" s="108">
        <f>IFNA(VLOOKUP(A18,'Bare Metal Power Profiles'!$I$3:$AE$26,10,FALSE),"N/A")</f>
        <v>57.93</v>
      </c>
      <c r="H18" s="108">
        <f>IFNA(VLOOKUP(A18,'Bare Metal Power Profiles'!$I$3:$AE$26,11,FALSE),"N/A")</f>
        <v>175.53</v>
      </c>
      <c r="I18" s="108">
        <f>IFNA(VLOOKUP(A18,'Bare Metal Power Profiles'!$I$3:$AE$26,15,FALSE),"N/A")</f>
        <v>448.31</v>
      </c>
      <c r="J18" s="108">
        <f>IFNA(VLOOKUP(A18,'Bare Metal Power Profiles'!$I$3:$AF$26,24,FALSE),"N/A")</f>
        <v>626.755</v>
      </c>
      <c r="K18" s="110">
        <f>VLOOKUP(F18,'Memory Ratios'!$B$2:$J$21,6,FALSE)</f>
        <v>0.1903645833</v>
      </c>
      <c r="L18" s="110">
        <f>VLOOKUP(F18,'Memory Ratios'!$B$2:$J$21,7,FALSE)</f>
        <v>0.3451041667</v>
      </c>
      <c r="M18" s="110">
        <f>VLOOKUP(F18,'Memory Ratios'!$B$2:$J$21,8,FALSE)</f>
        <v>0.7206770833</v>
      </c>
      <c r="N18" s="110">
        <f>VLOOKUP(F18,'Memory Ratios'!$B$2:$J$21,9,FALSE)</f>
        <v>1.09625</v>
      </c>
      <c r="O18" s="99">
        <f t="shared" si="5"/>
        <v>96</v>
      </c>
    </row>
    <row r="19">
      <c r="A19" s="111" t="s">
        <v>501</v>
      </c>
      <c r="B19" s="111">
        <v>128.0</v>
      </c>
      <c r="C19" s="111">
        <v>2.0</v>
      </c>
      <c r="D19" s="93">
        <f>VLOOKUP(A19,'CPU Specs'!$B$2:$E$251,4,FALSE)</f>
        <v>64</v>
      </c>
      <c r="E19" s="112">
        <f>VLOOKUP(A19,'CPU Specs'!$B$2:$K$253,10,FALSE)</f>
        <v>300</v>
      </c>
      <c r="F19" s="57" t="str">
        <f>IFNA(VLOOKUP(A19,'Bare Metal Power Profiles'!$I$3:$AE$26,1,FALSE),"No")</f>
        <v>No</v>
      </c>
      <c r="G19" s="104">
        <f t="shared" ref="G19:J19" si="14">S$2*$E19*$C19</f>
        <v>69.67717042</v>
      </c>
      <c r="H19" s="104">
        <f t="shared" si="14"/>
        <v>190.9562701</v>
      </c>
      <c r="I19" s="104">
        <f t="shared" si="14"/>
        <v>451.3581994</v>
      </c>
      <c r="J19" s="104">
        <f t="shared" si="14"/>
        <v>611.1270096</v>
      </c>
      <c r="K19" s="105">
        <f>'Memory Ratios'!$N$2</f>
        <v>0.2</v>
      </c>
      <c r="L19" s="105">
        <f>'Memory Ratios'!$O$2</f>
        <v>0.3</v>
      </c>
      <c r="M19" s="105">
        <f>'Memory Ratios'!$P$2</f>
        <v>0.4</v>
      </c>
      <c r="N19" s="105">
        <f>'Memory Ratios'!$Q$2</f>
        <v>0.6</v>
      </c>
      <c r="O19" s="99">
        <f t="shared" si="5"/>
        <v>120</v>
      </c>
      <c r="P19" s="113" t="s">
        <v>1089</v>
      </c>
    </row>
    <row r="20">
      <c r="A20" s="93" t="s">
        <v>423</v>
      </c>
      <c r="B20" s="93">
        <f t="shared" ref="B20:B24" si="16">C20*D20</f>
        <v>96</v>
      </c>
      <c r="C20" s="93">
        <v>2.0</v>
      </c>
      <c r="D20" s="109">
        <v>48.0</v>
      </c>
      <c r="E20" s="114">
        <f>VLOOKUP(A20,'CPU Specs'!$B$2:$K$253,10,FALSE)</f>
        <v>200</v>
      </c>
      <c r="F20" s="57" t="str">
        <f>IFNA(VLOOKUP(A20,'Bare Metal Power Profiles'!$I$3:$AE$26,1,FALSE),"No")</f>
        <v>No</v>
      </c>
      <c r="G20" s="104">
        <f t="shared" ref="G20:J20" si="15">S$2*$E20*$C20</f>
        <v>46.45144695</v>
      </c>
      <c r="H20" s="104">
        <f t="shared" si="15"/>
        <v>127.3041801</v>
      </c>
      <c r="I20" s="104">
        <f t="shared" si="15"/>
        <v>300.9054662</v>
      </c>
      <c r="J20" s="104">
        <f t="shared" si="15"/>
        <v>407.4180064</v>
      </c>
      <c r="K20" s="105">
        <f>'Memory Ratios'!$N$2</f>
        <v>0.2</v>
      </c>
      <c r="L20" s="105">
        <f>'Memory Ratios'!$O$2</f>
        <v>0.3</v>
      </c>
      <c r="M20" s="105">
        <f>'Memory Ratios'!$P$2</f>
        <v>0.4</v>
      </c>
      <c r="N20" s="105">
        <f>'Memory Ratios'!$Q$2</f>
        <v>0.6</v>
      </c>
      <c r="O20" s="99">
        <f t="shared" si="5"/>
        <v>80</v>
      </c>
      <c r="P20" s="115" t="s">
        <v>1090</v>
      </c>
    </row>
    <row r="21">
      <c r="A21" s="93" t="s">
        <v>135</v>
      </c>
      <c r="B21" s="93">
        <f t="shared" si="16"/>
        <v>96</v>
      </c>
      <c r="C21" s="93">
        <v>1.0</v>
      </c>
      <c r="D21" s="93">
        <f>VLOOKUP(A21,'CPU Specs'!$B$2:$E$251,4,FALSE)</f>
        <v>96</v>
      </c>
      <c r="E21" s="114">
        <f>VLOOKUP(A21,'CPU Specs'!$B$2:$K$253,10,FALSE)</f>
        <v>280</v>
      </c>
      <c r="F21" s="57" t="str">
        <f>IFNA(VLOOKUP(A21,'Bare Metal Power Profiles'!$I$3:$AE$26,1,FALSE),"No")</f>
        <v>No</v>
      </c>
      <c r="G21" s="104">
        <f t="shared" ref="G21:J21" si="17">S$2*$E21*$C21</f>
        <v>32.51601286</v>
      </c>
      <c r="H21" s="104">
        <f t="shared" si="17"/>
        <v>89.11292605</v>
      </c>
      <c r="I21" s="104">
        <f t="shared" si="17"/>
        <v>210.6338264</v>
      </c>
      <c r="J21" s="104">
        <f t="shared" si="17"/>
        <v>285.1926045</v>
      </c>
      <c r="K21" s="105">
        <f>'Memory Ratios'!$N$2</f>
        <v>0.2</v>
      </c>
      <c r="L21" s="105">
        <f>'Memory Ratios'!$O$2</f>
        <v>0.3</v>
      </c>
      <c r="M21" s="105">
        <f>'Memory Ratios'!$P$2</f>
        <v>0.4</v>
      </c>
      <c r="N21" s="105">
        <f>'Memory Ratios'!$Q$2</f>
        <v>0.6</v>
      </c>
      <c r="O21" s="99">
        <f t="shared" si="5"/>
        <v>56</v>
      </c>
      <c r="P21" s="98" t="s">
        <v>1091</v>
      </c>
    </row>
    <row r="22" ht="15.75" customHeight="1">
      <c r="A22" s="93" t="s">
        <v>70</v>
      </c>
      <c r="B22" s="93">
        <f t="shared" si="16"/>
        <v>16</v>
      </c>
      <c r="C22" s="93">
        <v>1.0</v>
      </c>
      <c r="D22" s="93">
        <f>VLOOKUP(A22,'CPU Specs'!$B$2:$E$251,4,FALSE)</f>
        <v>16</v>
      </c>
      <c r="E22" s="114">
        <f>VLOOKUP(A22,'CPU Specs'!$B$2:$K$253,10,FALSE)</f>
        <v>40</v>
      </c>
      <c r="F22" s="57" t="str">
        <f>IFNA(VLOOKUP(A22,'Bare Metal Power Profiles'!$I$3:$AE$26,1,FALSE),"No")</f>
        <v>No</v>
      </c>
      <c r="G22" s="104">
        <f t="shared" ref="G22:J22" si="18">S$2*$E22*$C22</f>
        <v>4.645144695</v>
      </c>
      <c r="H22" s="104">
        <f t="shared" si="18"/>
        <v>12.73041801</v>
      </c>
      <c r="I22" s="104">
        <f t="shared" si="18"/>
        <v>30.09054662</v>
      </c>
      <c r="J22" s="104">
        <f t="shared" si="18"/>
        <v>40.74180064</v>
      </c>
      <c r="K22" s="105">
        <f>'Memory Ratios'!$N$2</f>
        <v>0.2</v>
      </c>
      <c r="L22" s="105">
        <f>'Memory Ratios'!$O$2</f>
        <v>0.3</v>
      </c>
      <c r="M22" s="105">
        <f>'Memory Ratios'!$P$2</f>
        <v>0.4</v>
      </c>
      <c r="N22" s="105">
        <f>'Memory Ratios'!$Q$2</f>
        <v>0.6</v>
      </c>
      <c r="O22" s="99">
        <f t="shared" si="5"/>
        <v>8</v>
      </c>
      <c r="P22" s="115" t="s">
        <v>1092</v>
      </c>
    </row>
    <row r="23" ht="15.75" customHeight="1">
      <c r="A23" s="93" t="s">
        <v>189</v>
      </c>
      <c r="B23" s="93">
        <f t="shared" si="16"/>
        <v>64</v>
      </c>
      <c r="C23" s="93">
        <v>1.0</v>
      </c>
      <c r="D23" s="93">
        <f>VLOOKUP(A23,'CPU Specs'!$B$2:$E$251,4,FALSE)</f>
        <v>64</v>
      </c>
      <c r="E23" s="116">
        <v>150.0</v>
      </c>
      <c r="F23" s="57" t="str">
        <f>IFNA(VLOOKUP(A23,'Bare Metal Power Profiles'!$I$3:$AE$26,1,FALSE),"No")</f>
        <v>No</v>
      </c>
      <c r="G23" s="104">
        <f t="shared" ref="G23:J23" si="19">S$2*$E23*$C23</f>
        <v>17.4192926</v>
      </c>
      <c r="H23" s="104">
        <f t="shared" si="19"/>
        <v>47.73906752</v>
      </c>
      <c r="I23" s="104">
        <f t="shared" si="19"/>
        <v>112.8395498</v>
      </c>
      <c r="J23" s="104">
        <f t="shared" si="19"/>
        <v>152.7817524</v>
      </c>
      <c r="K23" s="105">
        <f>'Memory Ratios'!$N$2</f>
        <v>0.2</v>
      </c>
      <c r="L23" s="105">
        <f>'Memory Ratios'!$O$2</f>
        <v>0.3</v>
      </c>
      <c r="M23" s="105">
        <f>'Memory Ratios'!$P$2</f>
        <v>0.4</v>
      </c>
      <c r="N23" s="105">
        <f>'Memory Ratios'!$Q$2</f>
        <v>0.6</v>
      </c>
      <c r="O23" s="99">
        <f t="shared" si="5"/>
        <v>30</v>
      </c>
      <c r="P23" s="117" t="s">
        <v>1093</v>
      </c>
    </row>
    <row r="24" ht="15.75" customHeight="1">
      <c r="A24" s="93" t="s">
        <v>513</v>
      </c>
      <c r="B24" s="93">
        <f t="shared" si="16"/>
        <v>12</v>
      </c>
      <c r="C24" s="93">
        <v>1.0</v>
      </c>
      <c r="D24" s="93">
        <f>VLOOKUP(A24,'CPU Specs'!$B$2:$E$1253,4,FALSE)</f>
        <v>12</v>
      </c>
      <c r="E24" s="65">
        <f>VLOOKUP(A24,'CPU Specs'!$B$2:$K$1253,10,FALSE)</f>
        <v>65</v>
      </c>
      <c r="F24" s="57" t="str">
        <f>IFNA(VLOOKUP(A24,'Bare Metal Power Profiles'!$I$3:$AE$26,1,FALSE),"No")</f>
        <v>No</v>
      </c>
      <c r="G24" s="104">
        <f t="shared" ref="G24:J24" si="20">S$2*$E24*$C24</f>
        <v>7.548360129</v>
      </c>
      <c r="H24" s="104">
        <f t="shared" si="20"/>
        <v>20.68692926</v>
      </c>
      <c r="I24" s="104">
        <f t="shared" si="20"/>
        <v>48.89713826</v>
      </c>
      <c r="J24" s="104">
        <f t="shared" si="20"/>
        <v>66.20542605</v>
      </c>
      <c r="K24" s="105">
        <f>'Memory Ratios'!$N$2</f>
        <v>0.2</v>
      </c>
      <c r="L24" s="105">
        <f>'Memory Ratios'!$O$2</f>
        <v>0.3</v>
      </c>
      <c r="M24" s="105">
        <f>'Memory Ratios'!$P$2</f>
        <v>0.4</v>
      </c>
      <c r="N24" s="105">
        <f>'Memory Ratios'!$Q$2</f>
        <v>0.6</v>
      </c>
      <c r="O24" s="99">
        <f t="shared" si="5"/>
        <v>13</v>
      </c>
      <c r="P24" s="98" t="s">
        <v>1091</v>
      </c>
    </row>
    <row r="25" ht="15.75" customHeight="1">
      <c r="A25" s="118"/>
      <c r="B25" s="118"/>
      <c r="C25" s="118"/>
      <c r="D25" s="118"/>
      <c r="E25" s="103"/>
    </row>
  </sheetData>
  <hyperlinks>
    <hyperlink r:id="rId1" ref="P19"/>
    <hyperlink r:id="rId2" ref="P20"/>
    <hyperlink r:id="rId3" ref="P22"/>
    <hyperlink r:id="rId4" ref="P23"/>
  </hyperlinks>
  <printOptions/>
  <pageMargins bottom="0.75" footer="0.0" header="0.0" left="0.7" right="0.7" top="0.75"/>
  <pageSetup orientation="landscape"/>
  <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20.88"/>
    <col customWidth="1" min="3" max="6" width="7.75"/>
    <col customWidth="1" min="7" max="10" width="8.5"/>
    <col customWidth="1" min="11" max="11" width="22.25"/>
    <col customWidth="1" min="12" max="12" width="6.63"/>
    <col customWidth="1" min="13" max="17" width="7.75"/>
  </cols>
  <sheetData>
    <row r="1">
      <c r="A1" s="47" t="s">
        <v>956</v>
      </c>
      <c r="B1" s="47" t="s">
        <v>1094</v>
      </c>
      <c r="C1" s="47" t="s">
        <v>960</v>
      </c>
      <c r="D1" s="90" t="s">
        <v>987</v>
      </c>
      <c r="E1" s="90" t="s">
        <v>1095</v>
      </c>
      <c r="F1" s="90" t="s">
        <v>1096</v>
      </c>
      <c r="G1" s="119" t="s">
        <v>1097</v>
      </c>
      <c r="H1" s="119" t="s">
        <v>1098</v>
      </c>
      <c r="I1" s="119" t="s">
        <v>1099</v>
      </c>
      <c r="J1" s="119" t="s">
        <v>1100</v>
      </c>
      <c r="K1" s="90" t="s">
        <v>1101</v>
      </c>
      <c r="L1" s="90" t="s">
        <v>1102</v>
      </c>
      <c r="M1" s="100" t="s">
        <v>1103</v>
      </c>
      <c r="N1" s="101" t="s">
        <v>1097</v>
      </c>
      <c r="O1" s="101" t="s">
        <v>1098</v>
      </c>
      <c r="P1" s="101" t="s">
        <v>1099</v>
      </c>
      <c r="Q1" s="101" t="s">
        <v>1100</v>
      </c>
    </row>
    <row r="2">
      <c r="A2" s="98" t="str">
        <f>'Bare Metal Power Profiles'!B3</f>
        <v>c5n.metal</v>
      </c>
      <c r="B2" s="98" t="str">
        <f>'Bare Metal Power Profiles'!I3</f>
        <v>Xeon Platinum 8124M</v>
      </c>
      <c r="C2" s="98">
        <f>'Bare Metal Power Profiles'!F3</f>
        <v>192</v>
      </c>
      <c r="D2" s="108">
        <f>'Bare Metal Power Profiles'!AG3</f>
        <v>37.34</v>
      </c>
      <c r="E2" s="108">
        <f>'Bare Metal Power Profiles'!AH3</f>
        <v>67.45</v>
      </c>
      <c r="F2" s="108">
        <f>MAX('Bare Metal Power Profiles'!AS3,'Bare Metal Power Profiles'!AT3)</f>
        <v>169.43</v>
      </c>
      <c r="G2" s="106">
        <f t="shared" ref="G2:G8" si="1">D2/C2</f>
        <v>0.1944791667</v>
      </c>
      <c r="H2" s="106">
        <f t="shared" ref="H2:H8" si="2">E2/C2</f>
        <v>0.3513020833</v>
      </c>
      <c r="I2" s="106">
        <f t="shared" ref="I2:I8" si="3">H2+((J2-H2)/2)</f>
        <v>0.616875</v>
      </c>
      <c r="J2" s="106">
        <f t="shared" ref="J2:J8" si="4">F2/C2</f>
        <v>0.8824479167</v>
      </c>
      <c r="N2" s="98">
        <v>0.2</v>
      </c>
      <c r="O2" s="98">
        <v>0.3</v>
      </c>
      <c r="P2" s="98">
        <v>0.4</v>
      </c>
      <c r="Q2" s="98">
        <v>0.6</v>
      </c>
    </row>
    <row r="3">
      <c r="A3" s="98" t="str">
        <f>'Bare Metal Power Profiles'!B4</f>
        <v>c5.metal (underclocked)</v>
      </c>
      <c r="B3" s="98" t="str">
        <f>'Bare Metal Power Profiles'!I4</f>
        <v>Xeon Platinum 8275CL*</v>
      </c>
      <c r="C3" s="98">
        <f>'Bare Metal Power Profiles'!F4</f>
        <v>192</v>
      </c>
      <c r="D3" s="108">
        <f>'Bare Metal Power Profiles'!AG4</f>
        <v>74</v>
      </c>
      <c r="E3" s="108">
        <f>'Bare Metal Power Profiles'!AH4</f>
        <v>75</v>
      </c>
      <c r="F3" s="108">
        <f>MAX('Bare Metal Power Profiles'!AS4,'Bare Metal Power Profiles'!AT4)</f>
        <v>223</v>
      </c>
      <c r="G3" s="106">
        <f t="shared" si="1"/>
        <v>0.3854166667</v>
      </c>
      <c r="H3" s="106">
        <f t="shared" si="2"/>
        <v>0.390625</v>
      </c>
      <c r="I3" s="106">
        <f t="shared" si="3"/>
        <v>0.7760416667</v>
      </c>
      <c r="J3" s="106">
        <f t="shared" si="4"/>
        <v>1.161458333</v>
      </c>
    </row>
    <row r="4">
      <c r="A4" s="98" t="str">
        <f>'Bare Metal Power Profiles'!B5</f>
        <v>c5.metal</v>
      </c>
      <c r="B4" s="98" t="str">
        <f>'Bare Metal Power Profiles'!I5</f>
        <v>Xeon Platinum 8275CL</v>
      </c>
      <c r="C4" s="98">
        <f>'Bare Metal Power Profiles'!F5</f>
        <v>192</v>
      </c>
      <c r="D4" s="108">
        <f>'Bare Metal Power Profiles'!AG5</f>
        <v>36.55</v>
      </c>
      <c r="E4" s="108">
        <f>'Bare Metal Power Profiles'!AH5</f>
        <v>66.26</v>
      </c>
      <c r="F4" s="108">
        <f>MAX('Bare Metal Power Profiles'!AS5,'Bare Metal Power Profiles'!AT5)</f>
        <v>210.48</v>
      </c>
      <c r="G4" s="106">
        <f t="shared" si="1"/>
        <v>0.1903645833</v>
      </c>
      <c r="H4" s="106">
        <f t="shared" si="2"/>
        <v>0.3451041667</v>
      </c>
      <c r="I4" s="106">
        <f t="shared" si="3"/>
        <v>0.7206770833</v>
      </c>
      <c r="J4" s="106">
        <f t="shared" si="4"/>
        <v>1.09625</v>
      </c>
      <c r="K4" s="120" t="s">
        <v>1104</v>
      </c>
      <c r="L4" s="120">
        <v>12.0</v>
      </c>
    </row>
    <row r="5">
      <c r="A5" s="98" t="str">
        <f>'Bare Metal Power Profiles'!B6</f>
        <v>c5.metal*</v>
      </c>
      <c r="B5" s="98" t="str">
        <f>'Bare Metal Power Profiles'!I6</f>
        <v>Xeon Platinum 8275CL*</v>
      </c>
      <c r="C5" s="98">
        <f>'Bare Metal Power Profiles'!F6</f>
        <v>192</v>
      </c>
      <c r="D5" s="108">
        <f>'Bare Metal Power Profiles'!AG6</f>
        <v>46.8</v>
      </c>
      <c r="E5" s="108">
        <f>'Bare Metal Power Profiles'!AH6</f>
        <v>74.04</v>
      </c>
      <c r="F5" s="108">
        <f>MAX('Bare Metal Power Profiles'!AS6,'Bare Metal Power Profiles'!AT6)</f>
        <v>213.71</v>
      </c>
      <c r="G5" s="106">
        <f t="shared" si="1"/>
        <v>0.24375</v>
      </c>
      <c r="H5" s="106">
        <f t="shared" si="2"/>
        <v>0.385625</v>
      </c>
      <c r="I5" s="106">
        <f t="shared" si="3"/>
        <v>0.7493489583</v>
      </c>
      <c r="J5" s="106">
        <f t="shared" si="4"/>
        <v>1.113072917</v>
      </c>
    </row>
    <row r="6">
      <c r="A6" s="98" t="str">
        <f>'Bare Metal Power Profiles'!B12</f>
        <v>m5zn.metal</v>
      </c>
      <c r="B6" s="98" t="str">
        <f>'Bare Metal Power Profiles'!I12</f>
        <v>Xeon Platinum 8252C</v>
      </c>
      <c r="C6" s="98">
        <f>'Bare Metal Power Profiles'!F12</f>
        <v>192</v>
      </c>
      <c r="D6" s="108">
        <f>'Bare Metal Power Profiles'!AG12</f>
        <v>48</v>
      </c>
      <c r="E6" s="108">
        <f>'Bare Metal Power Profiles'!AH12</f>
        <v>69</v>
      </c>
      <c r="F6" s="108">
        <f>MAX('Bare Metal Power Profiles'!AS12,'Bare Metal Power Profiles'!AT12)</f>
        <v>184</v>
      </c>
      <c r="G6" s="106">
        <f t="shared" si="1"/>
        <v>0.25</v>
      </c>
      <c r="H6" s="106">
        <f t="shared" si="2"/>
        <v>0.359375</v>
      </c>
      <c r="I6" s="106">
        <f t="shared" si="3"/>
        <v>0.6588541667</v>
      </c>
      <c r="J6" s="106">
        <f t="shared" si="4"/>
        <v>0.9583333333</v>
      </c>
    </row>
    <row r="7">
      <c r="A7" s="98" t="str">
        <f>'Bare Metal Power Profiles'!B19</f>
        <v>Lenovo ST550</v>
      </c>
      <c r="B7" s="98" t="str">
        <f>'Bare Metal Power Profiles'!I19</f>
        <v>Xeon Silver 4110</v>
      </c>
      <c r="C7" s="98">
        <f>'Bare Metal Power Profiles'!F19</f>
        <v>192</v>
      </c>
      <c r="D7" s="108">
        <f>'Bare Metal Power Profiles'!AG19</f>
        <v>41.07</v>
      </c>
      <c r="E7" s="108">
        <f>'Bare Metal Power Profiles'!AH19</f>
        <v>57.78</v>
      </c>
      <c r="F7" s="108">
        <f>MAX('Bare Metal Power Profiles'!AS19,'Bare Metal Power Profiles'!AT19)</f>
        <v>131.46</v>
      </c>
      <c r="G7" s="106">
        <f t="shared" si="1"/>
        <v>0.21390625</v>
      </c>
      <c r="H7" s="106">
        <f t="shared" si="2"/>
        <v>0.3009375</v>
      </c>
      <c r="I7" s="106">
        <f t="shared" si="3"/>
        <v>0.4928125</v>
      </c>
      <c r="J7" s="106">
        <f t="shared" si="4"/>
        <v>0.6846875</v>
      </c>
    </row>
    <row r="8">
      <c r="A8" s="98" t="str">
        <f>'Bare Metal Power Profiles'!B21</f>
        <v>s3.xlarge.x86</v>
      </c>
      <c r="B8" s="98" t="str">
        <f>'Bare Metal Power Profiles'!I21</f>
        <v>Xeon Silver 4214</v>
      </c>
      <c r="C8" s="98">
        <f>'Bare Metal Power Profiles'!F21</f>
        <v>192</v>
      </c>
      <c r="D8" s="108">
        <f>'Bare Metal Power Profiles'!AG21</f>
        <v>3.91</v>
      </c>
      <c r="E8" s="108">
        <f>'Bare Metal Power Profiles'!AH21</f>
        <v>42.39</v>
      </c>
      <c r="F8" s="108">
        <f>MAX('Bare Metal Power Profiles'!AS21,'Bare Metal Power Profiles'!AT21)</f>
        <v>142.42</v>
      </c>
      <c r="G8" s="106">
        <f t="shared" si="1"/>
        <v>0.02036458333</v>
      </c>
      <c r="H8" s="106">
        <f t="shared" si="2"/>
        <v>0.22078125</v>
      </c>
      <c r="I8" s="106">
        <f t="shared" si="3"/>
        <v>0.4812760417</v>
      </c>
      <c r="J8" s="106">
        <f t="shared" si="4"/>
        <v>0.7417708333</v>
      </c>
    </row>
    <row r="9">
      <c r="C9" s="121" t="s">
        <v>1105</v>
      </c>
      <c r="D9" s="122"/>
      <c r="E9" s="122"/>
      <c r="F9" s="123"/>
      <c r="G9" s="124">
        <f t="shared" ref="G9:J9" si="5">AVERAGE(G2:G8)</f>
        <v>0.2140401786</v>
      </c>
      <c r="H9" s="124">
        <f t="shared" si="5"/>
        <v>0.33625</v>
      </c>
      <c r="I9" s="124">
        <f t="shared" si="5"/>
        <v>0.6422693452</v>
      </c>
      <c r="J9" s="124">
        <f t="shared" si="5"/>
        <v>0.9482886905</v>
      </c>
    </row>
    <row r="10">
      <c r="A10" s="98" t="str">
        <f>'Bare Metal Power Profiles'!B23</f>
        <v>2xIntelGold6230R</v>
      </c>
      <c r="B10" s="98" t="str">
        <f>'Bare Metal Power Profiles'!I23</f>
        <v>Xeon Gold 6230R</v>
      </c>
      <c r="C10" s="98">
        <f>'Bare Metal Power Profiles'!F23</f>
        <v>256</v>
      </c>
      <c r="D10" s="108">
        <f>'Bare Metal Power Profiles'!AG23</f>
        <v>7.31</v>
      </c>
      <c r="E10" s="108">
        <f>'Bare Metal Power Profiles'!AH23</f>
        <v>37.77</v>
      </c>
      <c r="F10" s="108">
        <f>MAX('Bare Metal Power Profiles'!AS23,'Bare Metal Power Profiles'!AT23)</f>
        <v>151.42</v>
      </c>
      <c r="G10" s="106">
        <f>D10/C10</f>
        <v>0.0285546875</v>
      </c>
      <c r="H10" s="106">
        <f>E10/C10</f>
        <v>0.1475390625</v>
      </c>
      <c r="I10" s="106">
        <f>H10+((J10-H10)/2)</f>
        <v>0.3695117188</v>
      </c>
      <c r="J10" s="106">
        <f>F10/C10</f>
        <v>0.591484375</v>
      </c>
    </row>
    <row r="11">
      <c r="C11" s="121" t="s">
        <v>1106</v>
      </c>
      <c r="D11" s="122"/>
      <c r="E11" s="122"/>
      <c r="F11" s="123"/>
      <c r="G11" s="124">
        <f t="shared" ref="G11:J11" si="6">AVERAGE(G10)</f>
        <v>0.0285546875</v>
      </c>
      <c r="H11" s="124">
        <f t="shared" si="6"/>
        <v>0.1475390625</v>
      </c>
      <c r="I11" s="124">
        <f t="shared" si="6"/>
        <v>0.3695117188</v>
      </c>
      <c r="J11" s="124">
        <f t="shared" si="6"/>
        <v>0.591484375</v>
      </c>
    </row>
    <row r="12">
      <c r="A12" s="98" t="str">
        <f>'Bare Metal Power Profiles'!B9</f>
        <v>m5.metal (underclocked)</v>
      </c>
      <c r="B12" s="98" t="str">
        <f>'Bare Metal Power Profiles'!I9</f>
        <v>Xeon Platinum 8259CL*</v>
      </c>
      <c r="C12" s="98">
        <f>'Bare Metal Power Profiles'!F9</f>
        <v>384</v>
      </c>
      <c r="D12" s="108">
        <f>'Bare Metal Power Profiles'!AG9</f>
        <v>93</v>
      </c>
      <c r="E12" s="108">
        <f>'Bare Metal Power Profiles'!AH9</f>
        <v>94</v>
      </c>
      <c r="F12" s="108">
        <f>MAX('Bare Metal Power Profiles'!AS9,'Bare Metal Power Profiles'!AT9)</f>
        <v>301</v>
      </c>
      <c r="G12" s="106">
        <f t="shared" ref="G12:G16" si="7">D12/C12</f>
        <v>0.2421875</v>
      </c>
      <c r="H12" s="106">
        <f t="shared" ref="H12:H16" si="8">E12/C12</f>
        <v>0.2447916667</v>
      </c>
      <c r="I12" s="106">
        <f t="shared" ref="I12:I16" si="9">H12+((J12-H12)/2)</f>
        <v>0.5143229167</v>
      </c>
      <c r="J12" s="106">
        <f t="shared" ref="J12:J16" si="10">F12/C12</f>
        <v>0.7838541667</v>
      </c>
    </row>
    <row r="13">
      <c r="A13" s="98" t="str">
        <f>'Bare Metal Power Profiles'!B10</f>
        <v>m5.metal</v>
      </c>
      <c r="B13" s="98" t="str">
        <f>'Bare Metal Power Profiles'!I10</f>
        <v>Xeon Platinum 8175M</v>
      </c>
      <c r="C13" s="98">
        <f>'Bare Metal Power Profiles'!F10</f>
        <v>384</v>
      </c>
      <c r="D13" s="108">
        <f>'Bare Metal Power Profiles'!AG10</f>
        <v>57.81</v>
      </c>
      <c r="E13" s="108">
        <f>'Bare Metal Power Profiles'!AH10</f>
        <v>92.39</v>
      </c>
      <c r="F13" s="108">
        <f>MAX('Bare Metal Power Profiles'!AS10,'Bare Metal Power Profiles'!AT10)</f>
        <v>383.81</v>
      </c>
      <c r="G13" s="106">
        <f t="shared" si="7"/>
        <v>0.150546875</v>
      </c>
      <c r="H13" s="106">
        <f t="shared" si="8"/>
        <v>0.2405989583</v>
      </c>
      <c r="I13" s="106">
        <f t="shared" si="9"/>
        <v>0.6200520833</v>
      </c>
      <c r="J13" s="106">
        <f t="shared" si="10"/>
        <v>0.9995052083</v>
      </c>
    </row>
    <row r="14">
      <c r="A14" s="98" t="str">
        <f>'Bare Metal Power Profiles'!B11</f>
        <v>z1d.metal</v>
      </c>
      <c r="B14" s="98" t="str">
        <f>'Bare Metal Power Profiles'!I11</f>
        <v>Xeon Platinum 8151</v>
      </c>
      <c r="C14" s="98">
        <f>'Bare Metal Power Profiles'!F11</f>
        <v>384</v>
      </c>
      <c r="D14" s="108">
        <f>'Bare Metal Power Profiles'!AG11</f>
        <v>50</v>
      </c>
      <c r="E14" s="108">
        <f>'Bare Metal Power Profiles'!AH11</f>
        <v>92</v>
      </c>
      <c r="F14" s="108">
        <f>MAX('Bare Metal Power Profiles'!AS11,'Bare Metal Power Profiles'!AT11)</f>
        <v>256</v>
      </c>
      <c r="G14" s="106">
        <f t="shared" si="7"/>
        <v>0.1302083333</v>
      </c>
      <c r="H14" s="106">
        <f t="shared" si="8"/>
        <v>0.2395833333</v>
      </c>
      <c r="I14" s="106">
        <f t="shared" si="9"/>
        <v>0.453125</v>
      </c>
      <c r="J14" s="106">
        <f t="shared" si="10"/>
        <v>0.6666666667</v>
      </c>
    </row>
    <row r="15">
      <c r="A15" s="98" t="str">
        <f>'Bare Metal Power Profiles'!B22</f>
        <v>n2.xlarge.x86</v>
      </c>
      <c r="B15" s="98" t="str">
        <f>'Bare Metal Power Profiles'!I22</f>
        <v>Xeon Gold 5218</v>
      </c>
      <c r="C15" s="98">
        <f>'Bare Metal Power Profiles'!F22</f>
        <v>384</v>
      </c>
      <c r="D15" s="108">
        <f>'Bare Metal Power Profiles'!AG22</f>
        <v>94.17</v>
      </c>
      <c r="E15" s="108">
        <f>'Bare Metal Power Profiles'!AH22</f>
        <v>95.24</v>
      </c>
      <c r="F15" s="108">
        <f>MAX('Bare Metal Power Profiles'!AS22,'Bare Metal Power Profiles'!AT22)</f>
        <v>229.54</v>
      </c>
      <c r="G15" s="106">
        <f t="shared" si="7"/>
        <v>0.245234375</v>
      </c>
      <c r="H15" s="106">
        <f t="shared" si="8"/>
        <v>0.2480208333</v>
      </c>
      <c r="I15" s="106">
        <f t="shared" si="9"/>
        <v>0.422890625</v>
      </c>
      <c r="J15" s="106">
        <f t="shared" si="10"/>
        <v>0.5977604167</v>
      </c>
    </row>
    <row r="16">
      <c r="A16" s="98" t="str">
        <f>'Bare Metal Power Profiles'!B16</f>
        <v>HC-BM1-L</v>
      </c>
      <c r="B16" s="98" t="str">
        <f>'Bare Metal Power Profiles'!I16</f>
        <v>Xeon Gold 5120</v>
      </c>
      <c r="C16" s="98">
        <f>'Bare Metal Power Profiles'!F16</f>
        <v>384</v>
      </c>
      <c r="D16" s="108">
        <f>'Bare Metal Power Profiles'!AG16</f>
        <v>48.63</v>
      </c>
      <c r="E16" s="108">
        <f>'Bare Metal Power Profiles'!AH16</f>
        <v>92.13</v>
      </c>
      <c r="F16" s="108">
        <f>MAX('Bare Metal Power Profiles'!AS16,'Bare Metal Power Profiles'!AT16)</f>
        <v>215.5</v>
      </c>
      <c r="G16" s="106">
        <f t="shared" si="7"/>
        <v>0.126640625</v>
      </c>
      <c r="H16" s="106">
        <f t="shared" si="8"/>
        <v>0.239921875</v>
      </c>
      <c r="I16" s="106">
        <f t="shared" si="9"/>
        <v>0.4005598958</v>
      </c>
      <c r="J16" s="106">
        <f t="shared" si="10"/>
        <v>0.5611979167</v>
      </c>
    </row>
    <row r="17">
      <c r="C17" s="121" t="s">
        <v>1107</v>
      </c>
      <c r="D17" s="122"/>
      <c r="E17" s="122"/>
      <c r="F17" s="123"/>
      <c r="G17" s="124">
        <f t="shared" ref="G17:J17" si="11">AVERAGE(G12:G16)</f>
        <v>0.1789635417</v>
      </c>
      <c r="H17" s="124">
        <f t="shared" si="11"/>
        <v>0.2425833333</v>
      </c>
      <c r="I17" s="124">
        <f t="shared" si="11"/>
        <v>0.4821901042</v>
      </c>
      <c r="J17" s="124">
        <f t="shared" si="11"/>
        <v>0.721796875</v>
      </c>
    </row>
    <row r="18">
      <c r="A18" s="98" t="str">
        <f>'Bare Metal Power Profiles'!B7</f>
        <v>r5.metal (underclocked)</v>
      </c>
      <c r="B18" s="98" t="str">
        <f>'Bare Metal Power Profiles'!I7</f>
        <v>Xeon Platinum 8175M*</v>
      </c>
      <c r="C18" s="98">
        <f>'Bare Metal Power Profiles'!F7</f>
        <v>768</v>
      </c>
      <c r="D18" s="108">
        <f>'Bare Metal Power Profiles'!AG7</f>
        <v>187</v>
      </c>
      <c r="E18" s="108">
        <f>'Bare Metal Power Profiles'!AH7</f>
        <v>187</v>
      </c>
      <c r="F18" s="108">
        <f>MAX('Bare Metal Power Profiles'!AS7,'Bare Metal Power Profiles'!AT7)</f>
        <v>470</v>
      </c>
      <c r="G18" s="106">
        <f t="shared" ref="G18:G19" si="12">D18/C18</f>
        <v>0.2434895833</v>
      </c>
      <c r="H18" s="106">
        <f t="shared" ref="H18:H19" si="13">E18/C18</f>
        <v>0.2434895833</v>
      </c>
      <c r="I18" s="106">
        <f t="shared" ref="I18:I19" si="14">H18+((J18-H18)/2)</f>
        <v>0.427734375</v>
      </c>
      <c r="J18" s="106">
        <f t="shared" ref="J18:J19" si="15">F18/C18</f>
        <v>0.6119791667</v>
      </c>
    </row>
    <row r="19">
      <c r="A19" s="98" t="str">
        <f>'Bare Metal Power Profiles'!B8</f>
        <v>r5.metal</v>
      </c>
      <c r="B19" s="98" t="str">
        <f>'Bare Metal Power Profiles'!I8</f>
        <v>Xeon Platinum 8259CL</v>
      </c>
      <c r="C19" s="98">
        <f>'Bare Metal Power Profiles'!F8</f>
        <v>768</v>
      </c>
      <c r="D19" s="108">
        <f>'Bare Metal Power Profiles'!AG8</f>
        <v>119.43</v>
      </c>
      <c r="E19" s="108">
        <f>'Bare Metal Power Profiles'!AH8</f>
        <v>197.66</v>
      </c>
      <c r="F19" s="108">
        <f>MAX('Bare Metal Power Profiles'!AS8,'Bare Metal Power Profiles'!AT8)</f>
        <v>509.9</v>
      </c>
      <c r="G19" s="106">
        <f t="shared" si="12"/>
        <v>0.1555078125</v>
      </c>
      <c r="H19" s="106">
        <f t="shared" si="13"/>
        <v>0.2573697917</v>
      </c>
      <c r="I19" s="106">
        <f t="shared" si="14"/>
        <v>0.4606510417</v>
      </c>
      <c r="J19" s="106">
        <f t="shared" si="15"/>
        <v>0.6639322917</v>
      </c>
    </row>
    <row r="20">
      <c r="C20" s="121" t="s">
        <v>1108</v>
      </c>
      <c r="D20" s="122"/>
      <c r="E20" s="122"/>
      <c r="F20" s="123"/>
      <c r="G20" s="124">
        <f t="shared" ref="G20:J20" si="16">AVERAGE(G18:G19)</f>
        <v>0.1994986979</v>
      </c>
      <c r="H20" s="124">
        <f t="shared" si="16"/>
        <v>0.2504296875</v>
      </c>
      <c r="I20" s="124">
        <f t="shared" si="16"/>
        <v>0.4441927083</v>
      </c>
      <c r="J20" s="124">
        <f t="shared" si="16"/>
        <v>0.6379557292</v>
      </c>
    </row>
    <row r="21" ht="15.75" customHeight="1"/>
  </sheetData>
  <mergeCells count="4">
    <mergeCell ref="C9:F9"/>
    <mergeCell ref="C11:F11"/>
    <mergeCell ref="C17:F17"/>
    <mergeCell ref="C20:F20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13.13"/>
    <col customWidth="1" min="3" max="4" width="10.0"/>
    <col customWidth="1" min="5" max="5" width="12.5"/>
    <col customWidth="1" min="6" max="9" width="6.88"/>
    <col customWidth="1" min="10" max="10" width="43.5"/>
  </cols>
  <sheetData>
    <row r="1">
      <c r="A1" s="47" t="s">
        <v>1109</v>
      </c>
      <c r="B1" s="47" t="s">
        <v>1110</v>
      </c>
      <c r="C1" s="47" t="s">
        <v>1111</v>
      </c>
      <c r="D1" s="47" t="s">
        <v>1112</v>
      </c>
      <c r="E1" s="47" t="s">
        <v>1113</v>
      </c>
      <c r="F1" s="125" t="s">
        <v>1114</v>
      </c>
      <c r="G1" s="125" t="s">
        <v>1115</v>
      </c>
      <c r="H1" s="125" t="s">
        <v>1116</v>
      </c>
      <c r="I1" s="125" t="s">
        <v>1117</v>
      </c>
      <c r="J1" s="126" t="s">
        <v>1082</v>
      </c>
    </row>
    <row r="2">
      <c r="A2" s="98" t="s">
        <v>1118</v>
      </c>
      <c r="B2" s="98" t="s">
        <v>287</v>
      </c>
      <c r="C2" s="98">
        <v>8.0</v>
      </c>
      <c r="D2" s="98">
        <v>300.0</v>
      </c>
      <c r="E2" s="98" t="s">
        <v>1119</v>
      </c>
      <c r="F2" s="108">
        <f>$D2*'AWS Platforms Ratios'!S$2</f>
        <v>34.83858521</v>
      </c>
      <c r="G2" s="108">
        <f>$D2*'AWS Platforms Ratios'!T$2</f>
        <v>95.47813505</v>
      </c>
      <c r="H2" s="108">
        <f>$D2*'AWS Platforms Ratios'!U$2</f>
        <v>225.6790997</v>
      </c>
      <c r="I2" s="108">
        <f>$D2*'AWS Platforms Ratios'!V$2</f>
        <v>305.5635048</v>
      </c>
      <c r="J2" s="98" t="s">
        <v>1120</v>
      </c>
    </row>
    <row r="3">
      <c r="A3" s="98" t="s">
        <v>1118</v>
      </c>
      <c r="B3" s="98" t="s">
        <v>297</v>
      </c>
      <c r="C3" s="98">
        <v>8.0</v>
      </c>
      <c r="D3" s="98">
        <v>70.0</v>
      </c>
      <c r="E3" s="98" t="s">
        <v>1121</v>
      </c>
      <c r="F3" s="108">
        <f>$D3*'AWS Platforms Ratios'!S$2</f>
        <v>8.129003215</v>
      </c>
      <c r="G3" s="108">
        <f>$D3*'AWS Platforms Ratios'!T$2</f>
        <v>22.27823151</v>
      </c>
      <c r="H3" s="108">
        <f>$D3*'AWS Platforms Ratios'!U$2</f>
        <v>52.65845659</v>
      </c>
      <c r="I3" s="108">
        <f>$D3*'AWS Platforms Ratios'!V$2</f>
        <v>71.29815113</v>
      </c>
      <c r="J3" s="98" t="s">
        <v>1120</v>
      </c>
    </row>
    <row r="4">
      <c r="A4" s="98" t="s">
        <v>1065</v>
      </c>
      <c r="B4" s="98" t="s">
        <v>308</v>
      </c>
      <c r="C4" s="98">
        <v>16.0</v>
      </c>
      <c r="D4" s="98">
        <v>225.0</v>
      </c>
      <c r="E4" s="98" t="s">
        <v>1122</v>
      </c>
      <c r="F4" s="108">
        <f>$D4*'AWS Platforms Ratios'!S$2</f>
        <v>26.12893891</v>
      </c>
      <c r="G4" s="108">
        <f>$D4*'AWS Platforms Ratios'!T$2</f>
        <v>71.60860129</v>
      </c>
      <c r="H4" s="108">
        <f>$D4*'AWS Platforms Ratios'!U$2</f>
        <v>169.2593248</v>
      </c>
      <c r="I4" s="108">
        <f>$D4*'AWS Platforms Ratios'!V$2</f>
        <v>229.1726286</v>
      </c>
      <c r="J4" s="98" t="s">
        <v>1120</v>
      </c>
    </row>
    <row r="5">
      <c r="A5" s="98" t="s">
        <v>1118</v>
      </c>
      <c r="B5" s="98" t="s">
        <v>515</v>
      </c>
      <c r="C5" s="98">
        <v>24.0</v>
      </c>
      <c r="D5" s="98">
        <v>300.0</v>
      </c>
      <c r="E5" s="98" t="s">
        <v>1123</v>
      </c>
      <c r="F5" s="108">
        <f>$D5*'AWS Platforms Ratios'!S$2</f>
        <v>34.83858521</v>
      </c>
      <c r="G5" s="108">
        <f>$D5*'AWS Platforms Ratios'!T$2</f>
        <v>95.47813505</v>
      </c>
      <c r="H5" s="108">
        <f>$D5*'AWS Platforms Ratios'!U$2</f>
        <v>225.6790997</v>
      </c>
      <c r="I5" s="108">
        <f>$D5*'AWS Platforms Ratios'!V$2</f>
        <v>305.5635048</v>
      </c>
      <c r="J5" s="98" t="s">
        <v>1120</v>
      </c>
    </row>
    <row r="6">
      <c r="A6" s="98" t="s">
        <v>1118</v>
      </c>
      <c r="B6" s="98" t="s">
        <v>522</v>
      </c>
      <c r="C6" s="98">
        <v>32.0</v>
      </c>
      <c r="D6" s="98">
        <v>300.0</v>
      </c>
      <c r="E6" s="98" t="s">
        <v>1124</v>
      </c>
      <c r="F6" s="108">
        <f>$D6*'AWS Platforms Ratios'!S$2</f>
        <v>34.83858521</v>
      </c>
      <c r="G6" s="108">
        <f>$D6*'AWS Platforms Ratios'!T$2</f>
        <v>95.47813505</v>
      </c>
      <c r="H6" s="108">
        <f>$D6*'AWS Platforms Ratios'!U$2</f>
        <v>225.6790997</v>
      </c>
      <c r="I6" s="108">
        <f>$D6*'AWS Platforms Ratios'!V$2</f>
        <v>305.5635048</v>
      </c>
      <c r="J6" s="98" t="s">
        <v>1120</v>
      </c>
    </row>
    <row r="7">
      <c r="A7" s="98" t="s">
        <v>1118</v>
      </c>
      <c r="B7" s="120" t="s">
        <v>532</v>
      </c>
      <c r="C7" s="98">
        <v>40.0</v>
      </c>
      <c r="D7" s="98">
        <v>400.0</v>
      </c>
      <c r="E7" s="98" t="s">
        <v>1125</v>
      </c>
      <c r="F7" s="108">
        <f>$D7*'AWS Platforms Ratios'!S$2</f>
        <v>46.45144695</v>
      </c>
      <c r="G7" s="108">
        <f>$D7*'AWS Platforms Ratios'!T$2</f>
        <v>127.3041801</v>
      </c>
      <c r="H7" s="108">
        <f>$D7*'AWS Platforms Ratios'!U$2</f>
        <v>300.9054662</v>
      </c>
      <c r="I7" s="108">
        <f>$D7*'AWS Platforms Ratios'!V$2</f>
        <v>407.4180064</v>
      </c>
      <c r="J7" s="98" t="s">
        <v>1120</v>
      </c>
    </row>
    <row r="8">
      <c r="A8" s="98" t="s">
        <v>1118</v>
      </c>
      <c r="B8" s="120" t="s">
        <v>280</v>
      </c>
      <c r="C8" s="120">
        <v>4.0</v>
      </c>
      <c r="D8" s="120">
        <v>225.0</v>
      </c>
      <c r="E8" s="120" t="s">
        <v>1126</v>
      </c>
      <c r="F8" s="108">
        <f>$D8*'AWS Platforms Ratios'!S$2</f>
        <v>26.12893891</v>
      </c>
      <c r="G8" s="108">
        <f>$D8*'AWS Platforms Ratios'!T$2</f>
        <v>71.60860129</v>
      </c>
      <c r="H8" s="108">
        <f>$D8*'AWS Platforms Ratios'!U$2</f>
        <v>169.2593248</v>
      </c>
      <c r="I8" s="108">
        <f>$D8*'AWS Platforms Ratios'!V$2</f>
        <v>229.1726286</v>
      </c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9.63"/>
    <col customWidth="1" min="2" max="2" width="7.63"/>
    <col customWidth="1" min="3" max="3" width="88.0"/>
  </cols>
  <sheetData>
    <row r="1">
      <c r="A1" s="127" t="s">
        <v>1127</v>
      </c>
      <c r="B1" s="127" t="s">
        <v>1128</v>
      </c>
      <c r="C1" s="127" t="s">
        <v>1082</v>
      </c>
    </row>
    <row r="2">
      <c r="A2" s="128" t="s">
        <v>1129</v>
      </c>
      <c r="B2" s="129">
        <v>1000.0</v>
      </c>
      <c r="C2" s="130" t="s">
        <v>1130</v>
      </c>
    </row>
    <row r="3">
      <c r="A3" s="128" t="s">
        <v>1131</v>
      </c>
      <c r="B3" s="129">
        <v>4.0</v>
      </c>
      <c r="C3" s="130" t="s">
        <v>1132</v>
      </c>
    </row>
    <row r="4">
      <c r="A4" s="128" t="s">
        <v>1133</v>
      </c>
      <c r="B4" s="131">
        <f>1000/B3/12/30/24</f>
        <v>0.02893518519</v>
      </c>
      <c r="C4" s="132" t="s">
        <v>1134</v>
      </c>
    </row>
    <row r="5">
      <c r="A5" s="128" t="s">
        <v>1135</v>
      </c>
      <c r="B5" s="133">
        <v>16.0</v>
      </c>
      <c r="C5" s="130" t="s">
        <v>1136</v>
      </c>
    </row>
    <row r="6">
      <c r="A6" s="134" t="s">
        <v>1137</v>
      </c>
      <c r="B6" s="135">
        <f>'Dell R740 LCA'!D17/'Dell R740 LCA'!A17*B5</f>
        <v>22.1904</v>
      </c>
      <c r="C6" s="130" t="s">
        <v>1138</v>
      </c>
    </row>
    <row r="7">
      <c r="A7" s="128" t="s">
        <v>1139</v>
      </c>
      <c r="B7" s="129">
        <v>100.0</v>
      </c>
      <c r="C7" s="130" t="s">
        <v>1138</v>
      </c>
    </row>
    <row r="8">
      <c r="A8" s="128" t="s">
        <v>1140</v>
      </c>
      <c r="B8" s="129">
        <v>50.0</v>
      </c>
      <c r="C8" s="130" t="s">
        <v>1138</v>
      </c>
    </row>
    <row r="9">
      <c r="A9" s="128" t="s">
        <v>1141</v>
      </c>
      <c r="B9" s="129">
        <v>100.0</v>
      </c>
      <c r="C9" s="130" t="s">
        <v>1138</v>
      </c>
    </row>
    <row r="10">
      <c r="A10" s="128" t="s">
        <v>1142</v>
      </c>
      <c r="B10" s="129">
        <v>150.0</v>
      </c>
      <c r="C10" s="130" t="s">
        <v>1143</v>
      </c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23.25"/>
    <col customWidth="1" min="3" max="3" width="11.38"/>
    <col customWidth="1" min="4" max="4" width="10.88"/>
    <col customWidth="1" min="5" max="5" width="19.38"/>
    <col customWidth="1" min="6" max="7" width="17.25"/>
    <col customWidth="1" min="8" max="8" width="15.75"/>
  </cols>
  <sheetData>
    <row r="1">
      <c r="A1" s="98" t="s">
        <v>957</v>
      </c>
      <c r="B1" s="98" t="s">
        <v>1144</v>
      </c>
      <c r="C1" s="98" t="s">
        <v>1145</v>
      </c>
      <c r="D1" s="98" t="s">
        <v>1146</v>
      </c>
      <c r="E1" s="98" t="s">
        <v>1147</v>
      </c>
      <c r="F1" s="98" t="s">
        <v>1148</v>
      </c>
      <c r="G1" s="98" t="s">
        <v>16</v>
      </c>
      <c r="H1" s="136" t="s">
        <v>1149</v>
      </c>
    </row>
    <row r="2">
      <c r="A2" s="98" t="s">
        <v>1150</v>
      </c>
      <c r="B2" s="98" t="s">
        <v>1151</v>
      </c>
      <c r="C2" s="98" t="s">
        <v>1152</v>
      </c>
      <c r="D2" s="98" t="s">
        <v>1153</v>
      </c>
      <c r="E2" s="98">
        <v>415.755</v>
      </c>
      <c r="F2" s="137" t="s">
        <v>1154</v>
      </c>
      <c r="G2" s="98">
        <v>1.2</v>
      </c>
      <c r="H2" s="138" t="s">
        <v>1155</v>
      </c>
    </row>
    <row r="3">
      <c r="A3" s="98" t="s">
        <v>1156</v>
      </c>
      <c r="B3" s="98" t="s">
        <v>1157</v>
      </c>
      <c r="C3" s="98" t="s">
        <v>1152</v>
      </c>
      <c r="D3" s="98" t="s">
        <v>1158</v>
      </c>
      <c r="E3" s="98">
        <v>440.187</v>
      </c>
      <c r="F3" s="137" t="s">
        <v>1154</v>
      </c>
      <c r="G3" s="98">
        <v>1.2</v>
      </c>
    </row>
    <row r="4">
      <c r="A4" s="98" t="s">
        <v>1159</v>
      </c>
      <c r="B4" s="98" t="s">
        <v>1160</v>
      </c>
      <c r="C4" s="98" t="s">
        <v>1152</v>
      </c>
      <c r="D4" s="98" t="s">
        <v>1161</v>
      </c>
      <c r="E4" s="98">
        <v>350.861</v>
      </c>
      <c r="F4" s="137" t="s">
        <v>1154</v>
      </c>
      <c r="G4" s="98">
        <v>1.2</v>
      </c>
    </row>
    <row r="5">
      <c r="A5" s="98" t="s">
        <v>1162</v>
      </c>
      <c r="B5" s="98" t="s">
        <v>1163</v>
      </c>
      <c r="C5" s="98" t="s">
        <v>1152</v>
      </c>
      <c r="D5" s="98" t="s">
        <v>1161</v>
      </c>
      <c r="E5" s="98">
        <v>350.861</v>
      </c>
      <c r="F5" s="137" t="s">
        <v>1154</v>
      </c>
      <c r="G5" s="98">
        <v>1.2</v>
      </c>
    </row>
    <row r="6">
      <c r="A6" s="98" t="s">
        <v>1164</v>
      </c>
      <c r="B6" s="98" t="s">
        <v>1165</v>
      </c>
      <c r="C6" s="98" t="s">
        <v>1166</v>
      </c>
      <c r="E6" s="98">
        <v>928.0</v>
      </c>
      <c r="F6" s="137" t="s">
        <v>1167</v>
      </c>
      <c r="G6" s="98">
        <v>1.2</v>
      </c>
    </row>
    <row r="7">
      <c r="A7" s="98" t="s">
        <v>1168</v>
      </c>
      <c r="B7" s="98" t="s">
        <v>1169</v>
      </c>
      <c r="C7" s="98" t="s">
        <v>1170</v>
      </c>
      <c r="E7" s="98">
        <v>810.0</v>
      </c>
      <c r="F7" s="137" t="s">
        <v>1167</v>
      </c>
      <c r="G7" s="98">
        <v>1.2</v>
      </c>
    </row>
    <row r="8">
      <c r="A8" s="98" t="s">
        <v>1171</v>
      </c>
      <c r="B8" s="98" t="s">
        <v>1172</v>
      </c>
      <c r="C8" s="98" t="s">
        <v>1173</v>
      </c>
      <c r="E8" s="98">
        <v>708.0</v>
      </c>
      <c r="F8" s="137" t="s">
        <v>1167</v>
      </c>
      <c r="G8" s="98">
        <v>1.2</v>
      </c>
    </row>
    <row r="9">
      <c r="A9" s="98" t="s">
        <v>1174</v>
      </c>
      <c r="B9" s="98" t="s">
        <v>1175</v>
      </c>
      <c r="C9" s="98" t="s">
        <v>1176</v>
      </c>
      <c r="E9" s="98">
        <v>506.0</v>
      </c>
      <c r="F9" s="137" t="s">
        <v>1167</v>
      </c>
      <c r="G9" s="98">
        <v>1.2</v>
      </c>
    </row>
    <row r="10">
      <c r="A10" s="98" t="s">
        <v>1177</v>
      </c>
      <c r="B10" s="98" t="s">
        <v>1178</v>
      </c>
      <c r="C10" s="98" t="s">
        <v>1179</v>
      </c>
      <c r="E10" s="98">
        <v>500.0</v>
      </c>
      <c r="F10" s="137" t="s">
        <v>1167</v>
      </c>
      <c r="G10" s="98">
        <v>1.2</v>
      </c>
    </row>
    <row r="11">
      <c r="A11" s="98" t="s">
        <v>1180</v>
      </c>
      <c r="B11" s="98" t="s">
        <v>1181</v>
      </c>
      <c r="C11" s="98" t="s">
        <v>1182</v>
      </c>
      <c r="E11" s="98">
        <v>408.5</v>
      </c>
      <c r="F11" s="137" t="s">
        <v>1183</v>
      </c>
      <c r="G11" s="98">
        <v>1.2</v>
      </c>
    </row>
    <row r="12">
      <c r="A12" s="98" t="s">
        <v>1184</v>
      </c>
      <c r="B12" s="98" t="s">
        <v>1185</v>
      </c>
      <c r="C12" s="98" t="s">
        <v>1186</v>
      </c>
      <c r="E12" s="98">
        <v>790.0</v>
      </c>
      <c r="F12" s="137" t="s">
        <v>1167</v>
      </c>
      <c r="G12" s="98">
        <v>1.2</v>
      </c>
    </row>
    <row r="13">
      <c r="A13" s="98" t="s">
        <v>1187</v>
      </c>
      <c r="B13" s="98" t="s">
        <v>1188</v>
      </c>
      <c r="C13" s="98" t="s">
        <v>1176</v>
      </c>
      <c r="E13" s="98">
        <v>506.0</v>
      </c>
      <c r="F13" s="137" t="s">
        <v>1167</v>
      </c>
      <c r="G13" s="98">
        <v>1.2</v>
      </c>
    </row>
    <row r="14">
      <c r="A14" s="98" t="s">
        <v>1189</v>
      </c>
      <c r="B14" s="98" t="s">
        <v>1190</v>
      </c>
      <c r="C14" s="98" t="s">
        <v>1191</v>
      </c>
      <c r="E14" s="98">
        <v>130.0</v>
      </c>
      <c r="F14" s="137" t="s">
        <v>1167</v>
      </c>
      <c r="G14" s="98">
        <v>1.2</v>
      </c>
    </row>
    <row r="15">
      <c r="A15" s="98" t="s">
        <v>1192</v>
      </c>
      <c r="B15" s="98" t="s">
        <v>1193</v>
      </c>
      <c r="C15" s="98" t="s">
        <v>1194</v>
      </c>
      <c r="E15" s="98">
        <v>555.0</v>
      </c>
      <c r="F15" s="137" t="s">
        <v>1167</v>
      </c>
      <c r="G15" s="98">
        <v>1.2</v>
      </c>
    </row>
    <row r="16">
      <c r="A16" s="98" t="s">
        <v>1195</v>
      </c>
      <c r="B16" s="98" t="s">
        <v>1196</v>
      </c>
      <c r="C16" s="98" t="s">
        <v>1194</v>
      </c>
      <c r="E16" s="98">
        <v>555.0</v>
      </c>
      <c r="F16" s="137" t="s">
        <v>1167</v>
      </c>
      <c r="G16" s="98">
        <v>1.2</v>
      </c>
    </row>
    <row r="17">
      <c r="A17" s="98" t="s">
        <v>1197</v>
      </c>
      <c r="B17" s="98" t="s">
        <v>1198</v>
      </c>
      <c r="C17" s="98" t="s">
        <v>1199</v>
      </c>
      <c r="E17" s="98">
        <v>338.0</v>
      </c>
      <c r="F17" s="137" t="s">
        <v>1200</v>
      </c>
      <c r="G17" s="98">
        <v>1.2</v>
      </c>
    </row>
    <row r="18">
      <c r="A18" s="98" t="s">
        <v>1201</v>
      </c>
      <c r="B18" s="98" t="s">
        <v>1202</v>
      </c>
      <c r="C18" s="98" t="s">
        <v>1203</v>
      </c>
      <c r="E18" s="98">
        <v>316.0</v>
      </c>
      <c r="F18" s="137" t="s">
        <v>1200</v>
      </c>
      <c r="G18" s="98">
        <v>1.2</v>
      </c>
    </row>
    <row r="19">
      <c r="A19" s="98" t="s">
        <v>1204</v>
      </c>
      <c r="B19" s="98" t="s">
        <v>1205</v>
      </c>
      <c r="C19" s="98" t="s">
        <v>1206</v>
      </c>
      <c r="E19" s="98">
        <v>228.0</v>
      </c>
      <c r="F19" s="137" t="s">
        <v>1200</v>
      </c>
      <c r="G19" s="98">
        <v>1.2</v>
      </c>
    </row>
    <row r="20">
      <c r="A20" s="98" t="s">
        <v>1207</v>
      </c>
      <c r="B20" s="98" t="s">
        <v>1208</v>
      </c>
      <c r="C20" s="98" t="s">
        <v>1209</v>
      </c>
      <c r="E20" s="98">
        <v>233.0</v>
      </c>
      <c r="F20" s="137" t="s">
        <v>1200</v>
      </c>
      <c r="G20" s="98">
        <v>1.2</v>
      </c>
    </row>
    <row r="21" ht="15.75" customHeight="1">
      <c r="A21" s="98" t="s">
        <v>1210</v>
      </c>
      <c r="B21" s="98" t="s">
        <v>14</v>
      </c>
      <c r="C21" s="98" t="s">
        <v>1211</v>
      </c>
      <c r="E21" s="98">
        <v>52.0</v>
      </c>
      <c r="F21" s="137" t="s">
        <v>1200</v>
      </c>
      <c r="G21" s="98">
        <v>1.2</v>
      </c>
    </row>
    <row r="22" ht="15.75" customHeight="1">
      <c r="A22" s="98" t="s">
        <v>1212</v>
      </c>
      <c r="B22" s="98" t="s">
        <v>1213</v>
      </c>
      <c r="C22" s="98" t="s">
        <v>1214</v>
      </c>
      <c r="E22" s="98">
        <v>8.0</v>
      </c>
      <c r="F22" s="137" t="s">
        <v>1200</v>
      </c>
      <c r="G22" s="98">
        <v>1.2</v>
      </c>
    </row>
    <row r="23" ht="15.75" customHeight="1">
      <c r="A23" s="98" t="s">
        <v>1215</v>
      </c>
      <c r="B23" s="98" t="s">
        <v>1216</v>
      </c>
      <c r="C23" s="98" t="s">
        <v>1217</v>
      </c>
      <c r="E23" s="98">
        <v>732.0</v>
      </c>
      <c r="F23" s="137" t="s">
        <v>1167</v>
      </c>
      <c r="G23" s="98">
        <v>1.2</v>
      </c>
    </row>
    <row r="24" ht="15.75" customHeight="1">
      <c r="A24" s="98" t="s">
        <v>1218</v>
      </c>
      <c r="B24" s="98" t="s">
        <v>1219</v>
      </c>
      <c r="C24" s="98" t="s">
        <v>1220</v>
      </c>
      <c r="E24" s="98">
        <v>74.0</v>
      </c>
      <c r="F24" s="137" t="s">
        <v>1167</v>
      </c>
      <c r="G24" s="98">
        <v>1.2</v>
      </c>
    </row>
    <row r="25" ht="15.75" customHeight="1"/>
  </sheetData>
  <hyperlinks>
    <hyperlink r:id="rId1" ref="F2"/>
    <hyperlink r:id="rId2" ref="H2"/>
    <hyperlink r:id="rId3" ref="F3"/>
    <hyperlink r:id="rId4" ref="F4"/>
    <hyperlink r:id="rId5" ref="F5"/>
    <hyperlink r:id="rId6" ref="F6"/>
    <hyperlink r:id="rId7" ref="F7"/>
    <hyperlink r:id="rId8" ref="F8"/>
    <hyperlink r:id="rId9" ref="F9"/>
    <hyperlink r:id="rId10" ref="F10"/>
    <hyperlink r:id="rId11" ref="F11"/>
    <hyperlink r:id="rId12" ref="F12"/>
    <hyperlink r:id="rId13" ref="F13"/>
    <hyperlink r:id="rId14" ref="F14"/>
    <hyperlink r:id="rId15" ref="F15"/>
    <hyperlink r:id="rId16" ref="F16"/>
    <hyperlink r:id="rId17" ref="F17"/>
    <hyperlink r:id="rId18" ref="F18"/>
    <hyperlink r:id="rId19" ref="F19"/>
    <hyperlink r:id="rId20" ref="F20"/>
    <hyperlink r:id="rId21" ref="F21"/>
    <hyperlink r:id="rId22" ref="F22"/>
    <hyperlink r:id="rId23" ref="F23"/>
    <hyperlink r:id="rId24" ref="F24"/>
  </hyperlinks>
  <printOptions/>
  <pageMargins bottom="0.75" footer="0.0" header="0.0" left="0.7" right="0.7" top="0.75"/>
  <pageSetup orientation="landscape"/>
  <drawing r:id="rId2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3" max="3" width="8.13"/>
    <col customWidth="1" min="4" max="4" width="11.0"/>
    <col customWidth="1" min="9" max="9" width="13.63"/>
    <col customWidth="1" min="10" max="10" width="29.25"/>
    <col customWidth="1" min="11" max="11" width="14.63"/>
    <col customWidth="1" min="12" max="12" width="7.63"/>
    <col customWidth="1" min="13" max="13" width="9.0"/>
    <col customWidth="1" min="14" max="14" width="33.75"/>
    <col customWidth="1" min="15" max="15" width="8.5"/>
    <col customWidth="1" min="16" max="16" width="6.38"/>
    <col customWidth="1" min="17" max="17" width="13.88"/>
  </cols>
  <sheetData>
    <row r="1">
      <c r="A1" s="139" t="s">
        <v>1109</v>
      </c>
      <c r="B1" s="139" t="s">
        <v>1221</v>
      </c>
      <c r="C1" s="139" t="s">
        <v>1222</v>
      </c>
      <c r="D1" s="139" t="s">
        <v>1223</v>
      </c>
      <c r="E1" s="139" t="s">
        <v>1224</v>
      </c>
      <c r="F1" s="140" t="s">
        <v>1225</v>
      </c>
      <c r="G1" s="139" t="s">
        <v>1226</v>
      </c>
      <c r="H1" s="139" t="s">
        <v>1227</v>
      </c>
      <c r="I1" s="140" t="s">
        <v>1228</v>
      </c>
      <c r="J1" s="139" t="s">
        <v>949</v>
      </c>
      <c r="K1" s="139" t="s">
        <v>1229</v>
      </c>
      <c r="L1" s="139" t="s">
        <v>1230</v>
      </c>
      <c r="M1" s="139" t="s">
        <v>1231</v>
      </c>
      <c r="N1" s="139" t="s">
        <v>1232</v>
      </c>
      <c r="O1" s="139" t="s">
        <v>1233</v>
      </c>
      <c r="P1" s="139" t="s">
        <v>1234</v>
      </c>
      <c r="Q1" s="139" t="s">
        <v>1235</v>
      </c>
    </row>
    <row r="2">
      <c r="A2" s="141" t="s">
        <v>1236</v>
      </c>
      <c r="B2" s="142" t="s">
        <v>1237</v>
      </c>
      <c r="C2" s="141">
        <v>4.0</v>
      </c>
      <c r="D2" s="141">
        <v>12700.0</v>
      </c>
      <c r="E2" s="141" t="s">
        <v>1238</v>
      </c>
      <c r="F2" s="143">
        <v>0.902</v>
      </c>
      <c r="G2" s="141">
        <v>2767.722</v>
      </c>
      <c r="H2" s="141" t="s">
        <v>1238</v>
      </c>
      <c r="I2" s="143">
        <v>0.095</v>
      </c>
      <c r="J2" s="141" t="s">
        <v>1239</v>
      </c>
      <c r="K2" s="141" t="s">
        <v>421</v>
      </c>
      <c r="L2" s="141" t="s">
        <v>1240</v>
      </c>
      <c r="M2" s="144">
        <v>20.2</v>
      </c>
      <c r="N2" s="141" t="s">
        <v>1241</v>
      </c>
      <c r="O2" s="144">
        <v>16.0</v>
      </c>
      <c r="P2" s="144">
        <v>2.0</v>
      </c>
      <c r="Q2" s="145">
        <v>1206.5</v>
      </c>
    </row>
    <row r="3">
      <c r="A3" s="146" t="s">
        <v>1236</v>
      </c>
      <c r="B3" s="147" t="s">
        <v>1242</v>
      </c>
      <c r="C3" s="146">
        <v>4.0</v>
      </c>
      <c r="D3" s="146">
        <v>6800.0</v>
      </c>
      <c r="E3" s="146" t="s">
        <v>1238</v>
      </c>
      <c r="F3" s="148">
        <v>0.808</v>
      </c>
      <c r="G3" s="146">
        <v>1325.0</v>
      </c>
      <c r="H3" s="146" t="s">
        <v>1238</v>
      </c>
      <c r="I3" s="148">
        <v>0.183</v>
      </c>
      <c r="J3" s="146" t="s">
        <v>1243</v>
      </c>
      <c r="K3" s="146" t="s">
        <v>421</v>
      </c>
      <c r="L3" s="146" t="s">
        <v>1240</v>
      </c>
      <c r="M3" s="149">
        <v>22.225</v>
      </c>
      <c r="N3" s="146" t="s">
        <v>1244</v>
      </c>
      <c r="O3" s="149">
        <v>32.0</v>
      </c>
      <c r="P3" s="149">
        <v>2.0</v>
      </c>
      <c r="Q3" s="150">
        <v>1244.4</v>
      </c>
    </row>
    <row r="4">
      <c r="A4" s="146" t="s">
        <v>1236</v>
      </c>
      <c r="B4" s="147" t="s">
        <v>1245</v>
      </c>
      <c r="C4" s="146">
        <v>4.0</v>
      </c>
      <c r="D4" s="146">
        <v>6510.0</v>
      </c>
      <c r="E4" s="146" t="s">
        <v>1238</v>
      </c>
      <c r="F4" s="148">
        <v>0.807</v>
      </c>
      <c r="G4" s="146">
        <v>1242.6</v>
      </c>
      <c r="H4" s="146" t="s">
        <v>1238</v>
      </c>
      <c r="I4" s="148">
        <v>0.185</v>
      </c>
      <c r="J4" s="146" t="s">
        <v>1246</v>
      </c>
      <c r="K4" s="146" t="s">
        <v>421</v>
      </c>
      <c r="L4" s="146" t="s">
        <v>1240</v>
      </c>
      <c r="M4" s="149">
        <v>43.62</v>
      </c>
      <c r="N4" s="146" t="s">
        <v>1247</v>
      </c>
      <c r="O4" s="149">
        <v>32.0</v>
      </c>
      <c r="P4" s="149">
        <v>2.0</v>
      </c>
      <c r="Q4" s="150">
        <v>1204.35</v>
      </c>
    </row>
    <row r="5">
      <c r="A5" s="146" t="s">
        <v>1236</v>
      </c>
      <c r="B5" s="147" t="s">
        <v>1248</v>
      </c>
      <c r="C5" s="146">
        <v>4.0</v>
      </c>
      <c r="D5" s="146">
        <v>5680.0</v>
      </c>
      <c r="E5" s="146" t="s">
        <v>1238</v>
      </c>
      <c r="F5" s="148">
        <v>0.702</v>
      </c>
      <c r="G5" s="146">
        <v>947.8</v>
      </c>
      <c r="H5" s="146" t="s">
        <v>1238</v>
      </c>
      <c r="I5" s="148">
        <v>0.277</v>
      </c>
      <c r="J5" s="146" t="s">
        <v>1249</v>
      </c>
      <c r="K5" s="146" t="s">
        <v>421</v>
      </c>
      <c r="L5" s="146" t="s">
        <v>1250</v>
      </c>
      <c r="M5" s="149">
        <v>3.0</v>
      </c>
      <c r="N5" s="146" t="s">
        <v>1251</v>
      </c>
      <c r="O5" s="149">
        <v>16.0</v>
      </c>
      <c r="P5" s="149">
        <v>2.0</v>
      </c>
      <c r="Q5" s="150">
        <v>1573.36</v>
      </c>
    </row>
    <row r="6">
      <c r="A6" s="146" t="s">
        <v>1236</v>
      </c>
      <c r="B6" s="147" t="s">
        <v>1252</v>
      </c>
      <c r="C6" s="146">
        <v>4.0</v>
      </c>
      <c r="D6" s="146">
        <v>6570.0</v>
      </c>
      <c r="E6" s="146" t="s">
        <v>1238</v>
      </c>
      <c r="F6" s="148">
        <v>0.737</v>
      </c>
      <c r="G6" s="146">
        <v>1152.4</v>
      </c>
      <c r="H6" s="146" t="s">
        <v>1238</v>
      </c>
      <c r="I6" s="148">
        <v>0.245</v>
      </c>
      <c r="J6" s="146" t="s">
        <v>1253</v>
      </c>
      <c r="K6" s="146" t="s">
        <v>421</v>
      </c>
      <c r="L6" s="146" t="s">
        <v>1250</v>
      </c>
      <c r="M6" s="149">
        <v>5.8</v>
      </c>
      <c r="N6" s="146" t="s">
        <v>1254</v>
      </c>
      <c r="O6" s="149">
        <v>16.0</v>
      </c>
      <c r="P6" s="149">
        <v>2.0</v>
      </c>
      <c r="Q6" s="150">
        <v>1609.65</v>
      </c>
    </row>
    <row r="7">
      <c r="A7" s="146" t="s">
        <v>1236</v>
      </c>
      <c r="B7" s="147" t="s">
        <v>1255</v>
      </c>
      <c r="C7" s="146">
        <v>4.0</v>
      </c>
      <c r="D7" s="146">
        <v>7460.0</v>
      </c>
      <c r="E7" s="146" t="s">
        <v>1238</v>
      </c>
      <c r="F7" s="148">
        <v>0.768</v>
      </c>
      <c r="G7" s="146">
        <v>1370.1</v>
      </c>
      <c r="H7" s="146" t="s">
        <v>1238</v>
      </c>
      <c r="I7" s="148">
        <v>0.217</v>
      </c>
      <c r="J7" s="146" t="s">
        <v>1256</v>
      </c>
      <c r="K7" s="146" t="s">
        <v>421</v>
      </c>
      <c r="L7" s="146" t="s">
        <v>1250</v>
      </c>
      <c r="M7" s="149">
        <v>6.4</v>
      </c>
      <c r="N7" s="146" t="s">
        <v>1254</v>
      </c>
      <c r="O7" s="149">
        <v>16.0</v>
      </c>
      <c r="P7" s="149">
        <v>2.0</v>
      </c>
      <c r="Q7" s="150">
        <v>1618.82</v>
      </c>
    </row>
    <row r="8">
      <c r="A8" s="146" t="s">
        <v>1236</v>
      </c>
      <c r="B8" s="147" t="s">
        <v>1257</v>
      </c>
      <c r="C8" s="146">
        <v>4.0</v>
      </c>
      <c r="D8" s="146">
        <v>8970.0</v>
      </c>
      <c r="E8" s="146" t="s">
        <v>1238</v>
      </c>
      <c r="F8" s="148">
        <v>0.796</v>
      </c>
      <c r="G8" s="146">
        <v>1715.6</v>
      </c>
      <c r="H8" s="146" t="s">
        <v>1238</v>
      </c>
      <c r="I8" s="148">
        <v>0.189</v>
      </c>
      <c r="J8" s="146" t="s">
        <v>1258</v>
      </c>
      <c r="K8" s="146" t="s">
        <v>421</v>
      </c>
      <c r="L8" s="146" t="s">
        <v>1250</v>
      </c>
      <c r="M8" s="149">
        <v>13.0</v>
      </c>
      <c r="N8" s="146" t="s">
        <v>1254</v>
      </c>
      <c r="O8" s="149">
        <v>32.0</v>
      </c>
      <c r="P8" s="149">
        <v>2.0</v>
      </c>
      <c r="Q8" s="150">
        <v>1695.33</v>
      </c>
    </row>
    <row r="9">
      <c r="A9" s="146" t="s">
        <v>1236</v>
      </c>
      <c r="B9" s="147" t="s">
        <v>1259</v>
      </c>
      <c r="C9" s="146">
        <v>4.0</v>
      </c>
      <c r="D9" s="146">
        <v>6180.0</v>
      </c>
      <c r="E9" s="146" t="s">
        <v>1238</v>
      </c>
      <c r="F9" s="148">
        <v>0.731</v>
      </c>
      <c r="G9" s="146">
        <v>1063.464</v>
      </c>
      <c r="H9" s="146" t="s">
        <v>1238</v>
      </c>
      <c r="I9" s="148">
        <v>0.253</v>
      </c>
      <c r="J9" s="146" t="s">
        <v>1260</v>
      </c>
      <c r="K9" s="146" t="s">
        <v>1261</v>
      </c>
      <c r="L9" s="146" t="s">
        <v>1250</v>
      </c>
      <c r="M9" s="149">
        <v>7.0</v>
      </c>
      <c r="N9" s="146" t="s">
        <v>1254</v>
      </c>
      <c r="O9" s="149">
        <v>16.0</v>
      </c>
      <c r="P9" s="149">
        <v>2.0</v>
      </c>
      <c r="Q9" s="150">
        <v>1563.54</v>
      </c>
    </row>
    <row r="10">
      <c r="A10" s="146" t="s">
        <v>1236</v>
      </c>
      <c r="B10" s="147" t="s">
        <v>1262</v>
      </c>
      <c r="C10" s="146">
        <v>4.0</v>
      </c>
      <c r="D10" s="146">
        <v>7000.0</v>
      </c>
      <c r="E10" s="146" t="s">
        <v>1238</v>
      </c>
      <c r="F10" s="148">
        <v>0.722</v>
      </c>
      <c r="G10" s="146">
        <v>1215.012</v>
      </c>
      <c r="H10" s="146" t="s">
        <v>1238</v>
      </c>
      <c r="I10" s="148">
        <v>0.237</v>
      </c>
      <c r="J10" s="146" t="s">
        <v>1263</v>
      </c>
      <c r="K10" s="146" t="s">
        <v>421</v>
      </c>
      <c r="L10" s="146" t="s">
        <v>1250</v>
      </c>
      <c r="M10" s="149">
        <v>6.4</v>
      </c>
      <c r="N10" s="146" t="s">
        <v>1264</v>
      </c>
      <c r="O10" s="149">
        <v>64.0</v>
      </c>
      <c r="P10" s="149">
        <v>2.0</v>
      </c>
      <c r="Q10" s="150">
        <v>1659.0</v>
      </c>
    </row>
    <row r="11">
      <c r="A11" s="146" t="s">
        <v>1236</v>
      </c>
      <c r="B11" s="147" t="s">
        <v>1265</v>
      </c>
      <c r="C11" s="146">
        <v>4.0</v>
      </c>
      <c r="D11" s="146">
        <v>9150.0</v>
      </c>
      <c r="E11" s="146" t="s">
        <v>1238</v>
      </c>
      <c r="F11" s="148">
        <v>0.812</v>
      </c>
      <c r="G11" s="146">
        <v>1770.396</v>
      </c>
      <c r="H11" s="146" t="s">
        <v>1238</v>
      </c>
      <c r="I11" s="148">
        <v>0.185</v>
      </c>
      <c r="J11" s="146" t="s">
        <v>1266</v>
      </c>
      <c r="K11" s="146" t="s">
        <v>421</v>
      </c>
      <c r="L11" s="146" t="s">
        <v>1250</v>
      </c>
      <c r="M11" s="149">
        <v>14.5</v>
      </c>
      <c r="N11" s="146" t="s">
        <v>1254</v>
      </c>
      <c r="O11" s="149">
        <v>64.0</v>
      </c>
      <c r="P11" s="149">
        <v>4.0</v>
      </c>
      <c r="Q11" s="150">
        <v>1692.75</v>
      </c>
    </row>
    <row r="12">
      <c r="A12" s="146" t="s">
        <v>1236</v>
      </c>
      <c r="B12" s="147" t="s">
        <v>1267</v>
      </c>
      <c r="C12" s="146">
        <v>4.0</v>
      </c>
      <c r="D12" s="146">
        <v>5380.0</v>
      </c>
      <c r="E12" s="146" t="s">
        <v>1238</v>
      </c>
      <c r="F12" s="148">
        <v>0.784</v>
      </c>
      <c r="G12" s="146">
        <v>1011.342</v>
      </c>
      <c r="H12" s="146" t="s">
        <v>1238</v>
      </c>
      <c r="I12" s="148">
        <v>0.212</v>
      </c>
      <c r="J12" s="146" t="s">
        <v>1268</v>
      </c>
      <c r="K12" s="146" t="s">
        <v>421</v>
      </c>
      <c r="L12" s="146" t="s">
        <v>1240</v>
      </c>
      <c r="M12" s="149">
        <v>8.05</v>
      </c>
      <c r="N12" s="146" t="s">
        <v>1269</v>
      </c>
      <c r="O12" s="149">
        <v>16.0</v>
      </c>
      <c r="P12" s="149">
        <v>1.0</v>
      </c>
      <c r="Q12" s="150">
        <v>1140.56</v>
      </c>
    </row>
    <row r="13">
      <c r="A13" s="146" t="s">
        <v>1236</v>
      </c>
      <c r="B13" s="147" t="s">
        <v>1270</v>
      </c>
      <c r="C13" s="146">
        <v>4.0</v>
      </c>
      <c r="D13" s="146">
        <v>5260.0</v>
      </c>
      <c r="E13" s="146" t="s">
        <v>1238</v>
      </c>
      <c r="F13" s="148">
        <v>0.773</v>
      </c>
      <c r="G13" s="146">
        <v>980.7</v>
      </c>
      <c r="H13" s="146" t="s">
        <v>1238</v>
      </c>
      <c r="I13" s="148">
        <v>0.222</v>
      </c>
      <c r="J13" s="146" t="s">
        <v>1271</v>
      </c>
      <c r="K13" s="146" t="s">
        <v>421</v>
      </c>
      <c r="L13" s="146" t="s">
        <v>1240</v>
      </c>
      <c r="M13" s="149">
        <v>12.2</v>
      </c>
      <c r="N13" s="146" t="s">
        <v>1272</v>
      </c>
      <c r="O13" s="149">
        <v>16.0</v>
      </c>
      <c r="P13" s="149">
        <v>1.0</v>
      </c>
      <c r="Q13" s="150">
        <v>1167.72</v>
      </c>
    </row>
    <row r="14">
      <c r="A14" s="146" t="s">
        <v>1236</v>
      </c>
      <c r="B14" s="147" t="s">
        <v>1273</v>
      </c>
      <c r="C14" s="146">
        <v>4.0</v>
      </c>
      <c r="D14" s="146">
        <v>5510.0</v>
      </c>
      <c r="E14" s="146" t="s">
        <v>1238</v>
      </c>
      <c r="F14" s="148">
        <v>0.787</v>
      </c>
      <c r="G14" s="146">
        <v>1014.8</v>
      </c>
      <c r="H14" s="146" t="s">
        <v>1238</v>
      </c>
      <c r="I14" s="148">
        <v>0.208</v>
      </c>
      <c r="J14" s="146" t="s">
        <v>1274</v>
      </c>
      <c r="K14" s="146" t="s">
        <v>1261</v>
      </c>
      <c r="L14" s="146" t="s">
        <v>1250</v>
      </c>
      <c r="M14" s="149">
        <v>19.3</v>
      </c>
      <c r="N14" s="146" t="s">
        <v>1272</v>
      </c>
      <c r="O14" s="149">
        <v>16.0</v>
      </c>
      <c r="P14" s="149">
        <v>2.0</v>
      </c>
      <c r="Q14" s="150">
        <v>1146.08</v>
      </c>
    </row>
    <row r="15">
      <c r="A15" s="146" t="s">
        <v>1236</v>
      </c>
      <c r="B15" s="147" t="s">
        <v>1275</v>
      </c>
      <c r="C15" s="146">
        <v>4.0</v>
      </c>
      <c r="D15" s="146">
        <v>5230.0</v>
      </c>
      <c r="E15" s="146" t="s">
        <v>1238</v>
      </c>
      <c r="F15" s="148">
        <v>0.776</v>
      </c>
      <c r="G15" s="146">
        <v>987.3</v>
      </c>
      <c r="H15" s="146" t="s">
        <v>1238</v>
      </c>
      <c r="I15" s="148">
        <v>0.22</v>
      </c>
      <c r="J15" s="146" t="s">
        <v>1276</v>
      </c>
      <c r="K15" s="146" t="s">
        <v>421</v>
      </c>
      <c r="L15" s="146" t="s">
        <v>1240</v>
      </c>
      <c r="M15" s="149">
        <v>13.2</v>
      </c>
      <c r="N15" s="146" t="s">
        <v>1272</v>
      </c>
      <c r="O15" s="149">
        <v>16.0</v>
      </c>
      <c r="P15" s="149">
        <v>1.0</v>
      </c>
      <c r="Q15" s="150">
        <v>1150.6</v>
      </c>
    </row>
    <row r="16">
      <c r="A16" s="146" t="s">
        <v>1236</v>
      </c>
      <c r="B16" s="147" t="s">
        <v>1277</v>
      </c>
      <c r="C16" s="146">
        <v>4.0</v>
      </c>
      <c r="D16" s="146">
        <v>8150.0</v>
      </c>
      <c r="E16" s="146" t="s">
        <v>1238</v>
      </c>
      <c r="F16" s="148">
        <v>0.853</v>
      </c>
      <c r="G16" s="146">
        <v>1760.3</v>
      </c>
      <c r="H16" s="146" t="s">
        <v>1238</v>
      </c>
      <c r="I16" s="148">
        <v>0.143</v>
      </c>
      <c r="J16" s="146" t="s">
        <v>1278</v>
      </c>
      <c r="K16" s="146" t="s">
        <v>1261</v>
      </c>
      <c r="L16" s="146" t="s">
        <v>1240</v>
      </c>
      <c r="M16" s="149">
        <v>26.3</v>
      </c>
      <c r="N16" s="146" t="s">
        <v>1272</v>
      </c>
      <c r="O16" s="149">
        <v>16.0</v>
      </c>
      <c r="P16" s="149">
        <v>2.0</v>
      </c>
      <c r="Q16" s="150">
        <v>1165.45</v>
      </c>
    </row>
    <row r="17">
      <c r="A17" s="146" t="s">
        <v>1236</v>
      </c>
      <c r="B17" s="147" t="s">
        <v>1279</v>
      </c>
      <c r="C17" s="146">
        <v>4.0</v>
      </c>
      <c r="D17" s="146">
        <v>7360.0</v>
      </c>
      <c r="E17" s="146" t="s">
        <v>1238</v>
      </c>
      <c r="F17" s="148">
        <v>0.839</v>
      </c>
      <c r="G17" s="146">
        <v>1480.002</v>
      </c>
      <c r="H17" s="146" t="s">
        <v>1238</v>
      </c>
      <c r="I17" s="148">
        <v>0.157</v>
      </c>
      <c r="J17" s="146" t="s">
        <v>1280</v>
      </c>
      <c r="K17" s="146" t="s">
        <v>421</v>
      </c>
      <c r="L17" s="146" t="s">
        <v>1240</v>
      </c>
      <c r="M17" s="149">
        <v>17.64</v>
      </c>
      <c r="N17" s="146" t="s">
        <v>1281</v>
      </c>
      <c r="O17" s="149">
        <v>16.0</v>
      </c>
      <c r="P17" s="149">
        <v>2.0</v>
      </c>
      <c r="Q17" s="150">
        <v>1155.52</v>
      </c>
    </row>
    <row r="18">
      <c r="A18" s="146" t="s">
        <v>1236</v>
      </c>
      <c r="B18" s="147" t="s">
        <v>1282</v>
      </c>
      <c r="C18" s="146">
        <v>4.0</v>
      </c>
      <c r="D18" s="146">
        <v>8230.0</v>
      </c>
      <c r="E18" s="146" t="s">
        <v>1238</v>
      </c>
      <c r="F18" s="148">
        <v>0.846</v>
      </c>
      <c r="G18" s="146">
        <v>1636.368</v>
      </c>
      <c r="H18" s="146" t="s">
        <v>1238</v>
      </c>
      <c r="I18" s="148">
        <v>0.15</v>
      </c>
      <c r="J18" s="146" t="s">
        <v>1283</v>
      </c>
      <c r="K18" s="146" t="s">
        <v>421</v>
      </c>
      <c r="L18" s="146" t="s">
        <v>1240</v>
      </c>
      <c r="M18" s="149">
        <v>25.4</v>
      </c>
      <c r="N18" s="146" t="s">
        <v>1284</v>
      </c>
      <c r="O18" s="149">
        <v>32.0</v>
      </c>
      <c r="P18" s="149">
        <v>2.0</v>
      </c>
      <c r="Q18" s="150">
        <v>1234.5</v>
      </c>
    </row>
    <row r="19">
      <c r="A19" s="146" t="s">
        <v>1236</v>
      </c>
      <c r="B19" s="147" t="s">
        <v>1285</v>
      </c>
      <c r="C19" s="146">
        <v>4.0</v>
      </c>
      <c r="D19" s="146">
        <v>7260.0</v>
      </c>
      <c r="E19" s="146" t="s">
        <v>1238</v>
      </c>
      <c r="F19" s="148">
        <v>0.822</v>
      </c>
      <c r="G19" s="146">
        <v>1433.574</v>
      </c>
      <c r="H19" s="146" t="s">
        <v>1238</v>
      </c>
      <c r="I19" s="148">
        <v>0.174</v>
      </c>
      <c r="J19" s="146" t="s">
        <v>1286</v>
      </c>
      <c r="K19" s="146" t="s">
        <v>1261</v>
      </c>
      <c r="L19" s="146" t="s">
        <v>1240</v>
      </c>
      <c r="M19" s="149">
        <v>18.6</v>
      </c>
      <c r="N19" s="146" t="s">
        <v>1287</v>
      </c>
      <c r="O19" s="149">
        <v>16.0</v>
      </c>
      <c r="P19" s="149">
        <v>2.0</v>
      </c>
      <c r="Q19" s="150">
        <v>1263.24</v>
      </c>
    </row>
    <row r="20">
      <c r="A20" s="146" t="s">
        <v>1236</v>
      </c>
      <c r="B20" s="147" t="s">
        <v>1288</v>
      </c>
      <c r="C20" s="146">
        <v>4.0</v>
      </c>
      <c r="D20" s="146">
        <v>7730.0</v>
      </c>
      <c r="E20" s="146" t="s">
        <v>1238</v>
      </c>
      <c r="F20" s="148">
        <v>0.83</v>
      </c>
      <c r="G20" s="146">
        <v>1760.3</v>
      </c>
      <c r="H20" s="146" t="s">
        <v>1238</v>
      </c>
      <c r="I20" s="148">
        <v>0.166</v>
      </c>
      <c r="J20" s="146" t="s">
        <v>1289</v>
      </c>
      <c r="K20" s="146" t="s">
        <v>1261</v>
      </c>
      <c r="L20" s="146" t="s">
        <v>1240</v>
      </c>
      <c r="M20" s="149">
        <v>26.3</v>
      </c>
      <c r="N20" s="146" t="s">
        <v>1290</v>
      </c>
      <c r="O20" s="149">
        <v>32.0</v>
      </c>
      <c r="P20" s="149">
        <v>2.0</v>
      </c>
      <c r="Q20" s="150">
        <v>1283.18</v>
      </c>
    </row>
    <row r="21">
      <c r="A21" s="146" t="s">
        <v>1236</v>
      </c>
      <c r="B21" s="147" t="s">
        <v>1291</v>
      </c>
      <c r="C21" s="146">
        <v>4.0</v>
      </c>
      <c r="D21" s="146">
        <v>7490.0</v>
      </c>
      <c r="E21" s="146" t="s">
        <v>1238</v>
      </c>
      <c r="F21" s="148">
        <v>0.832</v>
      </c>
      <c r="G21" s="146">
        <v>1473.5</v>
      </c>
      <c r="H21" s="146" t="s">
        <v>1238</v>
      </c>
      <c r="I21" s="148">
        <v>0.163</v>
      </c>
      <c r="J21" s="146" t="s">
        <v>1292</v>
      </c>
      <c r="K21" s="146" t="s">
        <v>1261</v>
      </c>
      <c r="L21" s="146" t="s">
        <v>1240</v>
      </c>
      <c r="M21" s="149">
        <v>29.2</v>
      </c>
      <c r="N21" s="146" t="s">
        <v>1290</v>
      </c>
      <c r="O21" s="149">
        <v>16.0</v>
      </c>
      <c r="P21" s="149">
        <v>2.0</v>
      </c>
      <c r="Q21" s="150">
        <v>1220.87</v>
      </c>
    </row>
    <row r="22">
      <c r="A22" s="146" t="s">
        <v>1236</v>
      </c>
      <c r="B22" s="147" t="s">
        <v>1293</v>
      </c>
      <c r="C22" s="146">
        <v>4.0</v>
      </c>
      <c r="D22" s="146">
        <v>8970.0</v>
      </c>
      <c r="E22" s="146" t="s">
        <v>1238</v>
      </c>
      <c r="F22" s="148">
        <v>0.851</v>
      </c>
      <c r="G22" s="146">
        <v>1813.32</v>
      </c>
      <c r="H22" s="146" t="s">
        <v>1238</v>
      </c>
      <c r="I22" s="148">
        <v>0.145</v>
      </c>
      <c r="J22" s="146" t="s">
        <v>1294</v>
      </c>
      <c r="K22" s="146" t="s">
        <v>1261</v>
      </c>
      <c r="L22" s="146" t="s">
        <v>1240</v>
      </c>
      <c r="M22" s="149">
        <v>29.5</v>
      </c>
      <c r="N22" s="146" t="s">
        <v>1295</v>
      </c>
      <c r="O22" s="149">
        <v>32.0</v>
      </c>
      <c r="P22" s="149">
        <v>2.0</v>
      </c>
      <c r="Q22" s="150">
        <v>1300.65</v>
      </c>
    </row>
    <row r="23">
      <c r="A23" s="146" t="s">
        <v>1236</v>
      </c>
      <c r="B23" s="147" t="s">
        <v>1296</v>
      </c>
      <c r="C23" s="146">
        <v>4.0</v>
      </c>
      <c r="D23" s="146">
        <v>8640.0</v>
      </c>
      <c r="E23" s="146" t="s">
        <v>1238</v>
      </c>
      <c r="F23" s="148">
        <v>0.843</v>
      </c>
      <c r="G23" s="146">
        <v>1760.3</v>
      </c>
      <c r="H23" s="146" t="s">
        <v>1238</v>
      </c>
      <c r="I23" s="148">
        <v>0.152</v>
      </c>
      <c r="J23" s="146" t="s">
        <v>1297</v>
      </c>
      <c r="K23" s="146" t="s">
        <v>1261</v>
      </c>
      <c r="L23" s="146" t="s">
        <v>1240</v>
      </c>
      <c r="M23" s="149">
        <v>26.3</v>
      </c>
      <c r="N23" s="146" t="s">
        <v>1298</v>
      </c>
      <c r="O23" s="149">
        <v>32.0</v>
      </c>
      <c r="P23" s="149">
        <v>2.0</v>
      </c>
      <c r="Q23" s="150">
        <v>1313.28</v>
      </c>
    </row>
    <row r="24">
      <c r="A24" s="146" t="s">
        <v>1236</v>
      </c>
      <c r="B24" s="147" t="s">
        <v>1299</v>
      </c>
      <c r="C24" s="146">
        <v>4.0</v>
      </c>
      <c r="D24" s="146">
        <v>9180.0</v>
      </c>
      <c r="E24" s="146" t="s">
        <v>1238</v>
      </c>
      <c r="F24" s="148">
        <v>0.852</v>
      </c>
      <c r="G24" s="146">
        <v>1858.872</v>
      </c>
      <c r="H24" s="146" t="s">
        <v>1238</v>
      </c>
      <c r="I24" s="148">
        <v>0.144</v>
      </c>
      <c r="J24" s="146" t="s">
        <v>1300</v>
      </c>
      <c r="K24" s="146" t="s">
        <v>1261</v>
      </c>
      <c r="L24" s="146" t="s">
        <v>1240</v>
      </c>
      <c r="M24" s="149">
        <v>33.1</v>
      </c>
      <c r="N24" s="146" t="s">
        <v>1301</v>
      </c>
      <c r="O24" s="149">
        <v>32.0</v>
      </c>
      <c r="P24" s="149">
        <v>2.0</v>
      </c>
      <c r="Q24" s="150">
        <v>1321.92</v>
      </c>
    </row>
    <row r="25">
      <c r="A25" s="146" t="s">
        <v>1236</v>
      </c>
      <c r="B25" s="147" t="s">
        <v>1302</v>
      </c>
      <c r="C25" s="146">
        <v>4.0</v>
      </c>
      <c r="D25" s="146">
        <v>12600.0</v>
      </c>
      <c r="E25" s="146" t="s">
        <v>1238</v>
      </c>
      <c r="F25" s="148">
        <v>0.859</v>
      </c>
      <c r="G25" s="146">
        <v>2622.306</v>
      </c>
      <c r="H25" s="146" t="s">
        <v>1238</v>
      </c>
      <c r="I25" s="148">
        <v>0.138</v>
      </c>
      <c r="J25" s="146" t="s">
        <v>1303</v>
      </c>
      <c r="K25" s="146" t="s">
        <v>421</v>
      </c>
      <c r="L25" s="146" t="s">
        <v>1240</v>
      </c>
      <c r="M25" s="149">
        <v>31.8</v>
      </c>
      <c r="N25" s="146" t="s">
        <v>1304</v>
      </c>
      <c r="O25" s="149">
        <v>256.0</v>
      </c>
      <c r="P25" s="149">
        <v>2.0</v>
      </c>
      <c r="Q25" s="150">
        <v>1738.8</v>
      </c>
    </row>
    <row r="26">
      <c r="A26" s="146" t="s">
        <v>1236</v>
      </c>
      <c r="B26" s="147" t="s">
        <v>1305</v>
      </c>
      <c r="C26" s="146">
        <v>4.0</v>
      </c>
      <c r="D26" s="146">
        <v>15600.0</v>
      </c>
      <c r="E26" s="146" t="s">
        <v>1238</v>
      </c>
      <c r="F26" s="148">
        <v>0.899</v>
      </c>
      <c r="G26" s="146">
        <v>3325.7</v>
      </c>
      <c r="H26" s="146" t="s">
        <v>1238</v>
      </c>
      <c r="I26" s="148">
        <v>0.098</v>
      </c>
      <c r="J26" s="146" t="s">
        <v>1306</v>
      </c>
      <c r="K26" s="146" t="s">
        <v>421</v>
      </c>
      <c r="L26" s="146" t="s">
        <v>1240</v>
      </c>
      <c r="M26" s="149">
        <v>36.6</v>
      </c>
      <c r="N26" s="146" t="s">
        <v>1304</v>
      </c>
      <c r="O26" s="149">
        <v>128.0</v>
      </c>
      <c r="P26" s="149">
        <v>4.0</v>
      </c>
      <c r="Q26" s="150">
        <v>1528.8</v>
      </c>
    </row>
    <row r="27">
      <c r="A27" s="146" t="s">
        <v>1236</v>
      </c>
      <c r="B27" s="147" t="s">
        <v>1307</v>
      </c>
      <c r="C27" s="146">
        <v>4.0</v>
      </c>
      <c r="D27" s="146">
        <v>13300.0</v>
      </c>
      <c r="E27" s="146" t="s">
        <v>1238</v>
      </c>
      <c r="F27" s="148">
        <v>0.859</v>
      </c>
      <c r="G27" s="146">
        <v>2764.218</v>
      </c>
      <c r="H27" s="146" t="s">
        <v>1238</v>
      </c>
      <c r="I27" s="148">
        <v>0.134</v>
      </c>
      <c r="J27" s="146" t="s">
        <v>1308</v>
      </c>
      <c r="K27" s="146" t="s">
        <v>1261</v>
      </c>
      <c r="L27" s="146" t="s">
        <v>1240</v>
      </c>
      <c r="M27" s="149">
        <v>59.0</v>
      </c>
      <c r="N27" s="146" t="s">
        <v>1309</v>
      </c>
      <c r="O27" s="149">
        <v>256.0</v>
      </c>
      <c r="P27" s="149">
        <v>4.0</v>
      </c>
      <c r="Q27" s="150">
        <v>1782.2</v>
      </c>
    </row>
    <row r="28">
      <c r="A28" s="146" t="s">
        <v>1236</v>
      </c>
      <c r="B28" s="147" t="s">
        <v>1310</v>
      </c>
      <c r="C28" s="146">
        <v>4.0</v>
      </c>
      <c r="D28" s="146">
        <v>14100.0</v>
      </c>
      <c r="E28" s="146" t="s">
        <v>1238</v>
      </c>
      <c r="F28" s="148">
        <v>0.896</v>
      </c>
      <c r="G28" s="146">
        <v>3012.126</v>
      </c>
      <c r="H28" s="146" t="s">
        <v>1238</v>
      </c>
      <c r="I28" s="148">
        <v>0.098</v>
      </c>
      <c r="J28" s="146" t="s">
        <v>1311</v>
      </c>
      <c r="K28" s="146" t="s">
        <v>421</v>
      </c>
      <c r="L28" s="146" t="s">
        <v>1240</v>
      </c>
      <c r="M28" s="149">
        <v>44.0</v>
      </c>
      <c r="N28" s="146" t="s">
        <v>1309</v>
      </c>
      <c r="O28" s="149">
        <v>64.0</v>
      </c>
      <c r="P28" s="149">
        <v>2.0</v>
      </c>
      <c r="Q28" s="150">
        <v>1381.8</v>
      </c>
    </row>
    <row r="29">
      <c r="A29" s="146" t="s">
        <v>1236</v>
      </c>
      <c r="B29" s="147" t="s">
        <v>1312</v>
      </c>
      <c r="C29" s="146">
        <v>4.0</v>
      </c>
      <c r="D29" s="146">
        <v>6840.0</v>
      </c>
      <c r="E29" s="146" t="s">
        <v>1238</v>
      </c>
      <c r="F29" s="148">
        <v>0.822</v>
      </c>
      <c r="G29" s="146">
        <v>1359.6</v>
      </c>
      <c r="H29" s="146" t="s">
        <v>1238</v>
      </c>
      <c r="I29" s="148">
        <v>0.174</v>
      </c>
      <c r="J29" s="146" t="s">
        <v>1313</v>
      </c>
      <c r="K29" s="146" t="s">
        <v>421</v>
      </c>
      <c r="L29" s="146" t="s">
        <v>1240</v>
      </c>
      <c r="M29" s="149">
        <v>14.5</v>
      </c>
      <c r="N29" s="146" t="s">
        <v>1287</v>
      </c>
      <c r="O29" s="149">
        <v>16.0</v>
      </c>
      <c r="P29" s="149">
        <v>2.0</v>
      </c>
      <c r="Q29" s="150">
        <v>1190.16</v>
      </c>
    </row>
    <row r="30">
      <c r="A30" s="146" t="s">
        <v>1236</v>
      </c>
      <c r="B30" s="147" t="s">
        <v>1314</v>
      </c>
      <c r="C30" s="146">
        <v>4.0</v>
      </c>
      <c r="D30" s="146">
        <v>8090.0</v>
      </c>
      <c r="E30" s="146" t="s">
        <v>1238</v>
      </c>
      <c r="F30" s="148">
        <v>0.844</v>
      </c>
      <c r="G30" s="146">
        <v>1628.1</v>
      </c>
      <c r="H30" s="146" t="s">
        <v>1238</v>
      </c>
      <c r="I30" s="148">
        <v>0.152</v>
      </c>
      <c r="J30" s="146" t="s">
        <v>1315</v>
      </c>
      <c r="K30" s="146" t="s">
        <v>421</v>
      </c>
      <c r="L30" s="146" t="s">
        <v>1240</v>
      </c>
      <c r="M30" s="149">
        <v>26.61</v>
      </c>
      <c r="N30" s="146" t="s">
        <v>1304</v>
      </c>
      <c r="O30" s="149">
        <v>8.0</v>
      </c>
      <c r="P30" s="149">
        <v>2.0</v>
      </c>
      <c r="Q30" s="150">
        <v>1229.68</v>
      </c>
    </row>
    <row r="31">
      <c r="A31" s="146" t="s">
        <v>1236</v>
      </c>
      <c r="B31" s="147" t="s">
        <v>1316</v>
      </c>
      <c r="C31" s="146">
        <v>4.0</v>
      </c>
      <c r="D31" s="146">
        <v>11600.0</v>
      </c>
      <c r="E31" s="146" t="s">
        <v>1238</v>
      </c>
      <c r="F31" s="148">
        <v>0.884</v>
      </c>
      <c r="G31" s="146">
        <v>2470.3</v>
      </c>
      <c r="H31" s="146" t="s">
        <v>1238</v>
      </c>
      <c r="I31" s="148">
        <v>0.113</v>
      </c>
      <c r="J31" s="146" t="s">
        <v>1317</v>
      </c>
      <c r="K31" s="146" t="s">
        <v>421</v>
      </c>
      <c r="L31" s="146" t="s">
        <v>1240</v>
      </c>
      <c r="M31" s="149">
        <v>33.4</v>
      </c>
      <c r="N31" s="146" t="s">
        <v>1304</v>
      </c>
      <c r="O31" s="149">
        <v>32.0</v>
      </c>
      <c r="P31" s="149">
        <v>2.0</v>
      </c>
      <c r="Q31" s="150">
        <v>1310.8</v>
      </c>
    </row>
    <row r="32">
      <c r="A32" s="146" t="s">
        <v>1236</v>
      </c>
      <c r="B32" s="147" t="s">
        <v>1318</v>
      </c>
      <c r="C32" s="146">
        <v>4.0</v>
      </c>
      <c r="D32" s="146">
        <v>8990.0</v>
      </c>
      <c r="E32" s="146" t="s">
        <v>1238</v>
      </c>
      <c r="F32" s="148">
        <v>0.91</v>
      </c>
      <c r="G32" s="146">
        <v>1949.5</v>
      </c>
      <c r="H32" s="146" t="s">
        <v>1238</v>
      </c>
      <c r="I32" s="148">
        <v>0.085</v>
      </c>
      <c r="J32" s="146" t="s">
        <v>1319</v>
      </c>
      <c r="K32" s="146" t="s">
        <v>1320</v>
      </c>
      <c r="L32" s="146" t="s">
        <v>1240</v>
      </c>
      <c r="M32" s="149">
        <v>36.3</v>
      </c>
      <c r="N32" s="146" t="s">
        <v>1321</v>
      </c>
      <c r="O32" s="149">
        <v>8.0</v>
      </c>
      <c r="P32" s="149">
        <v>1.0</v>
      </c>
      <c r="Q32" s="150">
        <v>764.15</v>
      </c>
    </row>
    <row r="33">
      <c r="A33" s="146" t="s">
        <v>1236</v>
      </c>
      <c r="B33" s="147" t="s">
        <v>1322</v>
      </c>
      <c r="C33" s="146">
        <v>4.0</v>
      </c>
      <c r="D33" s="146">
        <v>12700.0</v>
      </c>
      <c r="E33" s="146" t="s">
        <v>1238</v>
      </c>
      <c r="F33" s="148">
        <v>0.94</v>
      </c>
      <c r="G33" s="146">
        <v>2872.4</v>
      </c>
      <c r="H33" s="146" t="s">
        <v>1238</v>
      </c>
      <c r="I33" s="148">
        <v>0.057</v>
      </c>
      <c r="J33" s="146" t="s">
        <v>1323</v>
      </c>
      <c r="K33" s="146" t="s">
        <v>1320</v>
      </c>
      <c r="L33" s="146" t="s">
        <v>1240</v>
      </c>
      <c r="M33" s="149">
        <v>21.8</v>
      </c>
      <c r="N33" s="146" t="s">
        <v>1324</v>
      </c>
      <c r="O33" s="149">
        <v>8.0</v>
      </c>
      <c r="P33" s="149">
        <v>2.0</v>
      </c>
      <c r="Q33" s="150">
        <v>723.9</v>
      </c>
    </row>
    <row r="34">
      <c r="A34" s="146" t="s">
        <v>1236</v>
      </c>
      <c r="B34" s="147" t="s">
        <v>1325</v>
      </c>
      <c r="C34" s="146">
        <v>4.0</v>
      </c>
      <c r="D34" s="146">
        <v>8160.0</v>
      </c>
      <c r="E34" s="146" t="s">
        <v>1238</v>
      </c>
      <c r="F34" s="148">
        <v>0.917</v>
      </c>
      <c r="G34" s="146">
        <v>1782.2</v>
      </c>
      <c r="H34" s="146" t="s">
        <v>1238</v>
      </c>
      <c r="I34" s="148">
        <v>0.08</v>
      </c>
      <c r="J34" s="146" t="s">
        <v>1326</v>
      </c>
      <c r="K34" s="146" t="s">
        <v>1320</v>
      </c>
      <c r="L34" s="146" t="s">
        <v>1240</v>
      </c>
      <c r="M34" s="149">
        <v>16.75</v>
      </c>
      <c r="N34" s="151" t="s">
        <v>1321</v>
      </c>
      <c r="O34" s="149">
        <v>8.0</v>
      </c>
      <c r="P34" s="149">
        <v>1.0</v>
      </c>
      <c r="Q34" s="150">
        <v>652.8</v>
      </c>
    </row>
    <row r="35">
      <c r="A35" s="146" t="s">
        <v>1236</v>
      </c>
      <c r="B35" s="147" t="s">
        <v>1327</v>
      </c>
      <c r="C35" s="146">
        <v>4.0</v>
      </c>
      <c r="D35" s="146">
        <v>13200.0</v>
      </c>
      <c r="E35" s="146" t="s">
        <v>1238</v>
      </c>
      <c r="F35" s="148">
        <v>0.936</v>
      </c>
      <c r="G35" s="146">
        <v>2950.8</v>
      </c>
      <c r="H35" s="146" t="s">
        <v>1238</v>
      </c>
      <c r="I35" s="148">
        <v>0.059</v>
      </c>
      <c r="J35" s="146" t="s">
        <v>1328</v>
      </c>
      <c r="K35" s="146" t="s">
        <v>1320</v>
      </c>
      <c r="L35" s="146" t="s">
        <v>1240</v>
      </c>
      <c r="M35" s="149">
        <v>56.0</v>
      </c>
      <c r="N35" s="151" t="s">
        <v>1329</v>
      </c>
      <c r="O35" s="149">
        <v>16.0</v>
      </c>
      <c r="P35" s="149">
        <v>1.0</v>
      </c>
      <c r="Q35" s="150">
        <v>778.8</v>
      </c>
    </row>
    <row r="36">
      <c r="A36" s="146" t="s">
        <v>1330</v>
      </c>
      <c r="B36" s="147" t="s">
        <v>1331</v>
      </c>
      <c r="C36" s="146">
        <v>4.0</v>
      </c>
      <c r="D36" s="146">
        <v>1710.0</v>
      </c>
      <c r="E36" s="146" t="s">
        <v>1238</v>
      </c>
      <c r="F36" s="148">
        <v>0.77</v>
      </c>
      <c r="G36" s="146">
        <v>630.0</v>
      </c>
      <c r="H36" s="146" t="s">
        <v>1238</v>
      </c>
      <c r="I36" s="148">
        <v>0.23</v>
      </c>
      <c r="J36" s="146" t="s">
        <v>1332</v>
      </c>
      <c r="K36" s="146" t="s">
        <v>668</v>
      </c>
      <c r="L36" s="146" t="s">
        <v>1240</v>
      </c>
      <c r="M36" s="149">
        <v>22.8</v>
      </c>
      <c r="N36" s="146" t="s">
        <v>1333</v>
      </c>
      <c r="O36" s="149">
        <v>16.0</v>
      </c>
      <c r="P36" s="149">
        <v>1.0</v>
      </c>
      <c r="Q36" s="150">
        <v>393.3</v>
      </c>
    </row>
    <row r="37">
      <c r="A37" s="146" t="s">
        <v>1330</v>
      </c>
      <c r="B37" s="147" t="s">
        <v>1334</v>
      </c>
      <c r="C37" s="146">
        <v>4.0</v>
      </c>
      <c r="D37" s="146">
        <v>4930.0</v>
      </c>
      <c r="E37" s="146" t="s">
        <v>1238</v>
      </c>
      <c r="F37" s="148">
        <v>0.87</v>
      </c>
      <c r="G37" s="146">
        <v>2044.0</v>
      </c>
      <c r="H37" s="146" t="s">
        <v>1238</v>
      </c>
      <c r="I37" s="148">
        <v>0.13</v>
      </c>
      <c r="J37" s="146" t="s">
        <v>1335</v>
      </c>
      <c r="K37" s="146" t="s">
        <v>668</v>
      </c>
      <c r="L37" s="146" t="s">
        <v>1240</v>
      </c>
      <c r="M37" s="149">
        <v>23.6</v>
      </c>
      <c r="N37" s="146" t="s">
        <v>1333</v>
      </c>
      <c r="O37" s="149">
        <v>64.0</v>
      </c>
      <c r="P37" s="149">
        <v>2.0</v>
      </c>
      <c r="Q37" s="150">
        <v>640.9</v>
      </c>
    </row>
    <row r="38">
      <c r="A38" s="146" t="s">
        <v>1330</v>
      </c>
      <c r="B38" s="147" t="s">
        <v>1336</v>
      </c>
      <c r="C38" s="146">
        <v>4.0</v>
      </c>
      <c r="D38" s="146">
        <v>8060.0</v>
      </c>
      <c r="E38" s="146" t="s">
        <v>1238</v>
      </c>
      <c r="F38" s="148">
        <v>0.84</v>
      </c>
      <c r="G38" s="146">
        <v>3232.0</v>
      </c>
      <c r="H38" s="146" t="s">
        <v>1238</v>
      </c>
      <c r="I38" s="148">
        <v>0.16</v>
      </c>
      <c r="J38" s="146" t="s">
        <v>1337</v>
      </c>
      <c r="K38" s="146" t="s">
        <v>668</v>
      </c>
      <c r="L38" s="146" t="s">
        <v>1240</v>
      </c>
      <c r="M38" s="149">
        <v>34.1</v>
      </c>
      <c r="N38" s="146" t="s">
        <v>1333</v>
      </c>
      <c r="O38" s="149">
        <v>375.0</v>
      </c>
      <c r="P38" s="149">
        <v>4.0</v>
      </c>
      <c r="Q38" s="150">
        <v>1289.6</v>
      </c>
    </row>
    <row r="39">
      <c r="F39" s="152"/>
      <c r="I39" s="152"/>
    </row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location="scroll=off&amp;tab0=3&amp;pdf-overlay=//corporate.delltechnologies.com/asset/en-gb/products/servers/technical-support/poweredge-r7515.pdf" ref="B32"/>
    <hyperlink r:id="rId32" ref="B33"/>
    <hyperlink r:id="rId33" ref="B34"/>
    <hyperlink r:id="rId34" ref="B35"/>
    <hyperlink r:id="rId35" ref="B36"/>
    <hyperlink r:id="rId36" ref="B37"/>
    <hyperlink r:id="rId37" ref="B38"/>
  </hyperlinks>
  <drawing r:id="rId38"/>
</worksheet>
</file>