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28635" windowHeight="14820"/>
  </bookViews>
  <sheets>
    <sheet name="Test" sheetId="1" r:id="rId1"/>
  </sheets>
  <calcPr calcId="145621"/>
</workbook>
</file>

<file path=xl/calcChain.xml><?xml version="1.0" encoding="utf-8"?>
<calcChain xmlns="http://schemas.openxmlformats.org/spreadsheetml/2006/main">
  <c r="AD6" i="1" l="1"/>
  <c r="AD3" i="1"/>
  <c r="D5" i="1" l="1"/>
  <c r="O3" i="1" l="1"/>
  <c r="P3" i="1" s="1"/>
  <c r="Q3" i="1"/>
  <c r="S3" i="1" s="1"/>
  <c r="O4" i="1"/>
  <c r="Q4" i="1"/>
  <c r="S4" i="1" s="1"/>
  <c r="P5" i="1"/>
  <c r="R5" i="1" s="1"/>
  <c r="Z5" i="1" s="1"/>
  <c r="L5" i="1"/>
  <c r="M5" i="1" s="1"/>
  <c r="N5" i="1" s="1"/>
  <c r="P6" i="1"/>
  <c r="R6" i="1" s="1"/>
  <c r="Z6" i="1" s="1"/>
  <c r="L6" i="1"/>
  <c r="P7" i="1"/>
  <c r="R7" i="1" s="1"/>
  <c r="Z7" i="1" s="1"/>
  <c r="L7" i="1"/>
  <c r="M7" i="1" s="1"/>
  <c r="N7" i="1" s="1"/>
  <c r="P8" i="1"/>
  <c r="R8" i="1" s="1"/>
  <c r="Z8" i="1" s="1"/>
  <c r="L8" i="1"/>
  <c r="O2" i="1"/>
  <c r="P2" i="1" s="1"/>
  <c r="Q2" i="1"/>
  <c r="S2" i="1" s="1"/>
  <c r="K6" i="1"/>
  <c r="J6" i="1"/>
  <c r="Y6" i="1"/>
  <c r="S6" i="1"/>
  <c r="D6" i="1"/>
  <c r="K3" i="1"/>
  <c r="J3" i="1"/>
  <c r="G3" i="1"/>
  <c r="D3" i="1"/>
  <c r="G2" i="1"/>
  <c r="G4" i="1"/>
  <c r="Y5" i="1"/>
  <c r="Y7" i="1"/>
  <c r="Y8" i="1"/>
  <c r="K8" i="1"/>
  <c r="K2" i="1"/>
  <c r="K4" i="1"/>
  <c r="K5" i="1"/>
  <c r="K7" i="1"/>
  <c r="J8" i="1"/>
  <c r="J2" i="1"/>
  <c r="J4" i="1"/>
  <c r="J5" i="1"/>
  <c r="J7" i="1"/>
  <c r="S7" i="1"/>
  <c r="D7" i="1"/>
  <c r="S8" i="1"/>
  <c r="S5" i="1"/>
  <c r="D2" i="1"/>
  <c r="D8" i="1"/>
  <c r="D4" i="1"/>
  <c r="AC7" i="1" l="1"/>
  <c r="AD7" i="1" s="1"/>
  <c r="AC6" i="1"/>
  <c r="AC8" i="1"/>
  <c r="AD8" i="1" s="1"/>
  <c r="AC5" i="1"/>
  <c r="AD5" i="1" s="1"/>
  <c r="Y2" i="1"/>
  <c r="R2" i="1"/>
  <c r="Z2" i="1" s="1"/>
  <c r="R3" i="1"/>
  <c r="Z3" i="1" s="1"/>
  <c r="AA2" i="1"/>
  <c r="M6" i="1"/>
  <c r="N6" i="1" s="1"/>
  <c r="P4" i="1"/>
  <c r="R4" i="1" s="1"/>
  <c r="Z4" i="1" s="1"/>
  <c r="Y4" i="1"/>
  <c r="Y3" i="1"/>
  <c r="M8" i="1"/>
  <c r="N8" i="1" s="1"/>
  <c r="AC2" i="1" l="1"/>
  <c r="AD2" i="1" s="1"/>
  <c r="AC3" i="1"/>
  <c r="AC4" i="1"/>
  <c r="AD4" i="1" s="1"/>
  <c r="AB6" i="1"/>
  <c r="AA3" i="1"/>
  <c r="AB2" i="1"/>
  <c r="AB3" i="1"/>
  <c r="AB4" i="1"/>
  <c r="AA4" i="1"/>
  <c r="AA5" i="1"/>
  <c r="AA7" i="1"/>
  <c r="AB7" i="1"/>
  <c r="AA6" i="1"/>
  <c r="AB5" i="1"/>
  <c r="AA8" i="1"/>
  <c r="AB8" i="1"/>
</calcChain>
</file>

<file path=xl/sharedStrings.xml><?xml version="1.0" encoding="utf-8"?>
<sst xmlns="http://schemas.openxmlformats.org/spreadsheetml/2006/main" count="41" uniqueCount="38">
  <si>
    <t>Rs (Ohms)</t>
  </si>
  <si>
    <t>Rr (Ohms)</t>
  </si>
  <si>
    <t>Lsd (Henries)</t>
  </si>
  <si>
    <t>Lsq (Henries)</t>
  </si>
  <si>
    <t>Lr (Henries)</t>
  </si>
  <si>
    <t>Lm (Henries)</t>
  </si>
  <si>
    <t>Bus Voltage</t>
  </si>
  <si>
    <t>Rated Speed (RPM)</t>
  </si>
  <si>
    <t>Rated Frequency (Hz)</t>
  </si>
  <si>
    <t>Rotor Poles</t>
  </si>
  <si>
    <t>Load + Motor Inertia (Kg-meter^2)</t>
  </si>
  <si>
    <t xml:space="preserve">Rated Voltage </t>
  </si>
  <si>
    <t>L Series (Henries)</t>
  </si>
  <si>
    <t>Id ref Current</t>
  </si>
  <si>
    <t>Lls (Henries)</t>
  </si>
  <si>
    <t>Llr (Henries)</t>
  </si>
  <si>
    <t>Rd</t>
  </si>
  <si>
    <t>Rq</t>
  </si>
  <si>
    <t>Ka</t>
  </si>
  <si>
    <t>Kb_d</t>
  </si>
  <si>
    <t>Kb_q</t>
  </si>
  <si>
    <t>Speed filter pole (rad/sec)</t>
  </si>
  <si>
    <t>Damping Factor</t>
  </si>
  <si>
    <t>K</t>
  </si>
  <si>
    <t>Baldor 3 HP ACIM</t>
  </si>
  <si>
    <t>Lincoln Electric 10 HP ACIM</t>
  </si>
  <si>
    <t>Eaton 40 HP ACIM</t>
  </si>
  <si>
    <t>Baldor 200V PMSM</t>
  </si>
  <si>
    <t>BLDC Pancake Washer Motor</t>
  </si>
  <si>
    <t>Teknic M-2310P NEMA 23 PMSM</t>
  </si>
  <si>
    <t>Anaheim Automation 24V BLDC</t>
  </si>
  <si>
    <t>Motor</t>
  </si>
  <si>
    <t>Back-EMF Const. (V-s/el-rad l to n)</t>
  </si>
  <si>
    <t>Motor Type</t>
  </si>
  <si>
    <t>xxxx</t>
  </si>
  <si>
    <t>Maximum Current</t>
  </si>
  <si>
    <t>Kp</t>
  </si>
  <si>
    <t>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</si>
</sst>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b/>
      <sz val="11"/>
      <name val="Arial"/>
      <family val="2"/>
    </font>
    <font>
      <sz val="10"/>
      <color indexed="9"/>
      <name val="Arial"/>
      <family val="2"/>
    </font>
    <font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Border="1"/>
    <xf numFmtId="0" fontId="1" fillId="0" borderId="0" xfId="0" applyFont="1" applyAlignment="1">
      <alignment horizontal="left" vertical="center" wrapText="1"/>
    </xf>
    <xf numFmtId="0" fontId="0" fillId="0" borderId="0" xfId="0" applyNumberFormat="1"/>
    <xf numFmtId="0" fontId="0" fillId="0" borderId="0" xfId="0" applyNumberFormat="1" applyBorder="1"/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Alignment="1" applyProtection="1">
      <alignment wrapText="1"/>
      <protection locked="0"/>
    </xf>
    <xf numFmtId="0" fontId="0" fillId="0" borderId="3" xfId="0" applyBorder="1" applyProtection="1">
      <protection locked="0"/>
    </xf>
    <xf numFmtId="0" fontId="0" fillId="0" borderId="4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4" xfId="0" applyFill="1" applyBorder="1" applyProtection="1">
      <protection locked="0"/>
    </xf>
    <xf numFmtId="0" fontId="2" fillId="2" borderId="5" xfId="0" applyFont="1" applyFill="1" applyBorder="1" applyAlignment="1" applyProtection="1">
      <alignment horizontal="center" vertical="center" wrapText="1"/>
      <protection locked="0"/>
    </xf>
    <xf numFmtId="0" fontId="1" fillId="3" borderId="6" xfId="0" applyFont="1" applyFill="1" applyBorder="1" applyAlignment="1" applyProtection="1">
      <alignment horizontal="left" vertical="center" wrapText="1"/>
      <protection locked="0"/>
    </xf>
    <xf numFmtId="0" fontId="0" fillId="0" borderId="2" xfId="0" applyNumberFormat="1" applyBorder="1" applyAlignment="1" applyProtection="1">
      <alignment wrapText="1"/>
      <protection locked="0"/>
    </xf>
    <xf numFmtId="0" fontId="0" fillId="0" borderId="1" xfId="0" applyNumberFormat="1" applyBorder="1" applyAlignment="1" applyProtection="1">
      <alignment wrapText="1"/>
      <protection locked="0"/>
    </xf>
    <xf numFmtId="0" fontId="1" fillId="3" borderId="7" xfId="0" applyFont="1" applyFill="1" applyBorder="1" applyAlignment="1" applyProtection="1">
      <alignment horizontal="left" vertical="center" wrapText="1"/>
      <protection locked="0"/>
    </xf>
    <xf numFmtId="0" fontId="0" fillId="0" borderId="4" xfId="0" applyNumberFormat="1" applyBorder="1" applyProtection="1">
      <protection locked="0"/>
    </xf>
    <xf numFmtId="0" fontId="0" fillId="0" borderId="4" xfId="0" applyNumberFormat="1" applyBorder="1" applyAlignment="1" applyProtection="1">
      <alignment wrapText="1"/>
      <protection locked="0"/>
    </xf>
    <xf numFmtId="0" fontId="0" fillId="0" borderId="3" xfId="0" applyNumberFormat="1" applyBorder="1" applyProtection="1">
      <protection locked="0"/>
    </xf>
    <xf numFmtId="0" fontId="0" fillId="0" borderId="3" xfId="0" applyBorder="1" applyAlignment="1" applyProtection="1">
      <alignment wrapText="1"/>
      <protection locked="0"/>
    </xf>
    <xf numFmtId="0" fontId="0" fillId="0" borderId="2" xfId="0" applyNumberFormat="1" applyBorder="1" applyProtection="1">
      <protection locked="0"/>
    </xf>
    <xf numFmtId="0" fontId="0" fillId="0" borderId="1" xfId="0" applyNumberFormat="1" applyBorder="1" applyProtection="1">
      <protection locked="0"/>
    </xf>
    <xf numFmtId="11" fontId="0" fillId="0" borderId="4" xfId="0" applyNumberFormat="1" applyBorder="1" applyProtection="1">
      <protection locked="0"/>
    </xf>
    <xf numFmtId="0" fontId="3" fillId="4" borderId="2" xfId="0" applyFont="1" applyFill="1" applyBorder="1" applyAlignment="1" applyProtection="1">
      <alignment wrapText="1"/>
    </xf>
    <xf numFmtId="0" fontId="3" fillId="4" borderId="4" xfId="0" applyFont="1" applyFill="1" applyBorder="1" applyAlignment="1" applyProtection="1">
      <alignment wrapText="1"/>
    </xf>
    <xf numFmtId="0" fontId="3" fillId="4" borderId="4" xfId="0" applyFont="1" applyFill="1" applyBorder="1" applyProtection="1"/>
    <xf numFmtId="0" fontId="3" fillId="4" borderId="2" xfId="0" applyFont="1" applyFill="1" applyBorder="1" applyProtection="1"/>
    <xf numFmtId="0" fontId="3" fillId="4" borderId="2" xfId="0" applyNumberFormat="1" applyFont="1" applyFill="1" applyBorder="1" applyProtection="1"/>
    <xf numFmtId="0" fontId="3" fillId="4" borderId="4" xfId="0" applyNumberFormat="1" applyFont="1" applyFill="1" applyBorder="1" applyProtection="1"/>
    <xf numFmtId="0" fontId="3" fillId="4" borderId="2" xfId="0" applyNumberFormat="1" applyFont="1" applyFill="1" applyBorder="1" applyAlignment="1" applyProtection="1">
      <alignment wrapText="1"/>
    </xf>
    <xf numFmtId="0" fontId="3" fillId="4" borderId="8" xfId="0" applyNumberFormat="1" applyFont="1" applyFill="1" applyBorder="1" applyAlignment="1" applyProtection="1">
      <alignment wrapText="1"/>
    </xf>
    <xf numFmtId="0" fontId="3" fillId="4" borderId="4" xfId="0" applyNumberFormat="1" applyFont="1" applyFill="1" applyBorder="1" applyAlignment="1" applyProtection="1">
      <alignment wrapText="1"/>
    </xf>
    <xf numFmtId="0" fontId="3" fillId="4" borderId="9" xfId="0" applyNumberFormat="1" applyFont="1" applyFill="1" applyBorder="1" applyAlignment="1" applyProtection="1">
      <alignment wrapText="1"/>
    </xf>
    <xf numFmtId="0" fontId="3" fillId="4" borderId="3" xfId="0" applyNumberFormat="1" applyFont="1" applyFill="1" applyBorder="1" applyProtection="1"/>
    <xf numFmtId="0" fontId="3" fillId="4" borderId="1" xfId="0" applyNumberFormat="1" applyFont="1" applyFill="1" applyBorder="1" applyProtection="1"/>
    <xf numFmtId="0" fontId="3" fillId="4" borderId="8" xfId="0" applyFont="1" applyFill="1" applyBorder="1" applyProtection="1"/>
    <xf numFmtId="0" fontId="3" fillId="4" borderId="9" xfId="0" applyFont="1" applyFill="1" applyBorder="1" applyProtection="1"/>
    <xf numFmtId="0" fontId="4" fillId="4" borderId="2" xfId="0" applyNumberFormat="1" applyFont="1" applyFill="1" applyBorder="1" applyAlignment="1" applyProtection="1">
      <alignment wrapText="1"/>
    </xf>
    <xf numFmtId="0" fontId="2" fillId="2" borderId="10" xfId="0" applyFont="1" applyFill="1" applyBorder="1" applyAlignment="1" applyProtection="1">
      <alignment horizontal="center" vertical="center" wrapText="1"/>
      <protection locked="0"/>
    </xf>
    <xf numFmtId="0" fontId="2" fillId="2" borderId="11" xfId="0" applyFont="1" applyFill="1" applyBorder="1" applyAlignment="1" applyProtection="1">
      <alignment horizontal="center" vertical="center" wrapText="1"/>
      <protection locked="0"/>
    </xf>
    <xf numFmtId="0" fontId="2" fillId="2" borderId="11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12" xfId="0" applyFont="1" applyFill="1" applyBorder="1" applyAlignment="1" applyProtection="1">
      <alignment horizontal="center" vertical="center" wrapText="1"/>
      <protection locked="0"/>
    </xf>
    <xf numFmtId="0" fontId="2" fillId="2" borderId="13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10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13" xfId="0" applyFont="1" applyFill="1" applyBorder="1" applyAlignment="1" applyProtection="1">
      <alignment horizontal="center" vertical="center" wrapText="1"/>
      <protection locked="0"/>
    </xf>
    <xf numFmtId="0" fontId="2" fillId="2" borderId="14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"/>
  <sheetViews>
    <sheetView showGridLines="0" tabSelected="1" workbookViewId="0"/>
  </sheetViews>
  <sheetFormatPr defaultRowHeight="12.75" x14ac:dyDescent="0.2"/>
  <cols>
    <col min="1" max="1" width="32.7109375" style="2" customWidth="1"/>
    <col min="2" max="2" width="16.140625" customWidth="1"/>
    <col min="3" max="3" width="15.28515625" customWidth="1"/>
    <col min="4" max="4" width="13" customWidth="1"/>
    <col min="5" max="5" width="20.7109375" customWidth="1"/>
    <col min="6" max="6" width="15.7109375" customWidth="1"/>
    <col min="7" max="7" width="7.42578125" customWidth="1"/>
    <col min="8" max="8" width="10.28515625" customWidth="1"/>
    <col min="9" max="12" width="11.5703125" customWidth="1"/>
    <col min="13" max="13" width="13.140625" customWidth="1"/>
    <col min="14" max="14" width="13" customWidth="1"/>
    <col min="15" max="15" width="12.85546875" style="3" customWidth="1"/>
    <col min="16" max="16" width="12.140625" style="3" customWidth="1"/>
    <col min="17" max="17" width="11.5703125" customWidth="1"/>
    <col min="18" max="18" width="14.5703125" style="3" customWidth="1"/>
    <col min="19" max="20" width="14.5703125" customWidth="1"/>
    <col min="21" max="21" width="19.28515625" style="4" customWidth="1"/>
    <col min="22" max="22" width="22.5703125" style="4" customWidth="1"/>
    <col min="23" max="23" width="17" style="1" customWidth="1"/>
    <col min="24" max="25" width="10.5703125" style="4" customWidth="1"/>
    <col min="26" max="26" width="12.85546875" customWidth="1"/>
    <col min="27" max="28" width="12.7109375" style="1" customWidth="1"/>
    <col min="29" max="29" width="10.7109375" customWidth="1"/>
  </cols>
  <sheetData>
    <row r="1" spans="1:30" s="5" customFormat="1" ht="29.25" customHeight="1" thickBot="1" x14ac:dyDescent="0.25">
      <c r="A1" s="14" t="s">
        <v>31</v>
      </c>
      <c r="B1" s="41" t="s">
        <v>33</v>
      </c>
      <c r="C1" s="42" t="s">
        <v>11</v>
      </c>
      <c r="D1" s="42" t="s">
        <v>6</v>
      </c>
      <c r="E1" s="42" t="s">
        <v>8</v>
      </c>
      <c r="F1" s="42" t="s">
        <v>7</v>
      </c>
      <c r="G1" s="42" t="s">
        <v>9</v>
      </c>
      <c r="H1" s="42" t="s">
        <v>0</v>
      </c>
      <c r="I1" s="42" t="s">
        <v>1</v>
      </c>
      <c r="J1" s="42" t="s">
        <v>16</v>
      </c>
      <c r="K1" s="42" t="s">
        <v>17</v>
      </c>
      <c r="L1" s="42" t="s">
        <v>5</v>
      </c>
      <c r="M1" s="42" t="s">
        <v>14</v>
      </c>
      <c r="N1" s="42" t="s">
        <v>15</v>
      </c>
      <c r="O1" s="43" t="s">
        <v>2</v>
      </c>
      <c r="P1" s="43" t="s">
        <v>3</v>
      </c>
      <c r="Q1" s="42" t="s">
        <v>4</v>
      </c>
      <c r="R1" s="43" t="s">
        <v>12</v>
      </c>
      <c r="S1" s="44" t="s">
        <v>13</v>
      </c>
      <c r="T1" s="48" t="s">
        <v>35</v>
      </c>
      <c r="U1" s="45" t="s">
        <v>32</v>
      </c>
      <c r="V1" s="46" t="s">
        <v>10</v>
      </c>
      <c r="W1" s="42" t="s">
        <v>21</v>
      </c>
      <c r="X1" s="43" t="s">
        <v>22</v>
      </c>
      <c r="Y1" s="43" t="s">
        <v>23</v>
      </c>
      <c r="Z1" s="42" t="s">
        <v>18</v>
      </c>
      <c r="AA1" s="44" t="s">
        <v>19</v>
      </c>
      <c r="AB1" s="47" t="s">
        <v>20</v>
      </c>
      <c r="AC1" s="42" t="s">
        <v>36</v>
      </c>
      <c r="AD1" s="42" t="s">
        <v>37</v>
      </c>
    </row>
    <row r="2" spans="1:30" s="6" customFormat="1" x14ac:dyDescent="0.2">
      <c r="A2" s="15" t="s">
        <v>24</v>
      </c>
      <c r="B2" s="7">
        <v>0</v>
      </c>
      <c r="C2" s="8">
        <v>460</v>
      </c>
      <c r="D2" s="26">
        <f t="shared" ref="D2:D8" si="0">IF(B2=0,C2*SQRT(2),C2)</f>
        <v>650.53823869162375</v>
      </c>
      <c r="E2" s="8">
        <v>60</v>
      </c>
      <c r="F2" s="8">
        <v>1769</v>
      </c>
      <c r="G2" s="26">
        <f t="shared" ref="G2:G4" si="1">INT(E2*120/F2)</f>
        <v>4</v>
      </c>
      <c r="H2" s="16">
        <v>1.77</v>
      </c>
      <c r="I2" s="16">
        <v>1.34</v>
      </c>
      <c r="J2" s="30">
        <f t="shared" ref="J2:J8" si="2">H2</f>
        <v>1.77</v>
      </c>
      <c r="K2" s="30">
        <f t="shared" ref="K2:K8" si="3">IF(B2&lt;&gt;0,H2,H2+I2)</f>
        <v>3.1100000000000003</v>
      </c>
      <c r="L2" s="16">
        <v>0.36870894999999998</v>
      </c>
      <c r="M2" s="12">
        <v>1.3925999999999999E-2</v>
      </c>
      <c r="N2" s="12">
        <v>1.2122000000000001E-2</v>
      </c>
      <c r="O2" s="32">
        <f t="shared" ref="O2:O4" si="4">SUM(L2,M2)</f>
        <v>0.38263494999999997</v>
      </c>
      <c r="P2" s="32">
        <f t="shared" ref="P2:P8" si="5">O2</f>
        <v>0.38263494999999997</v>
      </c>
      <c r="Q2" s="32">
        <f t="shared" ref="Q2:Q4" si="6">SUM(L2,N2)</f>
        <v>0.38083095</v>
      </c>
      <c r="R2" s="32">
        <f t="shared" ref="R2:R4" si="7">((O2+P2)/2)*(1-L2*L2/(Q2*(O2+P2)/2))</f>
        <v>2.5662151938018699E-2</v>
      </c>
      <c r="S2" s="33">
        <f t="shared" ref="S2:S8" si="8">IF(B2,0,C2*SQRT(2/3)/(2*PI()*E2*Q2))</f>
        <v>2.6160669084821193</v>
      </c>
      <c r="T2" s="19">
        <v>15</v>
      </c>
      <c r="U2" s="40">
        <v>0</v>
      </c>
      <c r="V2" s="17">
        <v>0.01</v>
      </c>
      <c r="W2" s="8">
        <v>250</v>
      </c>
      <c r="X2" s="16">
        <v>3</v>
      </c>
      <c r="Y2" s="30">
        <f t="shared" ref="Y2:Y8" si="9">IF(B2&lt;&gt;0, 0.75*G2*U2/V2, 0.75*G2*L2*L2*S2/(Q2*V2))</f>
        <v>280.15941727146577</v>
      </c>
      <c r="Z2" s="29">
        <f>10*R2*W2/X2</f>
        <v>21.385126615015579</v>
      </c>
      <c r="AA2" s="38">
        <f t="shared" ref="AA2:AA8" si="10">J2/R2</f>
        <v>68.973171239693656</v>
      </c>
      <c r="AB2" s="29">
        <f t="shared" ref="AB2:AB8" si="11">K2/R2</f>
        <v>121.19014833641089</v>
      </c>
      <c r="AC2" s="29">
        <f t="shared" ref="AC2:AC8" si="12">W2/(X2*Y2)</f>
        <v>0.29744969540890331</v>
      </c>
      <c r="AD2" s="29">
        <f>AC2*W2/(X2*X2)</f>
        <v>8.262491539136203</v>
      </c>
    </row>
    <row r="3" spans="1:30" x14ac:dyDescent="0.2">
      <c r="A3" s="18" t="s">
        <v>25</v>
      </c>
      <c r="B3" s="9">
        <v>0</v>
      </c>
      <c r="C3" s="10">
        <v>460</v>
      </c>
      <c r="D3" s="27">
        <f t="shared" si="0"/>
        <v>650.53823869162375</v>
      </c>
      <c r="E3" s="10">
        <v>60</v>
      </c>
      <c r="F3" s="10">
        <v>1778</v>
      </c>
      <c r="G3" s="28">
        <f t="shared" si="1"/>
        <v>4</v>
      </c>
      <c r="H3" s="19">
        <v>0.3896</v>
      </c>
      <c r="I3" s="19">
        <v>0.28960000000000002</v>
      </c>
      <c r="J3" s="31">
        <f t="shared" si="2"/>
        <v>0.3896</v>
      </c>
      <c r="K3" s="31">
        <f t="shared" si="3"/>
        <v>0.67920000000000003</v>
      </c>
      <c r="L3" s="20">
        <v>7.352322E-2</v>
      </c>
      <c r="M3" s="10">
        <v>3.1915870000000001E-3</v>
      </c>
      <c r="N3" s="10">
        <v>3.9958499999999996E-3</v>
      </c>
      <c r="O3" s="34">
        <f t="shared" si="4"/>
        <v>7.6714806999999996E-2</v>
      </c>
      <c r="P3" s="34">
        <f t="shared" si="5"/>
        <v>7.6714806999999996E-2</v>
      </c>
      <c r="Q3" s="34">
        <f t="shared" si="6"/>
        <v>7.7519069999999995E-2</v>
      </c>
      <c r="R3" s="35">
        <f t="shared" si="7"/>
        <v>6.9814642345565987E-3</v>
      </c>
      <c r="S3" s="35">
        <f t="shared" si="8"/>
        <v>12.852053643326844</v>
      </c>
      <c r="T3" s="19">
        <v>45</v>
      </c>
      <c r="U3" s="40">
        <v>0</v>
      </c>
      <c r="V3" s="21">
        <v>0.1</v>
      </c>
      <c r="W3" s="22">
        <v>250</v>
      </c>
      <c r="X3" s="21">
        <v>8</v>
      </c>
      <c r="Y3" s="36">
        <f t="shared" si="9"/>
        <v>26.886499858499292</v>
      </c>
      <c r="Z3" s="29">
        <f>10*R3*W3/X3</f>
        <v>2.1817075732989371</v>
      </c>
      <c r="AA3" s="39">
        <f t="shared" si="10"/>
        <v>55.804912395249701</v>
      </c>
      <c r="AB3" s="28">
        <f t="shared" si="11"/>
        <v>97.286181978576991</v>
      </c>
      <c r="AC3" s="29">
        <f t="shared" si="12"/>
        <v>1.1622933503604163</v>
      </c>
      <c r="AD3" s="29">
        <f t="shared" ref="AD3:AD8" si="13">AC3*W3/(X3*X3)</f>
        <v>4.5402083998453762</v>
      </c>
    </row>
    <row r="4" spans="1:30" x14ac:dyDescent="0.2">
      <c r="A4" s="15" t="s">
        <v>26</v>
      </c>
      <c r="B4" s="11">
        <v>0</v>
      </c>
      <c r="C4" s="12">
        <v>460</v>
      </c>
      <c r="D4" s="26">
        <f t="shared" si="0"/>
        <v>650.53823869162375</v>
      </c>
      <c r="E4" s="12">
        <v>60</v>
      </c>
      <c r="F4" s="12">
        <v>1780</v>
      </c>
      <c r="G4" s="29">
        <f t="shared" si="1"/>
        <v>4</v>
      </c>
      <c r="H4" s="23">
        <v>8.2000000000000003E-2</v>
      </c>
      <c r="I4" s="23">
        <v>7.6999999999999999E-2</v>
      </c>
      <c r="J4" s="30">
        <f t="shared" si="2"/>
        <v>8.2000000000000003E-2</v>
      </c>
      <c r="K4" s="30">
        <f t="shared" si="3"/>
        <v>0.159</v>
      </c>
      <c r="L4" s="23">
        <v>2.7199999999999998E-2</v>
      </c>
      <c r="M4" s="12">
        <v>1.15E-3</v>
      </c>
      <c r="N4" s="12">
        <v>1.57E-3</v>
      </c>
      <c r="O4" s="32">
        <f t="shared" si="4"/>
        <v>2.835E-2</v>
      </c>
      <c r="P4" s="32">
        <f t="shared" si="5"/>
        <v>2.835E-2</v>
      </c>
      <c r="Q4" s="32">
        <f t="shared" si="6"/>
        <v>2.8769999999999997E-2</v>
      </c>
      <c r="R4" s="33">
        <f t="shared" si="7"/>
        <v>2.6343239485575247E-3</v>
      </c>
      <c r="S4" s="33">
        <f t="shared" si="8"/>
        <v>34.629101356302009</v>
      </c>
      <c r="T4" s="19">
        <v>100</v>
      </c>
      <c r="U4" s="40">
        <v>0</v>
      </c>
      <c r="V4" s="24">
        <v>0.2</v>
      </c>
      <c r="W4" s="7">
        <v>250</v>
      </c>
      <c r="X4" s="24">
        <v>5</v>
      </c>
      <c r="Y4" s="37">
        <f t="shared" si="9"/>
        <v>13.357661286468444</v>
      </c>
      <c r="Z4" s="29">
        <f t="shared" ref="Z4:Z8" si="14">10*R4*W4/X4</f>
        <v>1.3171619742787624</v>
      </c>
      <c r="AA4" s="38">
        <f t="shared" si="10"/>
        <v>31.127530858496236</v>
      </c>
      <c r="AB4" s="28">
        <f t="shared" si="11"/>
        <v>60.357041542693921</v>
      </c>
      <c r="AC4" s="29">
        <f t="shared" si="12"/>
        <v>3.7431702247646386</v>
      </c>
      <c r="AD4" s="29">
        <f t="shared" si="13"/>
        <v>37.431702247646385</v>
      </c>
    </row>
    <row r="5" spans="1:30" x14ac:dyDescent="0.2">
      <c r="A5" s="18" t="s">
        <v>27</v>
      </c>
      <c r="B5" s="9">
        <v>1</v>
      </c>
      <c r="C5" s="10">
        <v>200</v>
      </c>
      <c r="D5" s="27">
        <f>IF(B5=0,C5*SQRT(2),C5)</f>
        <v>200</v>
      </c>
      <c r="E5" s="28" t="s">
        <v>34</v>
      </c>
      <c r="F5" s="8">
        <v>6000</v>
      </c>
      <c r="G5" s="10">
        <v>4</v>
      </c>
      <c r="H5" s="19">
        <v>0.41599999999999998</v>
      </c>
      <c r="I5" s="31">
        <v>0</v>
      </c>
      <c r="J5" s="31">
        <f t="shared" si="2"/>
        <v>0.41599999999999998</v>
      </c>
      <c r="K5" s="31">
        <f t="shared" si="3"/>
        <v>0.41599999999999998</v>
      </c>
      <c r="L5" s="31">
        <f t="shared" ref="L5:L8" si="15">I5</f>
        <v>0</v>
      </c>
      <c r="M5" s="28">
        <f t="shared" ref="M5:N5" si="16">L5</f>
        <v>0</v>
      </c>
      <c r="N5" s="28">
        <f t="shared" si="16"/>
        <v>0</v>
      </c>
      <c r="O5" s="19">
        <v>1.3649999999999999E-3</v>
      </c>
      <c r="P5" s="34">
        <f t="shared" si="5"/>
        <v>1.3649999999999999E-3</v>
      </c>
      <c r="Q5" s="31">
        <v>1</v>
      </c>
      <c r="R5" s="35">
        <f>P5</f>
        <v>1.3649999999999999E-3</v>
      </c>
      <c r="S5" s="35">
        <f t="shared" si="8"/>
        <v>0</v>
      </c>
      <c r="T5" s="19">
        <v>30</v>
      </c>
      <c r="U5" s="19">
        <v>9.5699999999999993E-2</v>
      </c>
      <c r="V5" s="21">
        <v>3.0000000000000001E-3</v>
      </c>
      <c r="W5" s="22">
        <v>250</v>
      </c>
      <c r="X5" s="21">
        <v>3</v>
      </c>
      <c r="Y5" s="36">
        <f t="shared" si="9"/>
        <v>95.699999999999989</v>
      </c>
      <c r="Z5" s="29">
        <f t="shared" si="14"/>
        <v>1.1375</v>
      </c>
      <c r="AA5" s="39">
        <f t="shared" si="10"/>
        <v>304.76190476190476</v>
      </c>
      <c r="AB5" s="28">
        <f t="shared" si="11"/>
        <v>304.76190476190476</v>
      </c>
      <c r="AC5" s="29">
        <f t="shared" si="12"/>
        <v>0.87077673284569845</v>
      </c>
      <c r="AD5" s="29">
        <f t="shared" si="13"/>
        <v>24.188242579047181</v>
      </c>
    </row>
    <row r="6" spans="1:30" ht="14.25" customHeight="1" x14ac:dyDescent="0.2">
      <c r="A6" s="18" t="s">
        <v>28</v>
      </c>
      <c r="B6" s="9">
        <v>1</v>
      </c>
      <c r="C6" s="10">
        <v>300</v>
      </c>
      <c r="D6" s="27">
        <f t="shared" si="0"/>
        <v>300</v>
      </c>
      <c r="E6" s="28" t="s">
        <v>34</v>
      </c>
      <c r="F6" s="8">
        <v>400</v>
      </c>
      <c r="G6" s="10">
        <v>48</v>
      </c>
      <c r="H6" s="19">
        <v>4</v>
      </c>
      <c r="I6" s="31">
        <v>0</v>
      </c>
      <c r="J6" s="31">
        <f>H6</f>
        <v>4</v>
      </c>
      <c r="K6" s="31">
        <f t="shared" si="3"/>
        <v>4</v>
      </c>
      <c r="L6" s="31">
        <f t="shared" si="15"/>
        <v>0</v>
      </c>
      <c r="M6" s="28">
        <f t="shared" ref="M6:N6" si="17">L6</f>
        <v>0</v>
      </c>
      <c r="N6" s="28">
        <f t="shared" si="17"/>
        <v>0</v>
      </c>
      <c r="O6" s="25">
        <v>0.03</v>
      </c>
      <c r="P6" s="34">
        <f t="shared" si="5"/>
        <v>0.03</v>
      </c>
      <c r="Q6" s="31">
        <v>1</v>
      </c>
      <c r="R6" s="35">
        <f t="shared" ref="R6:R8" si="18">P6</f>
        <v>0.03</v>
      </c>
      <c r="S6" s="35">
        <f t="shared" si="8"/>
        <v>0</v>
      </c>
      <c r="T6" s="19">
        <v>5</v>
      </c>
      <c r="U6" s="19">
        <v>0.14000000000000001</v>
      </c>
      <c r="V6" s="21">
        <v>0.1</v>
      </c>
      <c r="W6" s="22">
        <v>150</v>
      </c>
      <c r="X6" s="21">
        <v>3</v>
      </c>
      <c r="Y6" s="36">
        <f t="shared" si="9"/>
        <v>50.400000000000006</v>
      </c>
      <c r="Z6" s="29">
        <f t="shared" si="14"/>
        <v>15</v>
      </c>
      <c r="AA6" s="39">
        <f t="shared" si="10"/>
        <v>133.33333333333334</v>
      </c>
      <c r="AB6" s="28">
        <f t="shared" si="11"/>
        <v>133.33333333333334</v>
      </c>
      <c r="AC6" s="29">
        <f t="shared" si="12"/>
        <v>0.99206349206349198</v>
      </c>
      <c r="AD6" s="29">
        <f t="shared" si="13"/>
        <v>16.534391534391531</v>
      </c>
    </row>
    <row r="7" spans="1:30" ht="14.25" customHeight="1" x14ac:dyDescent="0.2">
      <c r="A7" s="18" t="s">
        <v>29</v>
      </c>
      <c r="B7" s="9">
        <v>1</v>
      </c>
      <c r="C7" s="10">
        <v>24</v>
      </c>
      <c r="D7" s="27">
        <f t="shared" si="0"/>
        <v>24</v>
      </c>
      <c r="E7" s="28" t="s">
        <v>34</v>
      </c>
      <c r="F7" s="8">
        <v>5000</v>
      </c>
      <c r="G7" s="13">
        <v>8</v>
      </c>
      <c r="H7" s="19">
        <v>0.36</v>
      </c>
      <c r="I7" s="31">
        <v>0</v>
      </c>
      <c r="J7" s="31">
        <f t="shared" si="2"/>
        <v>0.36</v>
      </c>
      <c r="K7" s="31">
        <f t="shared" si="3"/>
        <v>0.36</v>
      </c>
      <c r="L7" s="31">
        <f t="shared" si="15"/>
        <v>0</v>
      </c>
      <c r="M7" s="28">
        <f t="shared" ref="M7:N8" si="19">L7</f>
        <v>0</v>
      </c>
      <c r="N7" s="28">
        <f t="shared" si="19"/>
        <v>0</v>
      </c>
      <c r="O7" s="25">
        <v>2.0000000000000001E-4</v>
      </c>
      <c r="P7" s="34">
        <f t="shared" si="5"/>
        <v>2.0000000000000001E-4</v>
      </c>
      <c r="Q7" s="31">
        <v>1</v>
      </c>
      <c r="R7" s="35">
        <f t="shared" si="18"/>
        <v>2.0000000000000001E-4</v>
      </c>
      <c r="S7" s="35">
        <f t="shared" si="8"/>
        <v>0</v>
      </c>
      <c r="T7" s="19">
        <v>10</v>
      </c>
      <c r="U7" s="19">
        <v>6.3953999999999999E-3</v>
      </c>
      <c r="V7" s="21">
        <v>2.0000000000000001E-4</v>
      </c>
      <c r="W7" s="22">
        <v>250</v>
      </c>
      <c r="X7" s="21">
        <v>4</v>
      </c>
      <c r="Y7" s="36">
        <f t="shared" si="9"/>
        <v>191.86199999999999</v>
      </c>
      <c r="Z7" s="29">
        <f t="shared" si="14"/>
        <v>0.125</v>
      </c>
      <c r="AA7" s="39">
        <f t="shared" si="10"/>
        <v>1799.9999999999998</v>
      </c>
      <c r="AB7" s="28">
        <f t="shared" si="11"/>
        <v>1799.9999999999998</v>
      </c>
      <c r="AC7" s="29">
        <f t="shared" si="12"/>
        <v>0.32575496971781803</v>
      </c>
      <c r="AD7" s="29">
        <f t="shared" si="13"/>
        <v>5.0899214018409067</v>
      </c>
    </row>
    <row r="8" spans="1:30" ht="13.5" customHeight="1" x14ac:dyDescent="0.2">
      <c r="A8" s="18" t="s">
        <v>30</v>
      </c>
      <c r="B8" s="9">
        <v>1</v>
      </c>
      <c r="C8" s="10">
        <v>24</v>
      </c>
      <c r="D8" s="27">
        <f t="shared" si="0"/>
        <v>24</v>
      </c>
      <c r="E8" s="28" t="s">
        <v>34</v>
      </c>
      <c r="F8" s="8">
        <v>5000</v>
      </c>
      <c r="G8" s="10">
        <v>8</v>
      </c>
      <c r="H8" s="19">
        <v>0.4</v>
      </c>
      <c r="I8" s="31">
        <v>0</v>
      </c>
      <c r="J8" s="31">
        <f t="shared" si="2"/>
        <v>0.4</v>
      </c>
      <c r="K8" s="31">
        <f t="shared" si="3"/>
        <v>0.4</v>
      </c>
      <c r="L8" s="31">
        <f t="shared" si="15"/>
        <v>0</v>
      </c>
      <c r="M8" s="28">
        <f t="shared" si="19"/>
        <v>0</v>
      </c>
      <c r="N8" s="28">
        <f t="shared" si="19"/>
        <v>0</v>
      </c>
      <c r="O8" s="19">
        <v>5.9999999999999995E-4</v>
      </c>
      <c r="P8" s="34">
        <f t="shared" si="5"/>
        <v>5.9999999999999995E-4</v>
      </c>
      <c r="Q8" s="31">
        <v>1</v>
      </c>
      <c r="R8" s="35">
        <f t="shared" si="18"/>
        <v>5.9999999999999995E-4</v>
      </c>
      <c r="S8" s="35">
        <f t="shared" si="8"/>
        <v>0</v>
      </c>
      <c r="T8" s="19">
        <v>10</v>
      </c>
      <c r="U8" s="19">
        <v>5.4000000000000003E-3</v>
      </c>
      <c r="V8" s="21">
        <v>2.0000000000000001E-4</v>
      </c>
      <c r="W8" s="22">
        <v>250</v>
      </c>
      <c r="X8" s="21">
        <v>4</v>
      </c>
      <c r="Y8" s="36">
        <f t="shared" si="9"/>
        <v>161.99999999999997</v>
      </c>
      <c r="Z8" s="29">
        <f t="shared" si="14"/>
        <v>0.37499999999999994</v>
      </c>
      <c r="AA8" s="39">
        <f t="shared" si="10"/>
        <v>666.66666666666674</v>
      </c>
      <c r="AB8" s="28">
        <f t="shared" si="11"/>
        <v>666.66666666666674</v>
      </c>
      <c r="AC8" s="29">
        <f t="shared" si="12"/>
        <v>0.38580246913580252</v>
      </c>
      <c r="AD8" s="29">
        <f t="shared" si="13"/>
        <v>6.0281635802469147</v>
      </c>
    </row>
  </sheetData>
  <sheetProtection formatCells="0" formatColumns="0" formatRows="0" insertColumns="0" insertRows="0" insertHyperlinks="0" deleteColumns="0" deleteRows="0" selectLockedCells="1" sort="0" autoFilter="0" pivotTables="0"/>
  <phoneticPr fontId="0" type="noConversion"/>
  <pageMargins left="0.75" right="0.75" top="1" bottom="1" header="0.5" footer="0.5"/>
  <pageSetup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Wilson, Dave (Wisconsin)</cp:lastModifiedBy>
  <dcterms:created xsi:type="dcterms:W3CDTF">2012-07-18T19:44:08Z</dcterms:created>
  <dcterms:modified xsi:type="dcterms:W3CDTF">2013-05-15T20:13:24Z</dcterms:modified>
</cp:coreProperties>
</file>