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05" windowWidth="14805" windowHeight="7410" tabRatio="1000" activeTab="5"/>
  </bookViews>
  <sheets>
    <sheet name="Sourcing" sheetId="1" r:id="rId1"/>
    <sheet name="Supply" sheetId="18" r:id="rId2"/>
    <sheet name="Densification" sheetId="16" r:id="rId3"/>
    <sheet name="BEcarrier" sheetId="6" r:id="rId4"/>
    <sheet name="Distribution" sheetId="4" r:id="rId5"/>
    <sheet name="Conversion" sheetId="5" r:id="rId6"/>
    <sheet name="Ref_prices" sheetId="27" r:id="rId7"/>
    <sheet name="Sensitivity" sheetId="28" r:id="rId8"/>
  </sheets>
  <definedNames>
    <definedName name="_xlnm._FilterDatabase" localSheetId="3" hidden="1">BEcarrier!$B$1:$H$37</definedName>
    <definedName name="_xlnm._FilterDatabase" localSheetId="5" hidden="1">Conversion!$B$1:$H$1</definedName>
    <definedName name="_xlnm._FilterDatabase" localSheetId="2" hidden="1">Densification!$B$1:$H$98</definedName>
    <definedName name="_xlnm._FilterDatabase" localSheetId="4" hidden="1">Distribution!$B$1:$H$21</definedName>
    <definedName name="_xlnm._FilterDatabase" localSheetId="0" hidden="1">Sourcing!$B$1:$H$11</definedName>
    <definedName name="beispiel">#REF!</definedName>
    <definedName name="bsp">#REF!</definedName>
    <definedName name="modesplit">#REF!</definedName>
    <definedName name="potential">#REF!</definedName>
    <definedName name="results">#REF!</definedName>
  </definedNames>
  <calcPr calcId="162913"/>
</workbook>
</file>

<file path=xl/calcChain.xml><?xml version="1.0" encoding="utf-8"?>
<calcChain xmlns="http://schemas.openxmlformats.org/spreadsheetml/2006/main">
  <c r="F4" i="16" l="1"/>
  <c r="F16" i="16"/>
  <c r="F17" i="18"/>
  <c r="F16" i="18"/>
  <c r="F15" i="18"/>
  <c r="F14" i="18"/>
  <c r="F13" i="18"/>
  <c r="F12" i="18"/>
  <c r="F11" i="18"/>
  <c r="F10" i="18"/>
  <c r="F9" i="18"/>
  <c r="F8" i="18"/>
  <c r="F7" i="18"/>
  <c r="F6" i="18"/>
  <c r="F37" i="27" l="1"/>
  <c r="J23" i="27"/>
  <c r="F39" i="5" l="1"/>
  <c r="F5" i="1"/>
  <c r="F4" i="1"/>
  <c r="F2" i="16"/>
  <c r="F6" i="16"/>
  <c r="F8" i="16"/>
  <c r="F10" i="16"/>
  <c r="F12" i="16"/>
  <c r="F14" i="16"/>
  <c r="F18" i="16"/>
  <c r="F27" i="16"/>
  <c r="F20" i="16"/>
  <c r="F29" i="16"/>
  <c r="F4" i="5"/>
  <c r="F3" i="5"/>
  <c r="F2" i="5"/>
  <c r="F13" i="5"/>
  <c r="F12" i="5"/>
  <c r="F11" i="5"/>
  <c r="F10" i="5"/>
  <c r="F9" i="5"/>
  <c r="F8" i="5"/>
  <c r="F7" i="5"/>
  <c r="F6" i="5"/>
  <c r="F5" i="5"/>
  <c r="F20" i="4"/>
  <c r="F21" i="4"/>
  <c r="F13" i="4"/>
  <c r="F12" i="4"/>
  <c r="F11" i="4"/>
  <c r="F10" i="4"/>
  <c r="F9" i="4"/>
  <c r="F8" i="4"/>
  <c r="F29" i="27" l="1"/>
  <c r="F28" i="27"/>
  <c r="F27" i="27"/>
  <c r="F43" i="5"/>
  <c r="F42" i="5"/>
  <c r="F40" i="5"/>
  <c r="F41" i="5"/>
  <c r="F32" i="27"/>
  <c r="F33" i="27"/>
  <c r="F34" i="27"/>
  <c r="F35" i="27"/>
  <c r="F36" i="27"/>
  <c r="F31" i="27"/>
  <c r="F24" i="27"/>
  <c r="F25" i="27"/>
  <c r="F26" i="27"/>
  <c r="F30" i="27"/>
  <c r="F5" i="28" l="1"/>
  <c r="F4" i="28"/>
  <c r="F3" i="28"/>
  <c r="F2" i="28"/>
  <c r="F17" i="5" l="1"/>
  <c r="F16" i="5"/>
  <c r="F18" i="5"/>
  <c r="F7" i="1"/>
  <c r="F12" i="6"/>
  <c r="F13" i="6"/>
  <c r="F3" i="1"/>
  <c r="F11" i="6"/>
  <c r="F7" i="6"/>
  <c r="F4" i="18"/>
  <c r="F5" i="18"/>
  <c r="F12" i="1"/>
  <c r="F13" i="1"/>
  <c r="F11" i="1"/>
  <c r="F3" i="18"/>
  <c r="F2" i="18"/>
  <c r="F6" i="4"/>
  <c r="F21" i="16"/>
  <c r="F17" i="16"/>
  <c r="F25" i="5"/>
  <c r="F10" i="1"/>
  <c r="F4" i="4"/>
  <c r="F6" i="6"/>
  <c r="F2" i="6"/>
  <c r="F8" i="6"/>
  <c r="F4" i="6"/>
  <c r="F9" i="6"/>
  <c r="F5" i="6"/>
</calcChain>
</file>

<file path=xl/sharedStrings.xml><?xml version="1.0" encoding="utf-8"?>
<sst xmlns="http://schemas.openxmlformats.org/spreadsheetml/2006/main" count="1142" uniqueCount="293">
  <si>
    <t>Characteristic</t>
  </si>
  <si>
    <t>Unit</t>
  </si>
  <si>
    <t>Source</t>
  </si>
  <si>
    <t>Technology</t>
  </si>
  <si>
    <t>Specification</t>
  </si>
  <si>
    <t>Sources</t>
  </si>
  <si>
    <t>Feedstock</t>
  </si>
  <si>
    <t>Wood chips</t>
  </si>
  <si>
    <t>Wood pellets</t>
  </si>
  <si>
    <t>Torr. Wood pellets</t>
  </si>
  <si>
    <t>Moisture content</t>
  </si>
  <si>
    <t>NCV</t>
  </si>
  <si>
    <t>MJ/kg</t>
  </si>
  <si>
    <t>Bulk density</t>
  </si>
  <si>
    <t>kg/m^3</t>
  </si>
  <si>
    <t>Energy density</t>
  </si>
  <si>
    <t>GJ/m^3</t>
  </si>
  <si>
    <t>Torr. Straw pellets</t>
  </si>
  <si>
    <t>Wheat straw</t>
  </si>
  <si>
    <t>Beechwood</t>
  </si>
  <si>
    <t>few s</t>
  </si>
  <si>
    <t>Mass yield</t>
  </si>
  <si>
    <t>Energy yield</t>
  </si>
  <si>
    <t>Logg.res. (30 wt%)</t>
  </si>
  <si>
    <t>Energy carrier</t>
  </si>
  <si>
    <t>Energy content</t>
  </si>
  <si>
    <t>CENER,UmU,ECN</t>
  </si>
  <si>
    <t>Straw pellets</t>
  </si>
  <si>
    <t>Rail</t>
  </si>
  <si>
    <t>Transport-mode</t>
  </si>
  <si>
    <t>(Hoefnagels et al., 2013)</t>
  </si>
  <si>
    <t>Truck</t>
  </si>
  <si>
    <t>Design ratio</t>
  </si>
  <si>
    <t>Wheat straw (18t)</t>
  </si>
  <si>
    <t>Wood chips (21,4t)</t>
  </si>
  <si>
    <t>(Rotter and Rohrhofer, 2014), Table11</t>
  </si>
  <si>
    <t>(Rotter and Rohrhofer, 2014), Table24</t>
  </si>
  <si>
    <t>(Rotter and Rohrhofer, 2014), Table28</t>
  </si>
  <si>
    <t>Storage</t>
  </si>
  <si>
    <t>Efficiency</t>
  </si>
  <si>
    <t>ID</t>
  </si>
  <si>
    <t>CD</t>
  </si>
  <si>
    <t>bd</t>
  </si>
  <si>
    <t>mc</t>
  </si>
  <si>
    <t>GCV</t>
  </si>
  <si>
    <t>ave</t>
  </si>
  <si>
    <t>INV</t>
  </si>
  <si>
    <t>el</t>
  </si>
  <si>
    <t>Reference Size</t>
  </si>
  <si>
    <t>refsize</t>
  </si>
  <si>
    <t>Y_M</t>
  </si>
  <si>
    <t>Diesel</t>
  </si>
  <si>
    <t>Electricity</t>
  </si>
  <si>
    <t>Residential</t>
  </si>
  <si>
    <t>Tractor_straw</t>
  </si>
  <si>
    <t>Tractor_chips</t>
  </si>
  <si>
    <t>Truck_straw</t>
  </si>
  <si>
    <t>Truck_chips</t>
  </si>
  <si>
    <t>Rail_oil</t>
  </si>
  <si>
    <t>Torr&amp;Pell_wood</t>
  </si>
  <si>
    <t>Torr&amp;Pell_straw</t>
  </si>
  <si>
    <t>v_cost</t>
  </si>
  <si>
    <t>cap</t>
  </si>
  <si>
    <t>h_cost</t>
  </si>
  <si>
    <t>Y_E</t>
  </si>
  <si>
    <t>Res_pell</t>
  </si>
  <si>
    <t>off</t>
  </si>
  <si>
    <t>Y</t>
  </si>
  <si>
    <t>C</t>
  </si>
  <si>
    <t>t/ha*a</t>
  </si>
  <si>
    <t>cost</t>
  </si>
  <si>
    <t>Variable cost_incl labour.u.fuel</t>
  </si>
  <si>
    <t>€/GJ</t>
  </si>
  <si>
    <t>%</t>
  </si>
  <si>
    <t>Energy Yield</t>
  </si>
  <si>
    <t>Investment costs</t>
  </si>
  <si>
    <t>10% cofiring</t>
  </si>
  <si>
    <t>Yield cofired power plant</t>
  </si>
  <si>
    <t>without fuel</t>
  </si>
  <si>
    <t>based on (Meerman et al., 2012) Fig.13</t>
  </si>
  <si>
    <t>FT Efficiency HHV</t>
  </si>
  <si>
    <t>(Meerman et al., 2012) Table.1</t>
  </si>
  <si>
    <t>€/MWh</t>
  </si>
  <si>
    <t>Ocean</t>
  </si>
  <si>
    <t>days</t>
  </si>
  <si>
    <t>km</t>
  </si>
  <si>
    <t>Co_pell</t>
  </si>
  <si>
    <t>Co_torrpell</t>
  </si>
  <si>
    <t>FT_pell</t>
  </si>
  <si>
    <t>FT_torrpell</t>
  </si>
  <si>
    <t>Res_torrpell</t>
  </si>
  <si>
    <t>FT_syn</t>
  </si>
  <si>
    <t>Co_syn</t>
  </si>
  <si>
    <t>Mositure content</t>
  </si>
  <si>
    <t>Gross calorific value</t>
  </si>
  <si>
    <t>(Francescato et al., 2008), Table 2.7.1</t>
  </si>
  <si>
    <t>(Rotter and Rohrhofer, 2014) p.15</t>
  </si>
  <si>
    <t>Roadside price</t>
  </si>
  <si>
    <t>Yield &amp; accessability</t>
  </si>
  <si>
    <t>Variable&amp;general expenses</t>
  </si>
  <si>
    <t>var</t>
  </si>
  <si>
    <t>without feedstock</t>
  </si>
  <si>
    <t>Pell_wood</t>
  </si>
  <si>
    <t>Pell_straw</t>
  </si>
  <si>
    <t>(Obernberger and Thek, 2010)</t>
  </si>
  <si>
    <t>SECTOR Meeting, Berlin 29.01.2014</t>
  </si>
  <si>
    <t>for Wheat straw</t>
  </si>
  <si>
    <t>t_out/year</t>
  </si>
  <si>
    <t>GJ_out/GJ_in</t>
  </si>
  <si>
    <t>on dry mass basis</t>
  </si>
  <si>
    <t>Wood chips, 40kt/a</t>
  </si>
  <si>
    <t>Straw bales, 40kt/a</t>
  </si>
  <si>
    <t>Wood chips, 100kt/a</t>
  </si>
  <si>
    <t>Straw bales, 100kt/a</t>
  </si>
  <si>
    <t>Straw bales, 148kt/a</t>
  </si>
  <si>
    <t>Truck_oil</t>
  </si>
  <si>
    <t>(Un-) loading cost</t>
  </si>
  <si>
    <t>z_cost</t>
  </si>
  <si>
    <t>Storage_oil</t>
  </si>
  <si>
    <t>Covered storage</t>
  </si>
  <si>
    <t>Tank farm</t>
  </si>
  <si>
    <t>Ocean_oil</t>
  </si>
  <si>
    <t>Bales (15 wt%)</t>
  </si>
  <si>
    <t>wet basis</t>
  </si>
  <si>
    <t>Fast_pyr_wood</t>
  </si>
  <si>
    <t>Fast_pyr_straw</t>
  </si>
  <si>
    <t>Dry, Europe</t>
  </si>
  <si>
    <t>Dry, Forest residues EU</t>
  </si>
  <si>
    <t>t_cost</t>
  </si>
  <si>
    <t>(Batidzirai et al., 2013) p.127</t>
  </si>
  <si>
    <t>(Thrän et al., 2016) Table 3</t>
  </si>
  <si>
    <t>(Francescato et al., 2008), Table 1.6</t>
  </si>
  <si>
    <t>Biosyncrude_wheat</t>
  </si>
  <si>
    <t>Biosyncrude_wood</t>
  </si>
  <si>
    <t>(Hoefnagels et al., 2013), Table 5</t>
  </si>
  <si>
    <t>(Hoefnagels et al., 2011) Table 3-5</t>
  </si>
  <si>
    <t>Res_syn</t>
  </si>
  <si>
    <t>Ind_pell</t>
  </si>
  <si>
    <t>Ind_torrpell</t>
  </si>
  <si>
    <t>Ind_syn</t>
  </si>
  <si>
    <t>Based on  (Lüschen and Madlener, 2013) Fig.5</t>
  </si>
  <si>
    <t>(Rotter and Rohrhofer, 2014) Table6</t>
  </si>
  <si>
    <t>Bulk density (fresh)</t>
  </si>
  <si>
    <t>(Pudelko et al., 2015), p.24</t>
  </si>
  <si>
    <t>Roadside price (if 80% collected)</t>
  </si>
  <si>
    <t>(Svanberg et al., 2013), Table1</t>
  </si>
  <si>
    <t>(Rotter and Rohrhofer,2014), Table11</t>
  </si>
  <si>
    <t>Variable cost_incl labour.u.fuel and including capacity utilsiation</t>
  </si>
  <si>
    <t>(Rotter and Rohrhofer, 2014),  Table 27</t>
  </si>
  <si>
    <t>(Rotter and Rohrhofer, 2014), Table 27</t>
  </si>
  <si>
    <t>(Pudelko et al., 2015), Fig11</t>
  </si>
  <si>
    <t>(Mireles et al., 2015)  - Annex J</t>
  </si>
  <si>
    <t>(Arpiainen et al., 2014), Table 10</t>
  </si>
  <si>
    <t>(Koppejan et al., 2015) Table3.2</t>
  </si>
  <si>
    <t>(Trinh et al., 2013)</t>
  </si>
  <si>
    <t>(Trinh et al., 2013), Table 5</t>
  </si>
  <si>
    <t>Bio-oil, no char but incl. Reaction water (16%)</t>
  </si>
  <si>
    <t>Bio-oil, no char but incl. Reaction water (8%)</t>
  </si>
  <si>
    <t>at 10 wt%</t>
  </si>
  <si>
    <t>including backhaul!</t>
  </si>
  <si>
    <t>of which 24.5% electricity</t>
  </si>
  <si>
    <t>of which 11% electricity</t>
  </si>
  <si>
    <t>of which 10% electricity</t>
  </si>
  <si>
    <t>of which 12% electricity</t>
  </si>
  <si>
    <t xml:space="preserve">(Arpiainen et al., 2015) </t>
  </si>
  <si>
    <t>Loading &amp; unloading</t>
  </si>
  <si>
    <t>Y_rev</t>
  </si>
  <si>
    <t>Average in 2014 EU28 w/o taxes and levies</t>
  </si>
  <si>
    <t>$/MWh</t>
  </si>
  <si>
    <t>Average Industry natural gas price for OECD average in 2014 (total)</t>
  </si>
  <si>
    <t>€/$</t>
  </si>
  <si>
    <t>Diesel in OSCE average household</t>
  </si>
  <si>
    <t>Average Brent crude oil spot prices 2014</t>
  </si>
  <si>
    <t>(Gerssen-Gondelach et al., 2014) Table3*</t>
  </si>
  <si>
    <t>Interest rate 4%, 25 years and 7.6% O&amp;M</t>
  </si>
  <si>
    <t>price</t>
  </si>
  <si>
    <t>EU28 2014 average w/o taxes and levies</t>
  </si>
  <si>
    <t>EU28 average electricity price for largest consumers w/o taxes and levies</t>
  </si>
  <si>
    <t xml:space="preserve">EU28 average heating costs for residential </t>
  </si>
  <si>
    <t>€2014/GJ</t>
  </si>
  <si>
    <t>oil</t>
  </si>
  <si>
    <t>electricity</t>
  </si>
  <si>
    <t>Product</t>
  </si>
  <si>
    <t>NG</t>
  </si>
  <si>
    <t>(OECD, IEA, 2016)</t>
  </si>
  <si>
    <t>OECD 2014</t>
  </si>
  <si>
    <t>Dollar</t>
  </si>
  <si>
    <t>(OANDA, 2016)</t>
  </si>
  <si>
    <t>Average 2014</t>
  </si>
  <si>
    <t>ng</t>
  </si>
  <si>
    <t>diesel</t>
  </si>
  <si>
    <t>(Biermayr, 2016)</t>
  </si>
  <si>
    <t>kWh/l</t>
  </si>
  <si>
    <t>dieselNCV</t>
  </si>
  <si>
    <t>Brent 2014</t>
  </si>
  <si>
    <t>Brentcrude</t>
  </si>
  <si>
    <t>(statista, 2016)</t>
  </si>
  <si>
    <t>dsl_price</t>
  </si>
  <si>
    <t>dsl_cost</t>
  </si>
  <si>
    <t>(EC, 2016)</t>
  </si>
  <si>
    <t>EU 2014</t>
  </si>
  <si>
    <t>(Eurostat, 2016)</t>
  </si>
  <si>
    <t>Parameter</t>
  </si>
  <si>
    <t>YuAuSvar</t>
  </si>
  <si>
    <t>up</t>
  </si>
  <si>
    <t>dwn</t>
  </si>
  <si>
    <t>INVvar</t>
  </si>
  <si>
    <t>STOREvar</t>
  </si>
  <si>
    <t>DISTvar</t>
  </si>
  <si>
    <t>HANDvar</t>
  </si>
  <si>
    <t>Bmcostvar</t>
  </si>
  <si>
    <t>Store-time</t>
  </si>
  <si>
    <t>Distance variable costs</t>
  </si>
  <si>
    <t>Handling variable costs</t>
  </si>
  <si>
    <t>Biomass costs</t>
  </si>
  <si>
    <t>Arial Yields</t>
  </si>
  <si>
    <t>RDP1</t>
  </si>
  <si>
    <t>t_store</t>
  </si>
  <si>
    <t>RDP2</t>
  </si>
  <si>
    <t>RDP3</t>
  </si>
  <si>
    <t>RDP4</t>
  </si>
  <si>
    <t>RDP5</t>
  </si>
  <si>
    <t>RDP6</t>
  </si>
  <si>
    <t>d_1st</t>
  </si>
  <si>
    <t>mode_1st</t>
  </si>
  <si>
    <t>d_2nd</t>
  </si>
  <si>
    <t>mode_2nd</t>
  </si>
  <si>
    <t>d_3rd</t>
  </si>
  <si>
    <t>mode_3rd</t>
  </si>
  <si>
    <t>modus</t>
  </si>
  <si>
    <t>delmode</t>
  </si>
  <si>
    <t>tracktor</t>
  </si>
  <si>
    <t>Delivery Mode</t>
  </si>
  <si>
    <t>€2017/t*km</t>
  </si>
  <si>
    <t>https://www.statista.com/statistics/383500/northwest-europe-coal-marker-price/</t>
  </si>
  <si>
    <t>$/metric ton</t>
  </si>
  <si>
    <t>Coal price 2017 household (northwest Europe)</t>
  </si>
  <si>
    <t>Coal</t>
  </si>
  <si>
    <t>Average price for OECD EU without taxes and levies</t>
  </si>
  <si>
    <t>$/toe NCV</t>
  </si>
  <si>
    <t>(OECD, IEA, 2018)</t>
  </si>
  <si>
    <t>Automotive Diesel (World average)</t>
  </si>
  <si>
    <t>Gasoline (world average)</t>
  </si>
  <si>
    <t>Crude Oil</t>
  </si>
  <si>
    <t>$/l</t>
  </si>
  <si>
    <t>(IEA, 2018)</t>
  </si>
  <si>
    <t>World 2017</t>
  </si>
  <si>
    <t>EU 2016</t>
  </si>
  <si>
    <t>$/€</t>
  </si>
  <si>
    <t>EUR USD</t>
  </si>
  <si>
    <t>(Statista, 2018)</t>
  </si>
  <si>
    <t>with 38GJ/l (http://www.world-nuclear.org/information-library/facts-and-figures/heat-values-of-various-fuels.aspx)</t>
  </si>
  <si>
    <t>Diesel EU average</t>
  </si>
  <si>
    <t>€/1000L</t>
  </si>
  <si>
    <t>(EC, 2018)</t>
  </si>
  <si>
    <t>Heating Oil</t>
  </si>
  <si>
    <t>Heating Oil EU average</t>
  </si>
  <si>
    <t>Natural Gas</t>
  </si>
  <si>
    <t>EU 2017 Min</t>
  </si>
  <si>
    <t>EU 2017 Max</t>
  </si>
  <si>
    <t>EU 2017 Ave</t>
  </si>
  <si>
    <t>(Eurostat, 2018)</t>
  </si>
  <si>
    <t>EU 2017 AVe</t>
  </si>
  <si>
    <t>Household EU Average</t>
  </si>
  <si>
    <t>Largest consumer EU Average (&gt;150GWh)</t>
  </si>
  <si>
    <t>€2017/GJ</t>
  </si>
  <si>
    <t xml:space="preserve">EU28 Maximum heating costs for residential </t>
  </si>
  <si>
    <t xml:space="preserve">EU28 Minimum heating costs for residential </t>
  </si>
  <si>
    <t>€2017/t</t>
  </si>
  <si>
    <t>€2017/m^3*a</t>
  </si>
  <si>
    <t>€2017/GJ_out</t>
  </si>
  <si>
    <t>Based on (Arpiainen et al., 2015) Table17 and based on  (Lüschen and Madlener, 2013) Fig.5</t>
  </si>
  <si>
    <t>based on (ENTRANZE, 2014)</t>
  </si>
  <si>
    <t>(Held et al., 2014)</t>
  </si>
  <si>
    <t>based on (Rotter and Rohrhofer, 2014), Table 36</t>
  </si>
  <si>
    <t>based on (Rotter and Rohrhofer, 2014), Table37</t>
  </si>
  <si>
    <t>based on (Hoefnagels et al., 2013)</t>
  </si>
  <si>
    <t>based on (Rotter and Rohrhofer, 2014), Table30</t>
  </si>
  <si>
    <t>based on  (Tank Storage Magazine, 2012)</t>
  </si>
  <si>
    <t>based on (Francescato et al., 2008), Table 2.7.1</t>
  </si>
  <si>
    <t>based on (Mireles et al., 2015)  - Annex J</t>
  </si>
  <si>
    <t>based on (Obernberger and Thek, 2010)</t>
  </si>
  <si>
    <t>€_2017/GJ_out</t>
  </si>
  <si>
    <t>M€_2017</t>
  </si>
  <si>
    <t>€_2017/t</t>
  </si>
  <si>
    <t>based on (ENTRANZE, 2014), Eurostat, EC Bulletin and OSCE library</t>
  </si>
  <si>
    <t>based on (ENTRANZE, 2014), (Eurostat, 2018), (EC, 2018) and (OECD, IEA, 2018)</t>
  </si>
  <si>
    <t>€_2017/GJ</t>
  </si>
  <si>
    <t xml:space="preserve">OECD Total 2017 </t>
  </si>
  <si>
    <t>(OECD,IEA, 2018)</t>
  </si>
  <si>
    <t>NG for Industry</t>
  </si>
  <si>
    <t>€_2017/tDM</t>
  </si>
  <si>
    <t>€_2017/tDMkm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</si>
</sst>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€&quot;\ #,##0;[Red]\-&quot;€&quot;\ #,##0"/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.0_-;\-* #,##0.0_-;_-* &quot;-&quot;??_-;_-@_-"/>
    <numFmt numFmtId="168" formatCode="0.0%"/>
    <numFmt numFmtId="169" formatCode="_-* #,##0.00\ _€_-;\-* #,##0.00\ _€_-;_-* &quot;-&quot;??\ _€_-;_-@_-"/>
    <numFmt numFmtId="170" formatCode="_-* #,##0.00\ _z_ł_-;\-* #,##0.00\ _z_ł_-;_-* &quot;-&quot;??\ _z_ł_-;_-@_-"/>
    <numFmt numFmtId="171" formatCode="0.00000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Calibri"/>
      <family val="2"/>
    </font>
    <font>
      <u/>
      <sz val="10"/>
      <color theme="10"/>
      <name val="Arial"/>
      <family val="2"/>
    </font>
    <font>
      <sz val="10"/>
      <color rgb="FF000000"/>
      <name val="Calibri"/>
      <family val="2"/>
    </font>
    <font>
      <sz val="11"/>
      <color theme="1"/>
      <name val="Arial"/>
      <family val="2"/>
    </font>
    <font>
      <sz val="18"/>
      <color theme="3"/>
      <name val="Cambria"/>
      <family val="2"/>
      <scheme val="major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4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1" applyNumberFormat="0" applyAlignment="0" applyProtection="0"/>
    <xf numFmtId="0" fontId="9" fillId="20" borderId="2" applyNumberFormat="0" applyAlignment="0" applyProtection="0"/>
    <xf numFmtId="169" fontId="2" fillId="0" borderId="0" applyFont="0" applyFill="0" applyBorder="0" applyAlignment="0" applyProtection="0"/>
    <xf numFmtId="0" fontId="10" fillId="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4" fillId="21" borderId="0" applyNumberFormat="0" applyBorder="0" applyAlignment="0" applyProtection="0"/>
    <xf numFmtId="0" fontId="2" fillId="0" borderId="0"/>
    <xf numFmtId="0" fontId="3" fillId="0" borderId="0"/>
    <xf numFmtId="0" fontId="23" fillId="24" borderId="10" applyNumberFormat="0" applyFont="0" applyAlignment="0" applyProtection="0"/>
    <xf numFmtId="0" fontId="23" fillId="24" borderId="10" applyNumberFormat="0" applyFont="0" applyAlignment="0" applyProtection="0"/>
    <xf numFmtId="0" fontId="6" fillId="22" borderId="4" applyNumberFormat="0" applyFont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3" borderId="0" applyNumberFormat="0" applyBorder="0" applyAlignment="0" applyProtection="0"/>
    <xf numFmtId="0" fontId="23" fillId="0" borderId="0"/>
    <xf numFmtId="0" fontId="4" fillId="0" borderId="0"/>
    <xf numFmtId="0" fontId="4" fillId="0" borderId="0"/>
    <xf numFmtId="0" fontId="5" fillId="0" borderId="0"/>
    <xf numFmtId="0" fontId="2" fillId="0" borderId="0"/>
    <xf numFmtId="0" fontId="23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4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8" fillId="0" borderId="0"/>
    <xf numFmtId="0" fontId="4" fillId="0" borderId="0"/>
    <xf numFmtId="0" fontId="23" fillId="0" borderId="0"/>
    <xf numFmtId="0" fontId="2" fillId="0" borderId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23" borderId="9" applyNumberForma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4" applyNumberFormat="0" applyFont="0" applyAlignment="0" applyProtection="0"/>
  </cellStyleXfs>
  <cellXfs count="45">
    <xf numFmtId="0" fontId="0" fillId="0" borderId="0" xfId="0"/>
    <xf numFmtId="0" fontId="0" fillId="0" borderId="0" xfId="0"/>
    <xf numFmtId="9" fontId="0" fillId="0" borderId="0" xfId="0" applyNumberFormat="1"/>
    <xf numFmtId="1" fontId="0" fillId="0" borderId="0" xfId="0" applyNumberFormat="1"/>
    <xf numFmtId="9" fontId="23" fillId="0" borderId="0" xfId="62" applyFont="1"/>
    <xf numFmtId="164" fontId="0" fillId="0" borderId="0" xfId="0" applyNumberFormat="1"/>
    <xf numFmtId="2" fontId="0" fillId="0" borderId="0" xfId="0" applyNumberFormat="1"/>
    <xf numFmtId="0" fontId="24" fillId="0" borderId="0" xfId="0" applyFont="1"/>
    <xf numFmtId="1" fontId="24" fillId="0" borderId="0" xfId="0" applyNumberFormat="1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164" fontId="32" fillId="0" borderId="0" xfId="0" applyNumberFormat="1" applyFont="1"/>
    <xf numFmtId="9" fontId="32" fillId="0" borderId="0" xfId="0" applyNumberFormat="1" applyFont="1"/>
    <xf numFmtId="0" fontId="33" fillId="0" borderId="0" xfId="0" applyFont="1"/>
    <xf numFmtId="9" fontId="33" fillId="0" borderId="0" xfId="0" applyNumberFormat="1" applyFont="1"/>
    <xf numFmtId="9" fontId="33" fillId="0" borderId="0" xfId="62" applyFont="1"/>
    <xf numFmtId="6" fontId="0" fillId="0" borderId="0" xfId="0" applyNumberFormat="1"/>
    <xf numFmtId="1" fontId="0" fillId="0" borderId="0" xfId="0" applyNumberFormat="1" applyFont="1"/>
    <xf numFmtId="165" fontId="0" fillId="0" borderId="0" xfId="0" applyNumberFormat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167" fontId="23" fillId="0" borderId="0" xfId="53" applyNumberFormat="1" applyFont="1"/>
    <xf numFmtId="0" fontId="0" fillId="0" borderId="0" xfId="0"/>
    <xf numFmtId="168" fontId="23" fillId="0" borderId="0" xfId="62" applyNumberFormat="1" applyFont="1"/>
    <xf numFmtId="0" fontId="0" fillId="0" borderId="0" xfId="0" applyAlignment="1">
      <alignment horizontal="left" vertical="center" indent="2"/>
    </xf>
    <xf numFmtId="43" fontId="23" fillId="0" borderId="0" xfId="53" applyFont="1"/>
    <xf numFmtId="9" fontId="0" fillId="0" borderId="0" xfId="0" applyNumberFormat="1" applyFont="1"/>
    <xf numFmtId="168" fontId="0" fillId="0" borderId="0" xfId="0" applyNumberFormat="1" applyFont="1"/>
    <xf numFmtId="171" fontId="0" fillId="0" borderId="0" xfId="0" applyNumberFormat="1"/>
    <xf numFmtId="166" fontId="0" fillId="0" borderId="0" xfId="0" applyNumberFormat="1" applyFont="1"/>
    <xf numFmtId="1" fontId="33" fillId="0" borderId="0" xfId="0" applyNumberFormat="1" applyFon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30" fillId="0" borderId="0" xfId="0" applyFont="1"/>
    <xf numFmtId="0" fontId="31" fillId="0" borderId="0" xfId="0" applyFont="1"/>
    <xf numFmtId="0" fontId="32" fillId="0" borderId="0" xfId="0" applyFont="1"/>
    <xf numFmtId="166" fontId="34" fillId="0" borderId="0" xfId="0" applyNumberFormat="1" applyFont="1"/>
    <xf numFmtId="0" fontId="34" fillId="0" borderId="0" xfId="0" applyFont="1"/>
    <xf numFmtId="0" fontId="0" fillId="0" borderId="0" xfId="0" applyFill="1" applyBorder="1"/>
  </cellXfs>
  <cellStyles count="124">
    <cellStyle name="20% - Akzent1" xfId="1"/>
    <cellStyle name="20% - Akzent1 2" xfId="2"/>
    <cellStyle name="20% - Akzent1 2 2" xfId="99"/>
    <cellStyle name="20% - Akzent1 3" xfId="100"/>
    <cellStyle name="20% - Akzent2" xfId="3"/>
    <cellStyle name="20% - Akzent2 2" xfId="4"/>
    <cellStyle name="20% - Akzent2 2 2" xfId="102"/>
    <cellStyle name="20% - Akzent2 3" xfId="101"/>
    <cellStyle name="20% - Akzent3" xfId="5"/>
    <cellStyle name="20% - Akzent3 2" xfId="6"/>
    <cellStyle name="20% - Akzent3 2 2" xfId="104"/>
    <cellStyle name="20% - Akzent3 3" xfId="103"/>
    <cellStyle name="20% - Akzent4" xfId="7"/>
    <cellStyle name="20% - Akzent4 2" xfId="8"/>
    <cellStyle name="20% - Akzent4 2 2" xfId="106"/>
    <cellStyle name="20% - Akzent4 3" xfId="105"/>
    <cellStyle name="20% - Akzent5" xfId="9"/>
    <cellStyle name="20% - Akzent5 2" xfId="10"/>
    <cellStyle name="20% - Akzent5 2 2" xfId="108"/>
    <cellStyle name="20% - Akzent5 3" xfId="107"/>
    <cellStyle name="20% - Akzent6" xfId="11"/>
    <cellStyle name="20% - Akzent6 2" xfId="12"/>
    <cellStyle name="20% - Akzent6 2 2" xfId="110"/>
    <cellStyle name="20% - Akzent6 3" xfId="109"/>
    <cellStyle name="40% - Akzent1" xfId="13"/>
    <cellStyle name="40% - Akzent1 2" xfId="14"/>
    <cellStyle name="40% - Akzent1 2 2" xfId="112"/>
    <cellStyle name="40% - Akzent1 3" xfId="111"/>
    <cellStyle name="40% - Akzent2" xfId="15"/>
    <cellStyle name="40% - Akzent2 2" xfId="16"/>
    <cellStyle name="40% - Akzent2 2 2" xfId="114"/>
    <cellStyle name="40% - Akzent2 3" xfId="113"/>
    <cellStyle name="40% - Akzent3" xfId="17"/>
    <cellStyle name="40% - Akzent3 2" xfId="18"/>
    <cellStyle name="40% - Akzent3 2 2" xfId="116"/>
    <cellStyle name="40% - Akzent3 3" xfId="115"/>
    <cellStyle name="40% - Akzent4" xfId="19"/>
    <cellStyle name="40% - Akzent4 2" xfId="20"/>
    <cellStyle name="40% - Akzent4 2 2" xfId="118"/>
    <cellStyle name="40% - Akzent4 3" xfId="117"/>
    <cellStyle name="40% - Akzent5" xfId="21"/>
    <cellStyle name="40% - Akzent5 2" xfId="22"/>
    <cellStyle name="40% - Akzent5 2 2" xfId="120"/>
    <cellStyle name="40% - Akzent5 3" xfId="119"/>
    <cellStyle name="40% - Akzent6" xfId="23"/>
    <cellStyle name="40% - Akzent6 2" xfId="24"/>
    <cellStyle name="40% - Akzent6 2 2" xfId="122"/>
    <cellStyle name="40% - Akzent6 3" xfId="121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 2" xfId="37"/>
    <cellStyle name="Akzent2 2" xfId="38"/>
    <cellStyle name="Akzent3 2" xfId="39"/>
    <cellStyle name="Akzent4 2" xfId="40"/>
    <cellStyle name="Akzent5 2" xfId="41"/>
    <cellStyle name="Akzent6 2" xfId="42"/>
    <cellStyle name="Ausgabe 2" xfId="43"/>
    <cellStyle name="Berechnung 2" xfId="44"/>
    <cellStyle name="Comma" xfId="53" builtinId="3"/>
    <cellStyle name="Dezimal 2" xfId="45"/>
    <cellStyle name="Eingabe 2" xfId="46"/>
    <cellStyle name="Ergebnis 2" xfId="47"/>
    <cellStyle name="Erklärender Text 2" xfId="48"/>
    <cellStyle name="Gut 2" xfId="49"/>
    <cellStyle name="Hyperlink 2" xfId="50"/>
    <cellStyle name="Hyperlink 2 2" xfId="51"/>
    <cellStyle name="Hyperlink 2 3" xfId="52"/>
    <cellStyle name="Komma 2" xfId="54"/>
    <cellStyle name="Komma 3" xfId="55"/>
    <cellStyle name="Neutral 2" xfId="56"/>
    <cellStyle name="Normal" xfId="0" builtinId="0"/>
    <cellStyle name="Normal 2" xfId="57"/>
    <cellStyle name="Normale 2" xfId="58"/>
    <cellStyle name="Notiz 2" xfId="59"/>
    <cellStyle name="Notiz 2 2" xfId="60"/>
    <cellStyle name="Notiz 2 3" xfId="61"/>
    <cellStyle name="Notiz 2 3 2" xfId="123"/>
    <cellStyle name="Percent" xfId="62" builtinId="5"/>
    <cellStyle name="Prozent 2" xfId="63"/>
    <cellStyle name="Prozent 2 2" xfId="64"/>
    <cellStyle name="Prozent 2 3" xfId="65"/>
    <cellStyle name="Prozent 2 4" xfId="66"/>
    <cellStyle name="Schlecht 2" xfId="67"/>
    <cellStyle name="Standard 2" xfId="68"/>
    <cellStyle name="Standard 2 2" xfId="69"/>
    <cellStyle name="Standard 2 2 2" xfId="70"/>
    <cellStyle name="Standard 2 3" xfId="71"/>
    <cellStyle name="Standard 2 4" xfId="72"/>
    <cellStyle name="Standard 2 5" xfId="73"/>
    <cellStyle name="Standard 2 6" xfId="74"/>
    <cellStyle name="Standard 3" xfId="75"/>
    <cellStyle name="Standard 3 2" xfId="76"/>
    <cellStyle name="Standard 3 2 2" xfId="77"/>
    <cellStyle name="Standard 3 2 3" xfId="78"/>
    <cellStyle name="Standard 3 3" xfId="79"/>
    <cellStyle name="Standard 3 4" xfId="80"/>
    <cellStyle name="Standard 3 5" xfId="81"/>
    <cellStyle name="Standard 4" xfId="82"/>
    <cellStyle name="Standard 4 2" xfId="83"/>
    <cellStyle name="Standard 4 3" xfId="84"/>
    <cellStyle name="Standard 5" xfId="85"/>
    <cellStyle name="Standard 5 2" xfId="86"/>
    <cellStyle name="Standard 6" xfId="87"/>
    <cellStyle name="Standard 7" xfId="88"/>
    <cellStyle name="Überschrift 1 2" xfId="89"/>
    <cellStyle name="Überschrift 2 2" xfId="90"/>
    <cellStyle name="Überschrift 3 2" xfId="91"/>
    <cellStyle name="Überschrift 4 2" xfId="92"/>
    <cellStyle name="Überschrift 5" xfId="93"/>
    <cellStyle name="Überschrift 5 2" xfId="94"/>
    <cellStyle name="Überschrift 5 3" xfId="95"/>
    <cellStyle name="Verknüpfte Zelle 2" xfId="96"/>
    <cellStyle name="Warnender Text 2" xfId="97"/>
    <cellStyle name="Zelle überprüfen 2" xfId="9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3"/>
  <sheetViews>
    <sheetView zoomScale="110" zoomScaleNormal="110" workbookViewId="0">
      <selection activeCell="C1" sqref="C1"/>
    </sheetView>
  </sheetViews>
  <sheetFormatPr defaultColWidth="9.140625" defaultRowHeight="15" x14ac:dyDescent="0.25"/>
  <cols>
    <col min="1" max="1" width="9.140625" style="36"/>
    <col min="2" max="2" width="12.28515625" bestFit="1" customWidth="1"/>
    <col min="3" max="3" width="22" customWidth="1"/>
    <col min="4" max="4" width="6" style="1" bestFit="1" customWidth="1"/>
    <col min="5" max="5" width="29.7109375" customWidth="1"/>
    <col min="6" max="6" width="13.85546875" bestFit="1" customWidth="1"/>
    <col min="8" max="8" width="50.42578125" customWidth="1"/>
  </cols>
  <sheetData>
    <row r="1" spans="1:13" x14ac:dyDescent="0.25">
      <c r="A1" s="36" t="s">
        <v>40</v>
      </c>
      <c r="B1" s="1" t="s">
        <v>6</v>
      </c>
      <c r="C1" s="1" t="s">
        <v>4</v>
      </c>
      <c r="D1" s="1" t="s">
        <v>41</v>
      </c>
      <c r="E1" s="1" t="s">
        <v>0</v>
      </c>
      <c r="F1" s="1" t="s">
        <v>45</v>
      </c>
      <c r="G1" s="1" t="s">
        <v>1</v>
      </c>
      <c r="H1" s="1" t="s">
        <v>5</v>
      </c>
    </row>
    <row r="2" spans="1:13" x14ac:dyDescent="0.25">
      <c r="B2" t="s">
        <v>18</v>
      </c>
      <c r="C2" t="s">
        <v>122</v>
      </c>
      <c r="D2" s="1" t="s">
        <v>42</v>
      </c>
      <c r="E2" t="s">
        <v>142</v>
      </c>
      <c r="F2" s="1">
        <v>193</v>
      </c>
      <c r="G2" t="s">
        <v>14</v>
      </c>
      <c r="H2" t="s">
        <v>141</v>
      </c>
      <c r="L2" s="2"/>
    </row>
    <row r="3" spans="1:13" x14ac:dyDescent="0.25">
      <c r="B3" t="s">
        <v>7</v>
      </c>
      <c r="C3" s="1" t="s">
        <v>23</v>
      </c>
      <c r="D3" s="1" t="s">
        <v>42</v>
      </c>
      <c r="E3" t="s">
        <v>13</v>
      </c>
      <c r="F3" s="18">
        <f>AVERAGE(328,223)</f>
        <v>275.5</v>
      </c>
      <c r="G3" t="s">
        <v>14</v>
      </c>
      <c r="H3" s="1" t="s">
        <v>131</v>
      </c>
    </row>
    <row r="4" spans="1:13" x14ac:dyDescent="0.25">
      <c r="B4" t="s">
        <v>18</v>
      </c>
      <c r="C4" s="1" t="s">
        <v>122</v>
      </c>
      <c r="D4" s="1" t="s">
        <v>68</v>
      </c>
      <c r="E4" s="1" t="s">
        <v>144</v>
      </c>
      <c r="F4" s="22">
        <f>75*1.02^3</f>
        <v>79.590599999999995</v>
      </c>
      <c r="G4" s="1" t="s">
        <v>284</v>
      </c>
      <c r="H4" t="s">
        <v>150</v>
      </c>
    </row>
    <row r="5" spans="1:13" x14ac:dyDescent="0.25">
      <c r="B5" s="1" t="s">
        <v>7</v>
      </c>
      <c r="C5" s="1" t="s">
        <v>23</v>
      </c>
      <c r="D5" s="1" t="s">
        <v>68</v>
      </c>
      <c r="E5" s="1" t="s">
        <v>97</v>
      </c>
      <c r="F5" s="22">
        <f>AVERAGE(30,40,80)*1.02^3</f>
        <v>53.060399999999994</v>
      </c>
      <c r="G5" t="s">
        <v>284</v>
      </c>
      <c r="H5" s="36" t="s">
        <v>150</v>
      </c>
    </row>
    <row r="6" spans="1:13" x14ac:dyDescent="0.25">
      <c r="B6" t="s">
        <v>18</v>
      </c>
      <c r="D6" s="1" t="s">
        <v>44</v>
      </c>
      <c r="E6" s="1" t="s">
        <v>94</v>
      </c>
      <c r="F6" s="20">
        <v>17.2</v>
      </c>
      <c r="G6" t="s">
        <v>12</v>
      </c>
      <c r="H6" t="s">
        <v>95</v>
      </c>
    </row>
    <row r="7" spans="1:13" x14ac:dyDescent="0.25">
      <c r="B7" s="1" t="s">
        <v>7</v>
      </c>
      <c r="C7" t="s">
        <v>19</v>
      </c>
      <c r="D7" s="1" t="s">
        <v>44</v>
      </c>
      <c r="E7" t="s">
        <v>94</v>
      </c>
      <c r="F7" s="22">
        <f>AVERAGE(18.4188)</f>
        <v>18.418800000000001</v>
      </c>
      <c r="G7" t="s">
        <v>12</v>
      </c>
      <c r="H7" t="s">
        <v>95</v>
      </c>
    </row>
    <row r="8" spans="1:13" x14ac:dyDescent="0.25">
      <c r="B8" s="1" t="s">
        <v>18</v>
      </c>
      <c r="C8" s="1"/>
      <c r="D8" s="1" t="s">
        <v>43</v>
      </c>
      <c r="E8" s="1" t="s">
        <v>10</v>
      </c>
      <c r="F8" s="20">
        <v>15</v>
      </c>
      <c r="G8" s="1" t="s">
        <v>73</v>
      </c>
      <c r="H8" s="1" t="s">
        <v>131</v>
      </c>
    </row>
    <row r="9" spans="1:13" x14ac:dyDescent="0.25">
      <c r="B9" s="1" t="s">
        <v>7</v>
      </c>
      <c r="C9" s="1"/>
      <c r="D9" s="1" t="s">
        <v>43</v>
      </c>
      <c r="E9" s="1" t="s">
        <v>93</v>
      </c>
      <c r="F9" s="20">
        <v>30</v>
      </c>
      <c r="G9" s="1" t="s">
        <v>73</v>
      </c>
      <c r="H9" s="1" t="s">
        <v>131</v>
      </c>
    </row>
    <row r="10" spans="1:13" x14ac:dyDescent="0.25">
      <c r="B10" t="s">
        <v>18</v>
      </c>
      <c r="C10" t="s">
        <v>123</v>
      </c>
      <c r="D10" s="1" t="s">
        <v>67</v>
      </c>
      <c r="E10" t="s">
        <v>98</v>
      </c>
      <c r="F10">
        <f>AVERAGE(0.67,5.52)</f>
        <v>3.0949999999999998</v>
      </c>
      <c r="G10" s="14" t="s">
        <v>69</v>
      </c>
      <c r="H10" s="1" t="s">
        <v>143</v>
      </c>
    </row>
    <row r="11" spans="1:13" x14ac:dyDescent="0.25">
      <c r="B11" s="1" t="s">
        <v>7</v>
      </c>
      <c r="C11" s="1" t="s">
        <v>123</v>
      </c>
      <c r="D11" s="1" t="s">
        <v>66</v>
      </c>
      <c r="E11" s="1" t="s">
        <v>98</v>
      </c>
      <c r="F11">
        <f>7.5*(1+0.3)/100</f>
        <v>9.7500000000000003E-2</v>
      </c>
      <c r="G11" s="1" t="s">
        <v>69</v>
      </c>
      <c r="H11" s="1" t="s">
        <v>145</v>
      </c>
      <c r="L11" s="2"/>
    </row>
    <row r="12" spans="1:13" x14ac:dyDescent="0.25">
      <c r="B12" s="1" t="s">
        <v>18</v>
      </c>
      <c r="C12" s="1" t="s">
        <v>126</v>
      </c>
      <c r="D12" s="1" t="s">
        <v>66</v>
      </c>
      <c r="E12" s="1" t="s">
        <v>98</v>
      </c>
      <c r="F12" s="19">
        <f>60/17.2</f>
        <v>3.4883720930232558</v>
      </c>
      <c r="G12" s="14" t="s">
        <v>69</v>
      </c>
      <c r="H12" s="1" t="s">
        <v>173</v>
      </c>
      <c r="M12" s="1"/>
    </row>
    <row r="13" spans="1:13" x14ac:dyDescent="0.25">
      <c r="B13" s="1" t="s">
        <v>7</v>
      </c>
      <c r="C13" s="1" t="s">
        <v>127</v>
      </c>
      <c r="D13" s="1" t="s">
        <v>67</v>
      </c>
      <c r="E13" s="1" t="s">
        <v>98</v>
      </c>
      <c r="F13" s="19">
        <f>AVERAGE(2,22)/18.4</f>
        <v>0.65217391304347827</v>
      </c>
      <c r="G13" s="1" t="s">
        <v>69</v>
      </c>
      <c r="H13" s="1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3"/>
  <sheetViews>
    <sheetView zoomScale="130" zoomScaleNormal="130" workbookViewId="0">
      <selection activeCell="G6" sqref="G6:G17"/>
    </sheetView>
  </sheetViews>
  <sheetFormatPr defaultColWidth="11.5703125" defaultRowHeight="15" x14ac:dyDescent="0.25"/>
  <cols>
    <col min="1" max="1" width="11.42578125" style="36"/>
    <col min="2" max="2" width="15.28515625" bestFit="1" customWidth="1"/>
    <col min="3" max="3" width="27.42578125" customWidth="1"/>
    <col min="5" max="5" width="21.5703125" customWidth="1"/>
    <col min="7" max="7" width="15.28515625" customWidth="1"/>
    <col min="8" max="8" width="44.140625" customWidth="1"/>
  </cols>
  <sheetData>
    <row r="1" spans="1:12" x14ac:dyDescent="0.25">
      <c r="A1" s="36" t="s">
        <v>40</v>
      </c>
      <c r="B1" s="1" t="s">
        <v>29</v>
      </c>
      <c r="C1" s="1" t="s">
        <v>4</v>
      </c>
      <c r="D1" s="1" t="s">
        <v>41</v>
      </c>
      <c r="E1" s="1" t="s">
        <v>0</v>
      </c>
      <c r="F1" s="1" t="s">
        <v>45</v>
      </c>
      <c r="G1" s="1" t="s">
        <v>1</v>
      </c>
      <c r="H1" s="1" t="s">
        <v>2</v>
      </c>
      <c r="I1" s="1"/>
    </row>
    <row r="2" spans="1:12" x14ac:dyDescent="0.25">
      <c r="B2" s="1" t="s">
        <v>55</v>
      </c>
      <c r="C2" s="1" t="s">
        <v>34</v>
      </c>
      <c r="D2" s="1" t="s">
        <v>62</v>
      </c>
      <c r="E2" s="1" t="s">
        <v>32</v>
      </c>
      <c r="F2" s="18">
        <f>21400/70</f>
        <v>305.71428571428572</v>
      </c>
      <c r="G2" s="1" t="s">
        <v>14</v>
      </c>
      <c r="H2" s="1" t="s">
        <v>35</v>
      </c>
    </row>
    <row r="3" spans="1:12" x14ac:dyDescent="0.25">
      <c r="B3" s="1" t="s">
        <v>54</v>
      </c>
      <c r="C3" s="1" t="s">
        <v>33</v>
      </c>
      <c r="D3" s="1" t="s">
        <v>62</v>
      </c>
      <c r="E3" s="1" t="s">
        <v>32</v>
      </c>
      <c r="F3" s="18">
        <f>18000/89</f>
        <v>202.24719101123594</v>
      </c>
      <c r="G3" s="1" t="s">
        <v>14</v>
      </c>
      <c r="H3" s="1" t="s">
        <v>35</v>
      </c>
    </row>
    <row r="4" spans="1:12" x14ac:dyDescent="0.25">
      <c r="B4" s="1" t="s">
        <v>57</v>
      </c>
      <c r="C4" s="1"/>
      <c r="D4" s="1" t="s">
        <v>62</v>
      </c>
      <c r="E4" s="1" t="s">
        <v>32</v>
      </c>
      <c r="F4" s="18">
        <f>25000/115</f>
        <v>217.39130434782609</v>
      </c>
      <c r="G4" s="1" t="s">
        <v>14</v>
      </c>
      <c r="H4" s="1" t="s">
        <v>35</v>
      </c>
    </row>
    <row r="5" spans="1:12" x14ac:dyDescent="0.25">
      <c r="B5" t="s">
        <v>56</v>
      </c>
      <c r="D5" s="1" t="s">
        <v>62</v>
      </c>
      <c r="E5" s="1" t="s">
        <v>32</v>
      </c>
      <c r="F5" s="18">
        <f>25000/115</f>
        <v>217.39130434782609</v>
      </c>
      <c r="G5" t="s">
        <v>14</v>
      </c>
      <c r="H5" t="s">
        <v>146</v>
      </c>
    </row>
    <row r="6" spans="1:12" x14ac:dyDescent="0.25">
      <c r="B6" s="1" t="s">
        <v>54</v>
      </c>
      <c r="C6" s="1" t="s">
        <v>18</v>
      </c>
      <c r="D6" s="1" t="s">
        <v>63</v>
      </c>
      <c r="E6" s="1" t="s">
        <v>116</v>
      </c>
      <c r="F6" s="21">
        <f>AVERAGE(3.06,3.01,2.85,1.89,1.46,1.42,1.32,0.68,0.95,0.93,0.89,0.65,2.11,2.05,1.89,0.93)*1.02^3</f>
        <v>1.730432295</v>
      </c>
      <c r="G6" s="1" t="s">
        <v>291</v>
      </c>
      <c r="H6" s="1" t="s">
        <v>37</v>
      </c>
    </row>
    <row r="7" spans="1:12" x14ac:dyDescent="0.25">
      <c r="B7" s="1" t="s">
        <v>55</v>
      </c>
      <c r="C7" s="1" t="s">
        <v>7</v>
      </c>
      <c r="D7" s="1" t="s">
        <v>63</v>
      </c>
      <c r="E7" s="1" t="s">
        <v>116</v>
      </c>
      <c r="F7" s="21">
        <f>AVERAGE(6.05,5.62,3.72,2.44,2.2,1.13,4.22,3.98,2.91,6.27,5.63,2.77)*1.02^3</f>
        <v>4.1510919599999996</v>
      </c>
      <c r="G7" s="36" t="s">
        <v>291</v>
      </c>
      <c r="H7" t="s">
        <v>37</v>
      </c>
    </row>
    <row r="8" spans="1:12" x14ac:dyDescent="0.25">
      <c r="B8" s="1" t="s">
        <v>56</v>
      </c>
      <c r="C8" t="s">
        <v>18</v>
      </c>
      <c r="D8" s="1" t="s">
        <v>63</v>
      </c>
      <c r="E8" s="1" t="s">
        <v>116</v>
      </c>
      <c r="F8" s="21">
        <f>AVERAGE(3.06,3.01,2.85,1.89,1.46,1.42,1.32,0.68,0.95,0.93,0.89,0.65,2.11,2.05,1.89,0.93)*1.02^3</f>
        <v>1.730432295</v>
      </c>
      <c r="G8" s="36" t="s">
        <v>291</v>
      </c>
      <c r="H8" s="1" t="s">
        <v>37</v>
      </c>
    </row>
    <row r="9" spans="1:12" x14ac:dyDescent="0.25">
      <c r="B9" s="1" t="s">
        <v>57</v>
      </c>
      <c r="C9" t="s">
        <v>7</v>
      </c>
      <c r="D9" s="1" t="s">
        <v>63</v>
      </c>
      <c r="E9" s="1" t="s">
        <v>116</v>
      </c>
      <c r="F9" s="21">
        <f>AVERAGE(6.05,5.62,3.72,2.44,2.2,1.13,4.22,3.98,2.91,6.27,5.63,2.77)*1.02^3</f>
        <v>4.1510919599999996</v>
      </c>
      <c r="G9" s="36" t="s">
        <v>291</v>
      </c>
      <c r="H9" s="1" t="s">
        <v>37</v>
      </c>
    </row>
    <row r="10" spans="1:12" x14ac:dyDescent="0.25">
      <c r="B10" t="s">
        <v>54</v>
      </c>
      <c r="C10" t="s">
        <v>18</v>
      </c>
      <c r="D10" s="1" t="s">
        <v>61</v>
      </c>
      <c r="E10" s="1" t="s">
        <v>147</v>
      </c>
      <c r="F10" s="21">
        <f>AVERAGE(0.45,0.23)*1.02^3</f>
        <v>0.36081072000000003</v>
      </c>
      <c r="G10" s="1" t="s">
        <v>292</v>
      </c>
      <c r="H10" s="1" t="s">
        <v>36</v>
      </c>
    </row>
    <row r="11" spans="1:12" x14ac:dyDescent="0.25">
      <c r="B11" t="s">
        <v>55</v>
      </c>
      <c r="C11" t="s">
        <v>7</v>
      </c>
      <c r="D11" s="1" t="s">
        <v>61</v>
      </c>
      <c r="E11" s="1" t="s">
        <v>71</v>
      </c>
      <c r="F11" s="21">
        <f>AVERAGE(0.25,0.48)*1.02^3</f>
        <v>0.38734091999999998</v>
      </c>
      <c r="G11" s="36" t="s">
        <v>292</v>
      </c>
      <c r="H11" s="1" t="s">
        <v>36</v>
      </c>
    </row>
    <row r="12" spans="1:12" x14ac:dyDescent="0.25">
      <c r="B12" t="s">
        <v>56</v>
      </c>
      <c r="C12" t="s">
        <v>18</v>
      </c>
      <c r="D12" s="1" t="s">
        <v>61</v>
      </c>
      <c r="E12" s="1" t="s">
        <v>71</v>
      </c>
      <c r="F12" s="21">
        <f>0.15*1.02^3</f>
        <v>0.15918119999999999</v>
      </c>
      <c r="G12" s="36" t="s">
        <v>292</v>
      </c>
      <c r="H12" s="1" t="s">
        <v>36</v>
      </c>
      <c r="L12" s="2"/>
    </row>
    <row r="13" spans="1:12" x14ac:dyDescent="0.25">
      <c r="B13" s="1" t="s">
        <v>57</v>
      </c>
      <c r="C13" t="s">
        <v>7</v>
      </c>
      <c r="D13" s="1" t="s">
        <v>61</v>
      </c>
      <c r="E13" s="1" t="s">
        <v>71</v>
      </c>
      <c r="F13" s="21">
        <f>AVERAGE(0.29,0.11)*1.02^3</f>
        <v>0.21224159999999997</v>
      </c>
      <c r="G13" s="36" t="s">
        <v>292</v>
      </c>
      <c r="H13" s="1" t="s">
        <v>36</v>
      </c>
    </row>
    <row r="14" spans="1:12" x14ac:dyDescent="0.25">
      <c r="B14" s="1" t="s">
        <v>56</v>
      </c>
      <c r="D14" s="1" t="s">
        <v>128</v>
      </c>
      <c r="F14" s="6">
        <f>(1.2/60)*33.14*1.02^3</f>
        <v>0.70336866240000007</v>
      </c>
      <c r="G14" s="36" t="s">
        <v>291</v>
      </c>
      <c r="H14" s="1" t="s">
        <v>148</v>
      </c>
    </row>
    <row r="15" spans="1:12" x14ac:dyDescent="0.25">
      <c r="B15" s="1" t="s">
        <v>57</v>
      </c>
      <c r="D15" s="1" t="s">
        <v>128</v>
      </c>
      <c r="F15" s="6">
        <f>(1.9/60)*33.14*1.02^3</f>
        <v>1.1136670487999998</v>
      </c>
      <c r="G15" s="36" t="s">
        <v>291</v>
      </c>
      <c r="H15" s="1" t="s">
        <v>149</v>
      </c>
    </row>
    <row r="16" spans="1:12" x14ac:dyDescent="0.25">
      <c r="B16" s="1" t="s">
        <v>54</v>
      </c>
      <c r="D16" s="1" t="s">
        <v>128</v>
      </c>
      <c r="F16" s="6">
        <f>(1.2/60)*38.47*1.02^3</f>
        <v>0.81649343519999995</v>
      </c>
      <c r="G16" s="36" t="s">
        <v>291</v>
      </c>
      <c r="H16" s="1" t="s">
        <v>149</v>
      </c>
    </row>
    <row r="17" spans="2:8" x14ac:dyDescent="0.25">
      <c r="B17" s="1" t="s">
        <v>55</v>
      </c>
      <c r="D17" s="1" t="s">
        <v>128</v>
      </c>
      <c r="F17" s="6">
        <f>(1.9/60)*38.47*1.02^3</f>
        <v>1.2927812723999998</v>
      </c>
      <c r="G17" s="36" t="s">
        <v>291</v>
      </c>
      <c r="H17" s="1" t="s">
        <v>149</v>
      </c>
    </row>
    <row r="18" spans="2:8" x14ac:dyDescent="0.25">
      <c r="B18" s="1"/>
      <c r="C18" s="1"/>
      <c r="D18" s="1"/>
      <c r="E18" s="1"/>
      <c r="F18" s="21"/>
      <c r="G18" s="1"/>
      <c r="H18" s="1"/>
    </row>
    <row r="19" spans="2:8" x14ac:dyDescent="0.25">
      <c r="B19" s="1"/>
      <c r="C19" s="1"/>
      <c r="D19" s="1"/>
      <c r="E19" s="1"/>
      <c r="F19" s="21"/>
      <c r="G19" s="1"/>
      <c r="H19" s="1"/>
    </row>
    <row r="20" spans="2:8" x14ac:dyDescent="0.25">
      <c r="B20" s="1"/>
      <c r="D20" s="1"/>
      <c r="F20" s="1"/>
      <c r="G20" s="1"/>
      <c r="H20" s="1"/>
    </row>
    <row r="21" spans="2:8" x14ac:dyDescent="0.25">
      <c r="B21" s="1"/>
      <c r="D21" s="1"/>
      <c r="F21" s="1"/>
      <c r="G21" s="1"/>
      <c r="H21" s="1"/>
    </row>
    <row r="22" spans="2:8" x14ac:dyDescent="0.25">
      <c r="B22" s="1"/>
    </row>
    <row r="23" spans="2:8" x14ac:dyDescent="0.25">
      <c r="B23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98"/>
  <sheetViews>
    <sheetView topLeftCell="A10" zoomScale="120" zoomScaleNormal="120" workbookViewId="0">
      <selection activeCell="F6" sqref="F6"/>
    </sheetView>
  </sheetViews>
  <sheetFormatPr defaultColWidth="9.140625" defaultRowHeight="15" x14ac:dyDescent="0.25"/>
  <cols>
    <col min="1" max="1" width="9.140625" style="36"/>
    <col min="2" max="2" width="15.42578125" style="1" customWidth="1"/>
    <col min="3" max="3" width="23.28515625" style="1" bestFit="1" customWidth="1"/>
    <col min="4" max="4" width="9.5703125" style="1" customWidth="1"/>
    <col min="5" max="5" width="24.85546875" style="1" customWidth="1"/>
    <col min="6" max="6" width="13.85546875" style="1" bestFit="1" customWidth="1"/>
    <col min="7" max="7" width="17.7109375" style="1" customWidth="1"/>
    <col min="8" max="8" width="40.28515625" style="1" customWidth="1"/>
    <col min="9" max="15" width="9.140625" style="1"/>
    <col min="16" max="16" width="9.5703125" style="1" bestFit="1" customWidth="1"/>
    <col min="17" max="17" width="12.42578125" style="1" bestFit="1" customWidth="1"/>
    <col min="18" max="18" width="13" style="1" bestFit="1" customWidth="1"/>
    <col min="19" max="19" width="13.85546875" style="1" bestFit="1" customWidth="1"/>
    <col min="20" max="20" width="9.5703125" style="1" bestFit="1" customWidth="1"/>
    <col min="21" max="21" width="5.28515625" style="1" customWidth="1"/>
    <col min="22" max="16384" width="9.140625" style="1"/>
  </cols>
  <sheetData>
    <row r="1" spans="1:13" x14ac:dyDescent="0.25">
      <c r="A1" s="36" t="s">
        <v>40</v>
      </c>
      <c r="B1" s="1" t="s">
        <v>3</v>
      </c>
      <c r="C1" s="1" t="s">
        <v>4</v>
      </c>
      <c r="D1" s="1" t="s">
        <v>41</v>
      </c>
      <c r="E1" s="1" t="s">
        <v>0</v>
      </c>
      <c r="F1" s="1" t="s">
        <v>45</v>
      </c>
      <c r="G1" s="1" t="s">
        <v>1</v>
      </c>
      <c r="H1" s="1" t="s">
        <v>5</v>
      </c>
    </row>
    <row r="2" spans="1:13" x14ac:dyDescent="0.25">
      <c r="B2" s="1" t="s">
        <v>125</v>
      </c>
      <c r="C2" s="1" t="s">
        <v>114</v>
      </c>
      <c r="D2" s="1" t="s">
        <v>46</v>
      </c>
      <c r="E2" s="1" t="s">
        <v>75</v>
      </c>
      <c r="F2" s="18">
        <f>64072268.23/1000000*1.02^5</f>
        <v>70.740961370224241</v>
      </c>
      <c r="G2" s="1" t="s">
        <v>283</v>
      </c>
      <c r="H2" s="1" t="s">
        <v>151</v>
      </c>
      <c r="K2" s="4"/>
    </row>
    <row r="3" spans="1:13" x14ac:dyDescent="0.25">
      <c r="B3" s="1" t="s">
        <v>125</v>
      </c>
      <c r="C3" s="1" t="s">
        <v>106</v>
      </c>
      <c r="D3" s="1" t="s">
        <v>49</v>
      </c>
      <c r="E3" s="1" t="s">
        <v>48</v>
      </c>
      <c r="F3" s="20">
        <v>148056</v>
      </c>
      <c r="G3" s="1" t="s">
        <v>107</v>
      </c>
      <c r="H3" s="1" t="s">
        <v>151</v>
      </c>
    </row>
    <row r="4" spans="1:13" x14ac:dyDescent="0.25">
      <c r="B4" s="1" t="s">
        <v>125</v>
      </c>
      <c r="C4" s="1" t="s">
        <v>101</v>
      </c>
      <c r="D4" s="1" t="s">
        <v>100</v>
      </c>
      <c r="E4" s="1" t="s">
        <v>99</v>
      </c>
      <c r="F4" s="21">
        <f>4.52255450232973*1.02^3</f>
        <v>4.799371018308328</v>
      </c>
      <c r="G4" s="1" t="s">
        <v>270</v>
      </c>
      <c r="H4" s="1" t="s">
        <v>280</v>
      </c>
    </row>
    <row r="5" spans="1:13" x14ac:dyDescent="0.25">
      <c r="B5" s="1" t="s">
        <v>125</v>
      </c>
      <c r="C5" s="1" t="s">
        <v>20</v>
      </c>
      <c r="D5" s="1" t="s">
        <v>64</v>
      </c>
      <c r="E5" s="1" t="s">
        <v>22</v>
      </c>
      <c r="F5" s="28">
        <v>0.56000000000000005</v>
      </c>
      <c r="G5" s="1" t="s">
        <v>108</v>
      </c>
      <c r="H5" s="1" t="s">
        <v>154</v>
      </c>
    </row>
    <row r="6" spans="1:13" x14ac:dyDescent="0.25">
      <c r="B6" s="1" t="s">
        <v>103</v>
      </c>
      <c r="C6" s="1" t="s">
        <v>111</v>
      </c>
      <c r="D6" s="1" t="s">
        <v>46</v>
      </c>
      <c r="E6" s="1" t="s">
        <v>75</v>
      </c>
      <c r="F6" s="22">
        <f>3.7433*1.02^7</f>
        <v>4.2998750597115496</v>
      </c>
      <c r="G6" s="1" t="s">
        <v>283</v>
      </c>
      <c r="H6" s="1" t="s">
        <v>104</v>
      </c>
      <c r="K6" s="4"/>
    </row>
    <row r="7" spans="1:13" s="9" customFormat="1" x14ac:dyDescent="0.25">
      <c r="A7" s="39"/>
      <c r="B7" s="1" t="s">
        <v>103</v>
      </c>
      <c r="C7" s="1"/>
      <c r="D7" s="1" t="s">
        <v>49</v>
      </c>
      <c r="E7" s="1" t="s">
        <v>48</v>
      </c>
      <c r="F7" s="20">
        <v>40000</v>
      </c>
      <c r="G7" s="1" t="s">
        <v>107</v>
      </c>
      <c r="H7" s="1" t="s">
        <v>104</v>
      </c>
    </row>
    <row r="8" spans="1:13" s="9" customFormat="1" x14ac:dyDescent="0.25">
      <c r="A8" s="39"/>
      <c r="B8" s="1" t="s">
        <v>103</v>
      </c>
      <c r="C8" s="1" t="s">
        <v>101</v>
      </c>
      <c r="D8" s="1" t="s">
        <v>100</v>
      </c>
      <c r="E8" s="1" t="s">
        <v>99</v>
      </c>
      <c r="F8" s="21">
        <f>1.73710600706714*1.02^3</f>
        <v>1.8434307915477055</v>
      </c>
      <c r="G8" s="1" t="s">
        <v>282</v>
      </c>
      <c r="H8" s="1" t="s">
        <v>281</v>
      </c>
    </row>
    <row r="9" spans="1:13" x14ac:dyDescent="0.25">
      <c r="B9" s="1" t="s">
        <v>103</v>
      </c>
      <c r="D9" s="1" t="s">
        <v>64</v>
      </c>
      <c r="E9" s="1" t="s">
        <v>22</v>
      </c>
      <c r="F9" s="28">
        <v>1</v>
      </c>
      <c r="G9" s="1" t="s">
        <v>108</v>
      </c>
      <c r="H9" s="1" t="s">
        <v>104</v>
      </c>
    </row>
    <row r="10" spans="1:13" x14ac:dyDescent="0.25">
      <c r="B10" s="1" t="s">
        <v>102</v>
      </c>
      <c r="C10" s="1" t="s">
        <v>110</v>
      </c>
      <c r="D10" s="1" t="s">
        <v>46</v>
      </c>
      <c r="E10" s="1" t="s">
        <v>75</v>
      </c>
      <c r="F10" s="22">
        <f>3.7433*1.02^7</f>
        <v>4.2998750597115496</v>
      </c>
      <c r="G10" s="1" t="s">
        <v>283</v>
      </c>
      <c r="H10" s="1" t="s">
        <v>104</v>
      </c>
      <c r="K10" s="4"/>
    </row>
    <row r="11" spans="1:13" x14ac:dyDescent="0.25">
      <c r="B11" s="1" t="s">
        <v>102</v>
      </c>
      <c r="D11" s="1" t="s">
        <v>49</v>
      </c>
      <c r="E11" s="1" t="s">
        <v>48</v>
      </c>
      <c r="F11" s="20">
        <v>40000</v>
      </c>
      <c r="G11" s="1" t="s">
        <v>107</v>
      </c>
      <c r="H11" s="1" t="s">
        <v>104</v>
      </c>
      <c r="M11" s="5"/>
    </row>
    <row r="12" spans="1:13" s="10" customFormat="1" x14ac:dyDescent="0.25">
      <c r="A12" s="40"/>
      <c r="B12" s="1" t="s">
        <v>102</v>
      </c>
      <c r="C12" s="1" t="s">
        <v>101</v>
      </c>
      <c r="D12" s="1" t="s">
        <v>100</v>
      </c>
      <c r="E12" s="1" t="s">
        <v>99</v>
      </c>
      <c r="F12" s="21">
        <f>1.536253125*1.02^3</f>
        <v>1.630284106275</v>
      </c>
      <c r="G12" s="1" t="s">
        <v>282</v>
      </c>
      <c r="H12" s="1" t="s">
        <v>281</v>
      </c>
    </row>
    <row r="13" spans="1:13" s="10" customFormat="1" x14ac:dyDescent="0.25">
      <c r="A13" s="40"/>
      <c r="B13" s="1" t="s">
        <v>102</v>
      </c>
      <c r="C13" s="1"/>
      <c r="D13" s="1" t="s">
        <v>64</v>
      </c>
      <c r="E13" s="1" t="s">
        <v>22</v>
      </c>
      <c r="F13" s="28">
        <v>1</v>
      </c>
      <c r="G13" s="1" t="s">
        <v>108</v>
      </c>
      <c r="H13" s="1" t="s">
        <v>104</v>
      </c>
    </row>
    <row r="14" spans="1:13" x14ac:dyDescent="0.25">
      <c r="B14" s="1" t="s">
        <v>60</v>
      </c>
      <c r="C14" s="1" t="s">
        <v>113</v>
      </c>
      <c r="D14" s="1" t="s">
        <v>46</v>
      </c>
      <c r="E14" s="1" t="s">
        <v>75</v>
      </c>
      <c r="F14" s="20">
        <f>22.5*1.3*1.02^3</f>
        <v>31.040333999999998</v>
      </c>
      <c r="G14" s="1" t="s">
        <v>283</v>
      </c>
      <c r="H14" s="1" t="s">
        <v>105</v>
      </c>
    </row>
    <row r="15" spans="1:13" x14ac:dyDescent="0.25">
      <c r="B15" s="1" t="s">
        <v>60</v>
      </c>
      <c r="D15" s="1" t="s">
        <v>49</v>
      </c>
      <c r="E15" s="1" t="s">
        <v>48</v>
      </c>
      <c r="F15" s="20">
        <v>100000</v>
      </c>
      <c r="G15" s="1" t="s">
        <v>107</v>
      </c>
      <c r="H15" s="1" t="s">
        <v>105</v>
      </c>
    </row>
    <row r="16" spans="1:13" x14ac:dyDescent="0.25">
      <c r="B16" s="1" t="s">
        <v>60</v>
      </c>
      <c r="C16" s="1" t="s">
        <v>101</v>
      </c>
      <c r="D16" s="1" t="s">
        <v>100</v>
      </c>
      <c r="E16" s="1" t="s">
        <v>99</v>
      </c>
      <c r="F16" s="21">
        <f>2.392*1.02^3</f>
        <v>2.5384095359999996</v>
      </c>
      <c r="G16" s="1" t="s">
        <v>282</v>
      </c>
      <c r="H16" s="1" t="s">
        <v>152</v>
      </c>
    </row>
    <row r="17" spans="1:14" x14ac:dyDescent="0.25">
      <c r="B17" s="1" t="s">
        <v>60</v>
      </c>
      <c r="C17" s="1" t="s">
        <v>26</v>
      </c>
      <c r="D17" s="1" t="s">
        <v>64</v>
      </c>
      <c r="E17" s="1" t="s">
        <v>22</v>
      </c>
      <c r="F17" s="4">
        <f>AVERAGE(0.905,0.879,0.876)</f>
        <v>0.88666666666666671</v>
      </c>
      <c r="G17" s="1" t="s">
        <v>108</v>
      </c>
      <c r="H17" s="1" t="s">
        <v>153</v>
      </c>
    </row>
    <row r="18" spans="1:14" s="10" customFormat="1" x14ac:dyDescent="0.25">
      <c r="A18" s="40"/>
      <c r="B18" s="1" t="s">
        <v>59</v>
      </c>
      <c r="C18" s="1" t="s">
        <v>112</v>
      </c>
      <c r="D18" s="1" t="s">
        <v>46</v>
      </c>
      <c r="E18" s="1" t="s">
        <v>75</v>
      </c>
      <c r="F18" s="20">
        <f>AVERAGE(20,25)*1.02^3</f>
        <v>23.877179999999999</v>
      </c>
      <c r="G18" s="1" t="s">
        <v>283</v>
      </c>
      <c r="H18" s="1" t="s">
        <v>105</v>
      </c>
    </row>
    <row r="19" spans="1:14" x14ac:dyDescent="0.25">
      <c r="B19" s="1" t="s">
        <v>59</v>
      </c>
      <c r="D19" s="1" t="s">
        <v>49</v>
      </c>
      <c r="E19" s="1" t="s">
        <v>48</v>
      </c>
      <c r="F19" s="20">
        <v>100000</v>
      </c>
      <c r="G19" s="1" t="s">
        <v>107</v>
      </c>
      <c r="H19" s="1" t="s">
        <v>105</v>
      </c>
    </row>
    <row r="20" spans="1:14" x14ac:dyDescent="0.25">
      <c r="B20" s="1" t="s">
        <v>59</v>
      </c>
      <c r="C20" s="1" t="s">
        <v>101</v>
      </c>
      <c r="D20" s="1" t="s">
        <v>100</v>
      </c>
      <c r="E20" s="1" t="s">
        <v>99</v>
      </c>
      <c r="F20" s="21">
        <f>1.825*1.02^3</f>
        <v>1.9367045999999999</v>
      </c>
      <c r="G20" s="1" t="s">
        <v>282</v>
      </c>
      <c r="H20" s="1" t="s">
        <v>152</v>
      </c>
    </row>
    <row r="21" spans="1:14" s="11" customFormat="1" x14ac:dyDescent="0.25">
      <c r="A21" s="41"/>
      <c r="B21" s="1" t="s">
        <v>59</v>
      </c>
      <c r="C21" s="1" t="s">
        <v>26</v>
      </c>
      <c r="D21" s="1" t="s">
        <v>64</v>
      </c>
      <c r="E21" s="1" t="s">
        <v>22</v>
      </c>
      <c r="F21" s="4">
        <f>AVERAGE(0.905,0.879,0.876)</f>
        <v>0.88666666666666671</v>
      </c>
      <c r="G21" s="1" t="s">
        <v>108</v>
      </c>
      <c r="H21" s="1" t="s">
        <v>153</v>
      </c>
    </row>
    <row r="22" spans="1:14" s="11" customFormat="1" x14ac:dyDescent="0.25">
      <c r="A22" s="41"/>
      <c r="B22" s="1" t="s">
        <v>125</v>
      </c>
      <c r="C22" s="1" t="s">
        <v>156</v>
      </c>
      <c r="D22" s="1" t="s">
        <v>50</v>
      </c>
      <c r="E22" s="1" t="s">
        <v>21</v>
      </c>
      <c r="F22" s="29">
        <v>0.6</v>
      </c>
      <c r="G22" s="1" t="s">
        <v>109</v>
      </c>
      <c r="H22" s="1" t="s">
        <v>154</v>
      </c>
      <c r="K22" s="4"/>
      <c r="N22" s="1"/>
    </row>
    <row r="23" spans="1:14" s="11" customFormat="1" x14ac:dyDescent="0.25">
      <c r="A23" s="41"/>
      <c r="B23" s="1" t="s">
        <v>60</v>
      </c>
      <c r="C23" s="1" t="s">
        <v>26</v>
      </c>
      <c r="D23" s="1" t="s">
        <v>50</v>
      </c>
      <c r="E23" s="1" t="s">
        <v>21</v>
      </c>
      <c r="F23" s="25">
        <v>0.78666666666666674</v>
      </c>
      <c r="G23" s="1" t="s">
        <v>109</v>
      </c>
      <c r="H23" s="1" t="s">
        <v>153</v>
      </c>
    </row>
    <row r="24" spans="1:14" s="11" customFormat="1" x14ac:dyDescent="0.25">
      <c r="A24" s="41"/>
      <c r="B24" s="1" t="s">
        <v>59</v>
      </c>
      <c r="C24" s="1" t="s">
        <v>26</v>
      </c>
      <c r="D24" s="1" t="s">
        <v>50</v>
      </c>
      <c r="E24" s="1" t="s">
        <v>21</v>
      </c>
      <c r="F24" s="25">
        <v>0.78666666666666674</v>
      </c>
      <c r="G24" s="1" t="s">
        <v>109</v>
      </c>
      <c r="H24" s="1" t="s">
        <v>153</v>
      </c>
    </row>
    <row r="25" spans="1:14" s="11" customFormat="1" x14ac:dyDescent="0.25">
      <c r="A25" s="41"/>
      <c r="B25" s="1" t="s">
        <v>103</v>
      </c>
      <c r="D25" s="1" t="s">
        <v>50</v>
      </c>
      <c r="E25" s="1" t="s">
        <v>21</v>
      </c>
      <c r="F25" s="16">
        <v>1</v>
      </c>
      <c r="G25" s="1" t="s">
        <v>109</v>
      </c>
      <c r="H25" s="1" t="s">
        <v>104</v>
      </c>
    </row>
    <row r="26" spans="1:14" x14ac:dyDescent="0.25">
      <c r="B26" s="1" t="s">
        <v>102</v>
      </c>
      <c r="C26" s="11"/>
      <c r="D26" s="1" t="s">
        <v>50</v>
      </c>
      <c r="E26" s="1" t="s">
        <v>21</v>
      </c>
      <c r="F26" s="16">
        <v>1</v>
      </c>
      <c r="G26" s="1" t="s">
        <v>109</v>
      </c>
      <c r="H26" s="1" t="s">
        <v>104</v>
      </c>
    </row>
    <row r="27" spans="1:14" x14ac:dyDescent="0.25">
      <c r="B27" s="1" t="s">
        <v>124</v>
      </c>
      <c r="D27" s="1" t="s">
        <v>46</v>
      </c>
      <c r="E27" s="1" t="s">
        <v>75</v>
      </c>
      <c r="F27" s="18">
        <f>64072268.23/1000000*1.02^5</f>
        <v>70.740961370224241</v>
      </c>
      <c r="G27" s="1" t="s">
        <v>283</v>
      </c>
      <c r="H27" s="1" t="s">
        <v>151</v>
      </c>
      <c r="K27" s="4"/>
    </row>
    <row r="28" spans="1:14" s="11" customFormat="1" x14ac:dyDescent="0.25">
      <c r="A28" s="41"/>
      <c r="B28" s="1" t="s">
        <v>124</v>
      </c>
      <c r="C28" s="1"/>
      <c r="D28" s="1" t="s">
        <v>49</v>
      </c>
      <c r="E28" s="1" t="s">
        <v>48</v>
      </c>
      <c r="F28" s="20">
        <v>148056</v>
      </c>
      <c r="G28" s="1" t="s">
        <v>107</v>
      </c>
      <c r="H28" s="1" t="s">
        <v>151</v>
      </c>
    </row>
    <row r="29" spans="1:14" x14ac:dyDescent="0.25">
      <c r="B29" s="1" t="s">
        <v>124</v>
      </c>
      <c r="C29" s="1" t="s">
        <v>101</v>
      </c>
      <c r="D29" s="1" t="s">
        <v>100</v>
      </c>
      <c r="E29" s="1" t="s">
        <v>99</v>
      </c>
      <c r="F29" s="21">
        <f>4.52255450232973*1.02^3</f>
        <v>4.799371018308328</v>
      </c>
      <c r="G29" s="1" t="s">
        <v>282</v>
      </c>
      <c r="H29" s="1" t="s">
        <v>280</v>
      </c>
    </row>
    <row r="30" spans="1:14" x14ac:dyDescent="0.25">
      <c r="B30" s="1" t="s">
        <v>124</v>
      </c>
      <c r="D30" s="1" t="s">
        <v>64</v>
      </c>
      <c r="E30" s="1" t="s">
        <v>22</v>
      </c>
      <c r="F30" s="28">
        <v>0.74</v>
      </c>
      <c r="G30" s="1" t="s">
        <v>108</v>
      </c>
      <c r="H30" s="1" t="s">
        <v>154</v>
      </c>
    </row>
    <row r="31" spans="1:14" x14ac:dyDescent="0.25">
      <c r="B31" s="1" t="s">
        <v>124</v>
      </c>
      <c r="C31" s="1" t="s">
        <v>157</v>
      </c>
      <c r="D31" s="1" t="s">
        <v>50</v>
      </c>
      <c r="E31" s="1" t="s">
        <v>21</v>
      </c>
      <c r="F31" s="29">
        <v>0.68</v>
      </c>
      <c r="G31" s="1" t="s">
        <v>109</v>
      </c>
      <c r="H31" s="1" t="s">
        <v>154</v>
      </c>
    </row>
    <row r="33" spans="2:8" x14ac:dyDescent="0.25">
      <c r="G33" s="17"/>
      <c r="H33" s="14"/>
    </row>
    <row r="34" spans="2:8" x14ac:dyDescent="0.25">
      <c r="G34" s="17"/>
      <c r="H34" s="14"/>
    </row>
    <row r="35" spans="2:8" x14ac:dyDescent="0.25">
      <c r="G35" s="17"/>
      <c r="H35" s="14"/>
    </row>
    <row r="36" spans="2:8" x14ac:dyDescent="0.25">
      <c r="F36" s="4"/>
      <c r="H36" s="14"/>
    </row>
    <row r="37" spans="2:8" x14ac:dyDescent="0.25">
      <c r="F37" s="2"/>
    </row>
    <row r="38" spans="2:8" x14ac:dyDescent="0.25">
      <c r="F38" s="4"/>
    </row>
    <row r="39" spans="2:8" x14ac:dyDescent="0.25">
      <c r="F39" s="4"/>
    </row>
    <row r="40" spans="2:8" x14ac:dyDescent="0.25">
      <c r="F40" s="5"/>
    </row>
    <row r="43" spans="2:8" x14ac:dyDescent="0.25">
      <c r="F43" s="2"/>
    </row>
    <row r="46" spans="2:8" x14ac:dyDescent="0.25">
      <c r="B46" s="9"/>
      <c r="C46" s="9"/>
      <c r="D46" s="9"/>
      <c r="E46" s="9"/>
      <c r="F46" s="9"/>
      <c r="G46" s="9"/>
      <c r="H46" s="9"/>
    </row>
    <row r="47" spans="2:8" x14ac:dyDescent="0.25">
      <c r="B47" s="9"/>
      <c r="C47" s="9"/>
      <c r="D47" s="9"/>
      <c r="E47" s="9"/>
      <c r="F47" s="9"/>
      <c r="G47" s="9"/>
      <c r="H47" s="9"/>
    </row>
    <row r="53" spans="2:8" x14ac:dyDescent="0.25">
      <c r="F53" s="4"/>
    </row>
    <row r="54" spans="2:8" x14ac:dyDescent="0.25">
      <c r="F54" s="2"/>
    </row>
    <row r="56" spans="2:8" x14ac:dyDescent="0.25">
      <c r="B56" s="14"/>
      <c r="C56" s="14"/>
      <c r="D56" s="14"/>
      <c r="E56" s="14"/>
      <c r="F56" s="15"/>
      <c r="G56" s="14"/>
      <c r="H56" s="14"/>
    </row>
    <row r="57" spans="2:8" x14ac:dyDescent="0.25">
      <c r="B57" s="14"/>
      <c r="C57" s="14"/>
      <c r="D57" s="14"/>
      <c r="E57" s="14"/>
      <c r="F57" s="15"/>
      <c r="G57" s="14"/>
      <c r="H57" s="14"/>
    </row>
    <row r="60" spans="2:8" x14ac:dyDescent="0.25">
      <c r="F60" s="2"/>
    </row>
    <row r="62" spans="2:8" x14ac:dyDescent="0.25">
      <c r="B62" s="14"/>
      <c r="C62" s="14"/>
      <c r="D62" s="14"/>
      <c r="E62" s="14"/>
      <c r="F62" s="15"/>
      <c r="G62" s="14"/>
      <c r="H62" s="14"/>
    </row>
    <row r="64" spans="2:8" x14ac:dyDescent="0.25">
      <c r="F64" s="6"/>
    </row>
    <row r="65" spans="2:11" x14ac:dyDescent="0.25">
      <c r="B65" s="11"/>
      <c r="C65" s="11"/>
      <c r="D65" s="11"/>
      <c r="E65" s="11"/>
      <c r="F65" s="13"/>
      <c r="G65" s="11"/>
      <c r="H65" s="11"/>
    </row>
    <row r="66" spans="2:11" x14ac:dyDescent="0.25">
      <c r="B66" s="11"/>
      <c r="C66" s="11"/>
      <c r="D66" s="11"/>
      <c r="E66" s="11"/>
      <c r="F66" s="12"/>
      <c r="G66" s="11"/>
      <c r="H66" s="11"/>
    </row>
    <row r="67" spans="2:11" x14ac:dyDescent="0.25">
      <c r="B67" s="11"/>
      <c r="C67" s="11"/>
      <c r="D67" s="11"/>
      <c r="E67" s="11"/>
      <c r="F67" s="12"/>
      <c r="G67" s="11"/>
      <c r="H67" s="11"/>
    </row>
    <row r="68" spans="2:11" x14ac:dyDescent="0.25">
      <c r="B68" s="11"/>
      <c r="C68" s="11"/>
      <c r="D68" s="11"/>
      <c r="E68" s="11"/>
      <c r="F68" s="13"/>
      <c r="G68" s="11"/>
      <c r="H68" s="11"/>
    </row>
    <row r="69" spans="2:11" x14ac:dyDescent="0.25">
      <c r="B69" s="11"/>
      <c r="C69" s="11"/>
      <c r="D69" s="11"/>
      <c r="E69" s="11"/>
      <c r="F69" s="11"/>
      <c r="G69" s="11"/>
      <c r="H69" s="11"/>
    </row>
    <row r="71" spans="2:11" x14ac:dyDescent="0.25">
      <c r="F71" s="4"/>
    </row>
    <row r="72" spans="2:11" x14ac:dyDescent="0.25">
      <c r="F72" s="5"/>
    </row>
    <row r="74" spans="2:11" x14ac:dyDescent="0.25">
      <c r="F74" s="2"/>
    </row>
    <row r="76" spans="2:11" x14ac:dyDescent="0.25">
      <c r="B76" s="14"/>
      <c r="C76" s="14"/>
      <c r="D76" s="14"/>
      <c r="E76" s="14"/>
      <c r="F76" s="15"/>
      <c r="G76" s="14"/>
      <c r="H76" s="14"/>
    </row>
    <row r="78" spans="2:11" x14ac:dyDescent="0.25">
      <c r="F78" s="6"/>
    </row>
    <row r="80" spans="2:11" x14ac:dyDescent="0.25">
      <c r="K80" s="10"/>
    </row>
    <row r="82" spans="2:8" x14ac:dyDescent="0.25">
      <c r="F82" s="4"/>
    </row>
    <row r="83" spans="2:8" x14ac:dyDescent="0.25">
      <c r="F83" s="4"/>
    </row>
    <row r="85" spans="2:8" x14ac:dyDescent="0.25">
      <c r="F85" s="2"/>
    </row>
    <row r="87" spans="2:8" x14ac:dyDescent="0.25">
      <c r="B87" s="14"/>
      <c r="C87" s="14"/>
      <c r="D87" s="14"/>
      <c r="E87" s="14"/>
      <c r="F87" s="15"/>
      <c r="G87" s="14"/>
      <c r="H87" s="14"/>
    </row>
    <row r="88" spans="2:8" x14ac:dyDescent="0.25">
      <c r="H88"/>
    </row>
    <row r="89" spans="2:8" x14ac:dyDescent="0.25">
      <c r="F89" s="6"/>
      <c r="H89"/>
    </row>
    <row r="92" spans="2:8" x14ac:dyDescent="0.25">
      <c r="F92" s="4"/>
    </row>
    <row r="95" spans="2:8" x14ac:dyDescent="0.25">
      <c r="F95" s="4"/>
    </row>
    <row r="96" spans="2:8" x14ac:dyDescent="0.25">
      <c r="F96" s="4"/>
    </row>
    <row r="97" spans="2:8" x14ac:dyDescent="0.25">
      <c r="B97" s="11"/>
      <c r="C97" s="11"/>
      <c r="D97" s="11"/>
      <c r="E97" s="11"/>
      <c r="F97" s="12"/>
      <c r="G97" s="11"/>
      <c r="H97" s="11"/>
    </row>
    <row r="98" spans="2:8" x14ac:dyDescent="0.25">
      <c r="F98" s="4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A48"/>
  <sheetViews>
    <sheetView zoomScale="130" zoomScaleNormal="130" workbookViewId="0">
      <selection activeCell="H14" sqref="H14"/>
    </sheetView>
  </sheetViews>
  <sheetFormatPr defaultColWidth="11.5703125" defaultRowHeight="15" x14ac:dyDescent="0.25"/>
  <cols>
    <col min="1" max="1" width="11.42578125" style="36"/>
    <col min="2" max="3" width="18" customWidth="1"/>
    <col min="4" max="4" width="5.7109375" style="1" bestFit="1" customWidth="1"/>
    <col min="5" max="5" width="16.42578125" bestFit="1" customWidth="1"/>
    <col min="8" max="8" width="33.42578125" customWidth="1"/>
    <col min="16" max="16" width="12.5703125" bestFit="1" customWidth="1"/>
  </cols>
  <sheetData>
    <row r="1" spans="1:21" x14ac:dyDescent="0.25">
      <c r="A1" s="36" t="s">
        <v>40</v>
      </c>
      <c r="B1" t="s">
        <v>24</v>
      </c>
      <c r="C1" t="s">
        <v>4</v>
      </c>
      <c r="D1" s="1" t="s">
        <v>41</v>
      </c>
      <c r="E1" t="s">
        <v>0</v>
      </c>
      <c r="F1" t="s">
        <v>45</v>
      </c>
      <c r="G1" t="s">
        <v>1</v>
      </c>
      <c r="H1" t="s">
        <v>2</v>
      </c>
    </row>
    <row r="2" spans="1:21" ht="15" customHeight="1" x14ac:dyDescent="0.25">
      <c r="B2" s="1" t="s">
        <v>27</v>
      </c>
      <c r="D2" s="1" t="s">
        <v>42</v>
      </c>
      <c r="E2" t="s">
        <v>13</v>
      </c>
      <c r="F2" s="20">
        <f>AVERAGE(550,600)</f>
        <v>575</v>
      </c>
      <c r="G2" s="1" t="s">
        <v>14</v>
      </c>
      <c r="H2" s="1" t="s">
        <v>129</v>
      </c>
      <c r="O2" s="3"/>
      <c r="P2" s="1"/>
      <c r="S2" s="4"/>
    </row>
    <row r="3" spans="1:21" ht="15" customHeight="1" x14ac:dyDescent="0.25">
      <c r="B3" t="s">
        <v>27</v>
      </c>
      <c r="C3" t="s">
        <v>158</v>
      </c>
      <c r="D3" s="1" t="s">
        <v>11</v>
      </c>
      <c r="E3" t="s">
        <v>25</v>
      </c>
      <c r="F3" s="22">
        <v>15.2</v>
      </c>
      <c r="G3" s="1" t="s">
        <v>12</v>
      </c>
      <c r="H3" s="1" t="s">
        <v>279</v>
      </c>
      <c r="K3" s="7"/>
      <c r="L3" s="4"/>
      <c r="M3" s="1"/>
      <c r="N3" s="1"/>
      <c r="O3" s="3"/>
      <c r="P3" s="1"/>
      <c r="Q3" s="1"/>
      <c r="S3" s="4"/>
      <c r="T3" s="1"/>
      <c r="U3" s="1"/>
    </row>
    <row r="4" spans="1:21" ht="15" customHeight="1" x14ac:dyDescent="0.25">
      <c r="B4" s="1" t="s">
        <v>8</v>
      </c>
      <c r="D4" s="1" t="s">
        <v>42</v>
      </c>
      <c r="E4" t="s">
        <v>13</v>
      </c>
      <c r="F4" s="20">
        <f>AVERAGE(550,650)</f>
        <v>600</v>
      </c>
      <c r="G4" t="s">
        <v>14</v>
      </c>
      <c r="H4" t="s">
        <v>130</v>
      </c>
      <c r="N4" s="1"/>
      <c r="O4" s="3"/>
      <c r="P4" s="1"/>
      <c r="S4" s="4"/>
      <c r="U4" s="1"/>
    </row>
    <row r="5" spans="1:21" ht="15" customHeight="1" x14ac:dyDescent="0.25">
      <c r="B5" t="s">
        <v>8</v>
      </c>
      <c r="D5" s="1" t="s">
        <v>11</v>
      </c>
      <c r="E5" t="s">
        <v>25</v>
      </c>
      <c r="F5" s="20">
        <f>AVERAGE(15,17)</f>
        <v>16</v>
      </c>
      <c r="G5" t="s">
        <v>12</v>
      </c>
      <c r="H5" s="1" t="s">
        <v>130</v>
      </c>
      <c r="N5" s="1"/>
      <c r="O5" s="3"/>
      <c r="P5" s="1"/>
      <c r="Q5" s="1"/>
      <c r="S5" s="4"/>
      <c r="T5" s="1"/>
      <c r="U5" s="1"/>
    </row>
    <row r="6" spans="1:21" ht="15" customHeight="1" x14ac:dyDescent="0.25">
      <c r="B6" s="1" t="s">
        <v>17</v>
      </c>
      <c r="D6" s="1" t="s">
        <v>42</v>
      </c>
      <c r="E6" t="s">
        <v>13</v>
      </c>
      <c r="F6" s="20">
        <f>AVERAGE(665,725)</f>
        <v>695</v>
      </c>
      <c r="G6" s="1" t="s">
        <v>14</v>
      </c>
      <c r="H6" s="1" t="s">
        <v>129</v>
      </c>
      <c r="O6" s="3"/>
    </row>
    <row r="7" spans="1:21" ht="15" customHeight="1" x14ac:dyDescent="0.25">
      <c r="B7" t="s">
        <v>17</v>
      </c>
      <c r="D7" s="1" t="s">
        <v>11</v>
      </c>
      <c r="E7" t="s">
        <v>15</v>
      </c>
      <c r="F7" s="20">
        <f>AVERAGE(17,18)</f>
        <v>17.5</v>
      </c>
      <c r="G7" t="s">
        <v>16</v>
      </c>
      <c r="H7" s="1" t="s">
        <v>129</v>
      </c>
      <c r="N7" s="1"/>
      <c r="O7" s="3"/>
      <c r="P7" s="1"/>
      <c r="Q7" s="1"/>
      <c r="S7" s="1"/>
      <c r="T7" s="1"/>
      <c r="U7" s="1"/>
    </row>
    <row r="8" spans="1:21" x14ac:dyDescent="0.25">
      <c r="B8" s="1" t="s">
        <v>9</v>
      </c>
      <c r="D8" s="1" t="s">
        <v>42</v>
      </c>
      <c r="E8" t="s">
        <v>13</v>
      </c>
      <c r="F8" s="20">
        <f>AVERAGE(550,800)</f>
        <v>675</v>
      </c>
      <c r="G8" t="s">
        <v>14</v>
      </c>
      <c r="H8" s="1" t="s">
        <v>130</v>
      </c>
      <c r="N8" s="1"/>
      <c r="O8" s="3"/>
      <c r="P8" s="1"/>
      <c r="S8" s="4"/>
      <c r="U8" s="1"/>
    </row>
    <row r="9" spans="1:21" x14ac:dyDescent="0.25">
      <c r="B9" s="1" t="s">
        <v>9</v>
      </c>
      <c r="D9" s="1" t="s">
        <v>11</v>
      </c>
      <c r="E9" t="s">
        <v>25</v>
      </c>
      <c r="F9" s="21">
        <f>AVERAGE(17,24)</f>
        <v>20.5</v>
      </c>
      <c r="G9" t="s">
        <v>12</v>
      </c>
      <c r="H9" s="1" t="s">
        <v>130</v>
      </c>
      <c r="O9" s="3"/>
    </row>
    <row r="10" spans="1:21" ht="15" customHeight="1" x14ac:dyDescent="0.25">
      <c r="B10" s="1" t="s">
        <v>18</v>
      </c>
      <c r="C10" s="1" t="s">
        <v>122</v>
      </c>
      <c r="D10" s="1" t="s">
        <v>42</v>
      </c>
      <c r="E10" s="1" t="s">
        <v>13</v>
      </c>
      <c r="F10" s="20">
        <v>193</v>
      </c>
      <c r="G10" s="1" t="s">
        <v>14</v>
      </c>
      <c r="H10" s="1" t="s">
        <v>96</v>
      </c>
      <c r="N10" s="1"/>
      <c r="O10" s="3"/>
      <c r="P10" s="3"/>
      <c r="Q10" s="3"/>
      <c r="R10" s="3"/>
      <c r="S10" s="3"/>
      <c r="T10" s="3"/>
    </row>
    <row r="11" spans="1:21" ht="15" customHeight="1" x14ac:dyDescent="0.25">
      <c r="B11" s="1" t="s">
        <v>7</v>
      </c>
      <c r="C11" s="1" t="s">
        <v>23</v>
      </c>
      <c r="D11" s="1" t="s">
        <v>42</v>
      </c>
      <c r="E11" s="1" t="s">
        <v>13</v>
      </c>
      <c r="F11" s="20">
        <f>AVERAGE(328,223)</f>
        <v>275.5</v>
      </c>
      <c r="G11" s="1" t="s">
        <v>14</v>
      </c>
      <c r="H11" s="1" t="s">
        <v>131</v>
      </c>
      <c r="N11" s="1"/>
      <c r="O11" s="3"/>
      <c r="P11" s="3"/>
      <c r="Q11" s="3"/>
      <c r="R11" s="3"/>
      <c r="S11" s="3"/>
      <c r="T11" s="3"/>
    </row>
    <row r="12" spans="1:21" ht="15" customHeight="1" x14ac:dyDescent="0.25">
      <c r="B12" s="1" t="s">
        <v>18</v>
      </c>
      <c r="C12" s="1"/>
      <c r="D12" s="1" t="s">
        <v>11</v>
      </c>
      <c r="E12" s="1" t="s">
        <v>25</v>
      </c>
      <c r="F12" s="31">
        <f>(17.2*(100-15)-2.44*15)/100</f>
        <v>14.254000000000001</v>
      </c>
      <c r="G12" s="1" t="s">
        <v>12</v>
      </c>
      <c r="H12" s="1" t="s">
        <v>279</v>
      </c>
      <c r="N12" s="3"/>
      <c r="O12" s="3"/>
    </row>
    <row r="13" spans="1:21" ht="15" customHeight="1" x14ac:dyDescent="0.25">
      <c r="B13" s="1" t="s">
        <v>7</v>
      </c>
      <c r="C13" s="1"/>
      <c r="D13" s="1" t="s">
        <v>11</v>
      </c>
      <c r="E13" s="1" t="s">
        <v>25</v>
      </c>
      <c r="F13" s="31">
        <f>(18.4*(100-30)-2.44*30)/100</f>
        <v>12.148</v>
      </c>
      <c r="G13" s="1" t="s">
        <v>12</v>
      </c>
      <c r="H13" s="1" t="s">
        <v>279</v>
      </c>
      <c r="N13" s="3"/>
      <c r="O13" s="3"/>
    </row>
    <row r="14" spans="1:21" ht="15" customHeight="1" x14ac:dyDescent="0.25">
      <c r="B14" s="1" t="s">
        <v>132</v>
      </c>
      <c r="D14" s="1" t="s">
        <v>42</v>
      </c>
      <c r="E14" s="1" t="s">
        <v>13</v>
      </c>
      <c r="F14" s="20">
        <v>1150</v>
      </c>
      <c r="G14" s="1" t="s">
        <v>14</v>
      </c>
      <c r="H14" s="1" t="s">
        <v>155</v>
      </c>
      <c r="N14" s="3"/>
      <c r="O14" s="3"/>
    </row>
    <row r="15" spans="1:21" ht="15" customHeight="1" x14ac:dyDescent="0.25">
      <c r="B15" s="1" t="s">
        <v>132</v>
      </c>
      <c r="C15" s="1"/>
      <c r="D15" s="1" t="s">
        <v>11</v>
      </c>
      <c r="E15" s="1" t="s">
        <v>25</v>
      </c>
      <c r="F15" s="20">
        <v>17.600000000000001</v>
      </c>
      <c r="G15" s="1" t="s">
        <v>12</v>
      </c>
      <c r="H15" t="s">
        <v>155</v>
      </c>
      <c r="O15" s="3"/>
    </row>
    <row r="16" spans="1:21" ht="15" customHeight="1" x14ac:dyDescent="0.25">
      <c r="B16" s="1" t="s">
        <v>133</v>
      </c>
      <c r="C16" s="1"/>
      <c r="D16" s="1" t="s">
        <v>42</v>
      </c>
      <c r="E16" s="1" t="s">
        <v>13</v>
      </c>
      <c r="F16" s="20">
        <v>1120</v>
      </c>
      <c r="G16" s="1" t="s">
        <v>14</v>
      </c>
      <c r="H16" s="1" t="s">
        <v>155</v>
      </c>
      <c r="L16" s="7"/>
      <c r="O16" s="3"/>
    </row>
    <row r="17" spans="2:27" ht="15" customHeight="1" x14ac:dyDescent="0.25">
      <c r="B17" s="1" t="s">
        <v>133</v>
      </c>
      <c r="D17" s="1" t="s">
        <v>11</v>
      </c>
      <c r="E17" s="1" t="s">
        <v>25</v>
      </c>
      <c r="F17" s="20">
        <v>17.399999999999999</v>
      </c>
      <c r="G17" s="1" t="s">
        <v>12</v>
      </c>
      <c r="H17" s="1" t="s">
        <v>155</v>
      </c>
      <c r="L17" s="1"/>
      <c r="M17" s="1"/>
      <c r="N17" s="1"/>
      <c r="O17" s="1"/>
      <c r="P17" s="1"/>
      <c r="Q17" s="1"/>
      <c r="R17" s="1"/>
      <c r="S17" s="1"/>
    </row>
    <row r="18" spans="2:27" x14ac:dyDescent="0.25">
      <c r="L18" s="1"/>
      <c r="O18" s="5"/>
    </row>
    <row r="19" spans="2:27" x14ac:dyDescent="0.25">
      <c r="L19" s="1"/>
      <c r="V19" s="1"/>
    </row>
    <row r="20" spans="2:27" x14ac:dyDescent="0.25">
      <c r="L20" s="1"/>
      <c r="V20" s="1"/>
      <c r="W20" s="3"/>
      <c r="X20" s="3"/>
      <c r="Y20" s="3"/>
      <c r="Z20" s="3"/>
      <c r="AA20" s="3"/>
    </row>
    <row r="21" spans="2:27" x14ac:dyDescent="0.25">
      <c r="L21" s="1"/>
      <c r="V21" s="1"/>
      <c r="W21" s="3"/>
      <c r="X21" s="3"/>
      <c r="Y21" s="3"/>
      <c r="Z21" s="3"/>
      <c r="AA21" s="3"/>
    </row>
    <row r="22" spans="2:27" x14ac:dyDescent="0.25">
      <c r="L22" s="1"/>
      <c r="V22" s="1"/>
      <c r="W22" s="3"/>
      <c r="X22" s="3"/>
      <c r="Y22" s="3"/>
      <c r="Z22" s="3"/>
      <c r="AA22" s="3"/>
    </row>
    <row r="23" spans="2:27" x14ac:dyDescent="0.25">
      <c r="L23" s="1"/>
      <c r="V23" s="1"/>
      <c r="W23" s="3"/>
      <c r="X23" s="3"/>
      <c r="Y23" s="3"/>
      <c r="Z23" s="3"/>
      <c r="AA23" s="3"/>
    </row>
    <row r="24" spans="2:27" x14ac:dyDescent="0.25">
      <c r="V24" s="1"/>
      <c r="W24" s="3"/>
      <c r="X24" s="3"/>
      <c r="Y24" s="3"/>
      <c r="Z24" s="3"/>
      <c r="AA24" s="3"/>
    </row>
    <row r="25" spans="2:27" x14ac:dyDescent="0.25">
      <c r="L25" s="7"/>
      <c r="V25" s="1"/>
      <c r="W25" s="3"/>
      <c r="X25" s="3"/>
      <c r="Y25" s="3"/>
      <c r="Z25" s="3"/>
      <c r="AA25" s="3"/>
    </row>
    <row r="26" spans="2:27" x14ac:dyDescent="0.25">
      <c r="L26" s="1"/>
      <c r="M26" s="1"/>
      <c r="N26" s="1"/>
      <c r="O26" s="1"/>
      <c r="P26" s="1"/>
      <c r="Q26" s="1"/>
      <c r="R26" s="1"/>
      <c r="V26" s="1"/>
      <c r="W26" s="3"/>
      <c r="X26" s="3"/>
      <c r="Y26" s="3"/>
      <c r="Z26" s="3"/>
      <c r="AA26" s="3"/>
    </row>
    <row r="27" spans="2:27" x14ac:dyDescent="0.25">
      <c r="L27" s="1"/>
      <c r="M27" s="1"/>
      <c r="N27" s="5"/>
      <c r="O27" s="5"/>
      <c r="P27" s="1"/>
      <c r="Q27" s="1"/>
      <c r="R27" s="1"/>
      <c r="V27" s="1"/>
      <c r="W27" s="3"/>
      <c r="X27" s="3"/>
      <c r="Y27" s="3"/>
      <c r="Z27" s="3"/>
      <c r="AA27" s="3"/>
    </row>
    <row r="28" spans="2:27" x14ac:dyDescent="0.25">
      <c r="B28" s="1"/>
      <c r="C28" s="1"/>
      <c r="E28" s="1"/>
      <c r="F28" s="1"/>
      <c r="G28" s="1"/>
      <c r="H28" s="1"/>
      <c r="L28" s="1"/>
      <c r="M28" s="1"/>
      <c r="N28" s="1"/>
      <c r="O28" s="5"/>
      <c r="P28" s="1"/>
      <c r="Q28" s="1"/>
      <c r="R28" s="1"/>
      <c r="V28" s="1"/>
      <c r="W28" s="3"/>
      <c r="X28" s="3"/>
      <c r="Y28" s="3"/>
      <c r="Z28" s="3"/>
      <c r="AA28" s="3"/>
    </row>
    <row r="29" spans="2:27" x14ac:dyDescent="0.25">
      <c r="B29" s="1"/>
      <c r="C29" s="1"/>
      <c r="E29" s="1"/>
      <c r="F29" s="1"/>
      <c r="G29" s="1"/>
      <c r="H29" s="1"/>
      <c r="L29" s="1"/>
      <c r="M29" s="1"/>
      <c r="N29" s="1"/>
      <c r="O29" s="1"/>
      <c r="P29" s="1"/>
      <c r="Q29" s="1"/>
      <c r="R29" s="1"/>
      <c r="V29" s="1"/>
      <c r="W29" s="3"/>
      <c r="X29" s="3"/>
      <c r="Y29" s="3"/>
      <c r="Z29" s="3"/>
      <c r="AA29" s="3"/>
    </row>
    <row r="30" spans="2:27" x14ac:dyDescent="0.25">
      <c r="B30" s="1"/>
      <c r="C30" s="1"/>
      <c r="E30" s="1"/>
      <c r="G30" s="1"/>
      <c r="H30" s="1"/>
      <c r="L30" s="1"/>
      <c r="M30" s="1"/>
      <c r="N30" s="1"/>
      <c r="O30" s="1"/>
      <c r="P30" s="1"/>
      <c r="Q30" s="1"/>
      <c r="R30" s="1"/>
      <c r="V30" s="1"/>
      <c r="W30" s="3"/>
      <c r="X30" s="3"/>
      <c r="Y30" s="3"/>
      <c r="Z30" s="3"/>
      <c r="AA30" s="3"/>
    </row>
    <row r="31" spans="2:27" x14ac:dyDescent="0.25">
      <c r="B31" s="1"/>
      <c r="C31" s="1"/>
      <c r="E31" s="1"/>
      <c r="F31" s="1"/>
      <c r="G31" s="1"/>
      <c r="H31" s="1"/>
      <c r="L31" s="1"/>
      <c r="M31" s="1"/>
      <c r="N31" s="1"/>
      <c r="O31" s="1"/>
      <c r="P31" s="1"/>
      <c r="Q31" s="1"/>
      <c r="R31" s="1"/>
      <c r="V31" s="1"/>
      <c r="W31" s="3"/>
      <c r="X31" s="3"/>
      <c r="Y31" s="3"/>
      <c r="Z31" s="3"/>
      <c r="AA31" s="3"/>
    </row>
    <row r="32" spans="2:27" x14ac:dyDescent="0.25">
      <c r="B32" s="1"/>
      <c r="C32" s="1"/>
      <c r="E32" s="1"/>
      <c r="F32" s="1"/>
      <c r="G32" s="1"/>
      <c r="H32" s="1"/>
      <c r="L32" s="1"/>
      <c r="M32" s="1"/>
      <c r="N32" s="1"/>
      <c r="O32" s="1"/>
      <c r="P32" s="1"/>
      <c r="Q32" s="1"/>
      <c r="R32" s="1"/>
      <c r="V32" s="1"/>
      <c r="W32" s="3"/>
      <c r="X32" s="3"/>
      <c r="Y32" s="3"/>
      <c r="Z32" s="3"/>
      <c r="AA32" s="3"/>
    </row>
    <row r="33" spans="2:27" x14ac:dyDescent="0.25">
      <c r="B33" s="1"/>
      <c r="C33" s="1"/>
      <c r="E33" s="1"/>
      <c r="F33" s="1"/>
      <c r="G33" s="1"/>
      <c r="H33" s="1"/>
      <c r="L33" s="1"/>
      <c r="M33" s="1"/>
      <c r="N33" s="1"/>
      <c r="O33" s="1"/>
      <c r="P33" s="1"/>
      <c r="Q33" s="1"/>
      <c r="R33" s="1"/>
      <c r="V33" s="1"/>
      <c r="W33" s="3"/>
      <c r="X33" s="3"/>
      <c r="Y33" s="3"/>
      <c r="Z33" s="3"/>
      <c r="AA33" s="3"/>
    </row>
    <row r="34" spans="2:27" x14ac:dyDescent="0.25">
      <c r="B34" s="1"/>
      <c r="C34" s="1"/>
      <c r="E34" s="1"/>
      <c r="F34" s="1"/>
      <c r="G34" s="1"/>
      <c r="H34" s="1"/>
      <c r="V34" s="1"/>
      <c r="W34" s="3"/>
      <c r="X34" s="3"/>
      <c r="Y34" s="3"/>
      <c r="Z34" s="3"/>
      <c r="AA34" s="3"/>
    </row>
    <row r="35" spans="2:27" x14ac:dyDescent="0.25">
      <c r="B35" s="1"/>
      <c r="C35" s="1"/>
      <c r="E35" s="1"/>
      <c r="F35" s="1"/>
      <c r="G35" s="1"/>
      <c r="H35" s="1"/>
      <c r="V35" s="1"/>
      <c r="W35" s="3"/>
      <c r="X35" s="3"/>
      <c r="Y35" s="3"/>
      <c r="Z35" s="3"/>
      <c r="AA35" s="3"/>
    </row>
    <row r="36" spans="2:27" x14ac:dyDescent="0.25">
      <c r="H36" s="1"/>
      <c r="V36" s="1"/>
      <c r="W36" s="3"/>
      <c r="X36" s="3"/>
      <c r="Y36" s="3"/>
      <c r="Z36" s="3"/>
      <c r="AA36" s="3"/>
    </row>
    <row r="37" spans="2:27" x14ac:dyDescent="0.25">
      <c r="B37" s="1"/>
      <c r="H37" s="1"/>
      <c r="V37" s="1"/>
      <c r="W37" s="3"/>
      <c r="X37" s="3"/>
      <c r="Y37" s="3"/>
      <c r="Z37" s="3"/>
      <c r="AA37" s="3"/>
    </row>
    <row r="38" spans="2:27" x14ac:dyDescent="0.25">
      <c r="B38" s="1"/>
      <c r="C38" s="1"/>
      <c r="H38" s="1"/>
      <c r="V38" s="7"/>
      <c r="W38" s="8"/>
      <c r="X38" s="8"/>
      <c r="Y38" s="8"/>
      <c r="Z38" s="8"/>
      <c r="AA38" s="8"/>
    </row>
    <row r="39" spans="2:27" x14ac:dyDescent="0.25">
      <c r="H39" s="1"/>
      <c r="V39" s="1"/>
      <c r="W39" s="3"/>
      <c r="X39" s="3"/>
      <c r="Y39" s="3"/>
      <c r="Z39" s="3"/>
      <c r="AA39" s="3"/>
    </row>
    <row r="40" spans="2:27" x14ac:dyDescent="0.25">
      <c r="V40" s="1"/>
      <c r="W40" s="3"/>
      <c r="X40" s="3"/>
      <c r="Y40" s="3"/>
      <c r="Z40" s="3"/>
      <c r="AA40" s="3"/>
    </row>
    <row r="41" spans="2:27" x14ac:dyDescent="0.25">
      <c r="V41" s="1"/>
      <c r="W41" s="3"/>
      <c r="X41" s="3"/>
      <c r="Y41" s="3"/>
      <c r="Z41" s="3"/>
      <c r="AA41" s="3"/>
    </row>
    <row r="42" spans="2:27" x14ac:dyDescent="0.25">
      <c r="V42" s="1"/>
      <c r="W42" s="3"/>
      <c r="X42" s="3"/>
      <c r="Y42" s="3"/>
      <c r="Z42" s="3"/>
      <c r="AA42" s="3"/>
    </row>
    <row r="43" spans="2:27" x14ac:dyDescent="0.25">
      <c r="V43" s="1"/>
      <c r="W43" s="3"/>
      <c r="X43" s="3"/>
      <c r="Y43" s="3"/>
      <c r="Z43" s="3"/>
      <c r="AA43" s="3"/>
    </row>
    <row r="44" spans="2:27" x14ac:dyDescent="0.25">
      <c r="V44" s="1"/>
      <c r="W44" s="3"/>
      <c r="X44" s="3"/>
      <c r="Y44" s="3"/>
      <c r="Z44" s="3"/>
      <c r="AA44" s="3"/>
    </row>
    <row r="45" spans="2:27" x14ac:dyDescent="0.25">
      <c r="V45" s="1"/>
      <c r="W45" s="3"/>
      <c r="X45" s="3"/>
      <c r="Y45" s="3"/>
      <c r="Z45" s="3"/>
      <c r="AA45" s="3"/>
    </row>
    <row r="46" spans="2:27" x14ac:dyDescent="0.25">
      <c r="V46" s="1"/>
      <c r="W46" s="3"/>
      <c r="X46" s="3"/>
      <c r="Y46" s="3"/>
      <c r="Z46" s="3"/>
      <c r="AA46" s="3"/>
    </row>
    <row r="47" spans="2:27" x14ac:dyDescent="0.25">
      <c r="V47" s="1"/>
      <c r="W47" s="3"/>
      <c r="X47" s="3"/>
      <c r="Y47" s="3"/>
      <c r="Z47" s="3"/>
      <c r="AA47" s="3"/>
    </row>
    <row r="48" spans="2:27" x14ac:dyDescent="0.25">
      <c r="V48" s="1"/>
      <c r="W48" s="3"/>
      <c r="X48" s="3"/>
      <c r="Y48" s="3"/>
      <c r="Z48" s="3"/>
      <c r="AA48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23"/>
  <sheetViews>
    <sheetView topLeftCell="A7" zoomScale="115" zoomScaleNormal="115" workbookViewId="0">
      <selection activeCell="F9" sqref="F9"/>
    </sheetView>
  </sheetViews>
  <sheetFormatPr defaultColWidth="11.5703125" defaultRowHeight="15" x14ac:dyDescent="0.25"/>
  <cols>
    <col min="1" max="1" width="11.42578125" style="36"/>
    <col min="2" max="2" width="17.28515625" customWidth="1"/>
    <col min="3" max="3" width="17.140625" customWidth="1"/>
    <col min="4" max="4" width="8.42578125" style="1" customWidth="1"/>
    <col min="5" max="5" width="29.7109375" customWidth="1"/>
    <col min="6" max="6" width="13.85546875" bestFit="1" customWidth="1"/>
    <col min="7" max="7" width="15.5703125" customWidth="1"/>
    <col min="8" max="8" width="42.42578125" customWidth="1"/>
    <col min="12" max="12" width="13.28515625" customWidth="1"/>
  </cols>
  <sheetData>
    <row r="1" spans="1:15" x14ac:dyDescent="0.25">
      <c r="A1" s="36" t="s">
        <v>40</v>
      </c>
      <c r="B1" s="1" t="s">
        <v>29</v>
      </c>
      <c r="C1" s="1" t="s">
        <v>4</v>
      </c>
      <c r="D1" s="1" t="s">
        <v>41</v>
      </c>
      <c r="E1" s="1" t="s">
        <v>0</v>
      </c>
      <c r="F1" s="1" t="s">
        <v>45</v>
      </c>
      <c r="G1" s="1" t="s">
        <v>1</v>
      </c>
      <c r="H1" s="1" t="s">
        <v>2</v>
      </c>
    </row>
    <row r="2" spans="1:15" x14ac:dyDescent="0.25">
      <c r="B2" s="1" t="s">
        <v>83</v>
      </c>
      <c r="C2" s="1"/>
      <c r="D2" s="1" t="s">
        <v>62</v>
      </c>
      <c r="E2" s="1" t="s">
        <v>32</v>
      </c>
      <c r="F2" s="18">
        <v>600</v>
      </c>
      <c r="G2" s="1" t="s">
        <v>14</v>
      </c>
      <c r="H2" s="1" t="s">
        <v>134</v>
      </c>
    </row>
    <row r="3" spans="1:15" x14ac:dyDescent="0.25">
      <c r="B3" s="1" t="s">
        <v>28</v>
      </c>
      <c r="C3" s="1"/>
      <c r="D3" s="1" t="s">
        <v>62</v>
      </c>
      <c r="E3" s="1" t="s">
        <v>32</v>
      </c>
      <c r="F3" s="18">
        <v>400</v>
      </c>
      <c r="G3" s="1" t="s">
        <v>14</v>
      </c>
      <c r="H3" s="1" t="s">
        <v>134</v>
      </c>
    </row>
    <row r="4" spans="1:15" x14ac:dyDescent="0.25">
      <c r="B4" s="1" t="s">
        <v>58</v>
      </c>
      <c r="C4" s="1"/>
      <c r="D4" s="1" t="s">
        <v>62</v>
      </c>
      <c r="E4" s="1" t="s">
        <v>32</v>
      </c>
      <c r="F4" s="18">
        <f>65000/95</f>
        <v>684.21052631578948</v>
      </c>
      <c r="G4" s="1" t="s">
        <v>14</v>
      </c>
      <c r="H4" s="1" t="s">
        <v>274</v>
      </c>
    </row>
    <row r="5" spans="1:15" x14ac:dyDescent="0.25">
      <c r="B5" s="1" t="s">
        <v>31</v>
      </c>
      <c r="C5" s="1"/>
      <c r="D5" s="1" t="s">
        <v>62</v>
      </c>
      <c r="E5" s="1" t="s">
        <v>32</v>
      </c>
      <c r="F5" s="18">
        <v>225</v>
      </c>
      <c r="G5" s="1" t="s">
        <v>14</v>
      </c>
      <c r="H5" s="1" t="s">
        <v>30</v>
      </c>
    </row>
    <row r="6" spans="1:15" x14ac:dyDescent="0.25">
      <c r="B6" s="1" t="s">
        <v>115</v>
      </c>
      <c r="C6" s="1"/>
      <c r="D6" s="1" t="s">
        <v>62</v>
      </c>
      <c r="E6" s="1" t="s">
        <v>32</v>
      </c>
      <c r="F6" s="18">
        <f>18000/32</f>
        <v>562.5</v>
      </c>
      <c r="G6" s="1" t="s">
        <v>14</v>
      </c>
      <c r="H6" s="1" t="s">
        <v>275</v>
      </c>
    </row>
    <row r="7" spans="1:15" x14ac:dyDescent="0.25">
      <c r="B7" s="1" t="s">
        <v>121</v>
      </c>
      <c r="D7" s="1" t="s">
        <v>62</v>
      </c>
      <c r="E7" t="s">
        <v>32</v>
      </c>
      <c r="F7" s="32">
        <v>600</v>
      </c>
      <c r="G7" t="s">
        <v>14</v>
      </c>
      <c r="H7" s="1" t="s">
        <v>276</v>
      </c>
    </row>
    <row r="8" spans="1:15" x14ac:dyDescent="0.25">
      <c r="B8" t="s">
        <v>31</v>
      </c>
      <c r="C8" t="s">
        <v>165</v>
      </c>
      <c r="D8" s="1" t="s">
        <v>63</v>
      </c>
      <c r="E8" t="s">
        <v>116</v>
      </c>
      <c r="F8" s="21">
        <f>1.83*2*1.02^6</f>
        <v>4.1217544545062408</v>
      </c>
      <c r="G8" s="1" t="s">
        <v>268</v>
      </c>
      <c r="H8" s="1" t="s">
        <v>135</v>
      </c>
    </row>
    <row r="9" spans="1:15" x14ac:dyDescent="0.25">
      <c r="B9" s="1" t="s">
        <v>28</v>
      </c>
      <c r="C9" s="1"/>
      <c r="D9" s="1" t="s">
        <v>63</v>
      </c>
      <c r="E9" s="1" t="s">
        <v>116</v>
      </c>
      <c r="F9" s="21">
        <f>2.97*2*1.02^6</f>
        <v>6.689404770428161</v>
      </c>
      <c r="G9" s="24" t="s">
        <v>268</v>
      </c>
      <c r="H9" s="1" t="s">
        <v>135</v>
      </c>
    </row>
    <row r="10" spans="1:15" x14ac:dyDescent="0.25">
      <c r="B10" s="1" t="s">
        <v>83</v>
      </c>
      <c r="C10" s="1"/>
      <c r="D10" s="1" t="s">
        <v>63</v>
      </c>
      <c r="E10" s="1" t="s">
        <v>116</v>
      </c>
      <c r="F10" s="21">
        <f>1.83*2*1.02^6</f>
        <v>4.1217544545062408</v>
      </c>
      <c r="G10" s="24" t="s">
        <v>268</v>
      </c>
      <c r="H10" s="1" t="s">
        <v>135</v>
      </c>
    </row>
    <row r="11" spans="1:15" x14ac:dyDescent="0.25">
      <c r="B11" s="1" t="s">
        <v>115</v>
      </c>
      <c r="C11" s="1"/>
      <c r="D11" s="1" t="s">
        <v>63</v>
      </c>
      <c r="E11" s="1" t="s">
        <v>116</v>
      </c>
      <c r="F11" s="21">
        <f>1.83*2*1.02^6</f>
        <v>4.1217544545062408</v>
      </c>
      <c r="G11" s="24" t="s">
        <v>268</v>
      </c>
      <c r="H11" s="24" t="s">
        <v>135</v>
      </c>
      <c r="L11" s="7"/>
      <c r="M11" s="4"/>
      <c r="N11" s="1"/>
      <c r="O11" s="1"/>
    </row>
    <row r="12" spans="1:15" x14ac:dyDescent="0.25">
      <c r="B12" s="1" t="s">
        <v>58</v>
      </c>
      <c r="D12" s="1" t="s">
        <v>63</v>
      </c>
      <c r="E12" s="24" t="s">
        <v>116</v>
      </c>
      <c r="F12" s="21">
        <f>2.97*2*1.02^6</f>
        <v>6.689404770428161</v>
      </c>
      <c r="G12" s="24" t="s">
        <v>268</v>
      </c>
      <c r="H12" s="24" t="s">
        <v>135</v>
      </c>
      <c r="L12" s="7"/>
      <c r="M12" s="4"/>
      <c r="N12" s="1"/>
    </row>
    <row r="13" spans="1:15" x14ac:dyDescent="0.25">
      <c r="B13" s="1" t="s">
        <v>121</v>
      </c>
      <c r="D13" s="1" t="s">
        <v>63</v>
      </c>
      <c r="E13" s="24" t="s">
        <v>116</v>
      </c>
      <c r="F13" s="21">
        <f>1.83*2*1.02^6</f>
        <v>4.1217544545062408</v>
      </c>
      <c r="G13" s="24" t="s">
        <v>268</v>
      </c>
      <c r="H13" s="24" t="s">
        <v>135</v>
      </c>
      <c r="L13" s="7"/>
      <c r="M13" s="4"/>
      <c r="O13" s="1"/>
    </row>
    <row r="14" spans="1:15" x14ac:dyDescent="0.25">
      <c r="B14" t="s">
        <v>115</v>
      </c>
      <c r="C14" t="s">
        <v>159</v>
      </c>
      <c r="D14" s="1" t="s">
        <v>61</v>
      </c>
      <c r="E14" s="1" t="s">
        <v>71</v>
      </c>
      <c r="F14" s="42">
        <v>8.0314371137811674E-2</v>
      </c>
      <c r="G14" s="43" t="s">
        <v>233</v>
      </c>
      <c r="H14" s="1" t="s">
        <v>276</v>
      </c>
      <c r="N14" s="1"/>
    </row>
    <row r="15" spans="1:15" x14ac:dyDescent="0.25">
      <c r="B15" t="s">
        <v>31</v>
      </c>
      <c r="C15" s="24" t="s">
        <v>159</v>
      </c>
      <c r="D15" s="1" t="s">
        <v>61</v>
      </c>
      <c r="E15" s="1" t="s">
        <v>71</v>
      </c>
      <c r="F15" s="42">
        <v>8.0314371137811674E-2</v>
      </c>
      <c r="G15" s="43" t="s">
        <v>233</v>
      </c>
      <c r="H15" s="36" t="s">
        <v>276</v>
      </c>
    </row>
    <row r="16" spans="1:15" x14ac:dyDescent="0.25">
      <c r="B16" t="s">
        <v>28</v>
      </c>
      <c r="C16" s="24" t="s">
        <v>159</v>
      </c>
      <c r="D16" s="1" t="s">
        <v>61</v>
      </c>
      <c r="E16" s="1" t="s">
        <v>71</v>
      </c>
      <c r="F16" s="42">
        <v>5.6464950439157223E-3</v>
      </c>
      <c r="G16" s="43" t="s">
        <v>233</v>
      </c>
      <c r="H16" s="36" t="s">
        <v>276</v>
      </c>
    </row>
    <row r="17" spans="2:8" x14ac:dyDescent="0.25">
      <c r="B17" s="1" t="s">
        <v>83</v>
      </c>
      <c r="C17" s="24" t="s">
        <v>159</v>
      </c>
      <c r="D17" s="1" t="s">
        <v>61</v>
      </c>
      <c r="E17" s="1" t="s">
        <v>71</v>
      </c>
      <c r="F17" s="42">
        <v>2.2326020914152055E-3</v>
      </c>
      <c r="G17" s="43" t="s">
        <v>233</v>
      </c>
      <c r="H17" s="36" t="s">
        <v>276</v>
      </c>
    </row>
    <row r="18" spans="2:8" x14ac:dyDescent="0.25">
      <c r="B18" t="s">
        <v>58</v>
      </c>
      <c r="C18" s="24" t="s">
        <v>159</v>
      </c>
      <c r="D18" s="1" t="s">
        <v>61</v>
      </c>
      <c r="E18" s="1" t="s">
        <v>71</v>
      </c>
      <c r="F18" s="42">
        <v>5.6464950439157223E-3</v>
      </c>
      <c r="G18" s="43" t="s">
        <v>233</v>
      </c>
      <c r="H18" s="36" t="s">
        <v>276</v>
      </c>
    </row>
    <row r="19" spans="2:8" x14ac:dyDescent="0.25">
      <c r="B19" s="1" t="s">
        <v>121</v>
      </c>
      <c r="C19" s="24" t="s">
        <v>159</v>
      </c>
      <c r="D19" s="1" t="s">
        <v>61</v>
      </c>
      <c r="E19" s="1" t="s">
        <v>71</v>
      </c>
      <c r="F19" s="42">
        <v>2.2326020914152055E-3</v>
      </c>
      <c r="G19" s="43" t="s">
        <v>233</v>
      </c>
      <c r="H19" s="36" t="s">
        <v>276</v>
      </c>
    </row>
    <row r="20" spans="2:8" x14ac:dyDescent="0.25">
      <c r="B20" t="s">
        <v>38</v>
      </c>
      <c r="D20" s="1" t="s">
        <v>117</v>
      </c>
      <c r="E20" t="s">
        <v>119</v>
      </c>
      <c r="F20" s="6">
        <f>15.5614285714286*1.02^3</f>
        <v>16.513912491428602</v>
      </c>
      <c r="G20" s="1" t="s">
        <v>269</v>
      </c>
      <c r="H20" t="s">
        <v>277</v>
      </c>
    </row>
    <row r="21" spans="2:8" x14ac:dyDescent="0.25">
      <c r="B21" t="s">
        <v>118</v>
      </c>
      <c r="C21" t="s">
        <v>174</v>
      </c>
      <c r="D21" s="1" t="s">
        <v>117</v>
      </c>
      <c r="E21" s="1" t="s">
        <v>120</v>
      </c>
      <c r="F21" s="6">
        <f>34.477719983261*1.02^3</f>
        <v>36.588032267996432</v>
      </c>
      <c r="G21" s="1" t="s">
        <v>269</v>
      </c>
      <c r="H21" s="1" t="s">
        <v>278</v>
      </c>
    </row>
    <row r="23" spans="2:8" x14ac:dyDescent="0.25">
      <c r="B23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43"/>
  <sheetViews>
    <sheetView tabSelected="1" topLeftCell="A28" zoomScaleNormal="100" workbookViewId="0">
      <selection activeCell="E39" sqref="E39"/>
    </sheetView>
  </sheetViews>
  <sheetFormatPr defaultColWidth="11.5703125" defaultRowHeight="15" x14ac:dyDescent="0.25"/>
  <cols>
    <col min="1" max="1" width="11.42578125" style="36"/>
    <col min="2" max="2" width="14.28515625" customWidth="1"/>
    <col min="3" max="3" width="12.42578125" bestFit="1" customWidth="1"/>
    <col min="4" max="4" width="6" style="1" customWidth="1"/>
    <col min="5" max="5" width="22.28515625" bestFit="1" customWidth="1"/>
    <col min="6" max="6" width="13.85546875" bestFit="1" customWidth="1"/>
    <col min="10" max="10" width="12.28515625" bestFit="1" customWidth="1"/>
    <col min="12" max="12" width="12.85546875" bestFit="1" customWidth="1"/>
    <col min="14" max="14" width="13.5703125" bestFit="1" customWidth="1"/>
    <col min="16" max="16" width="12" bestFit="1" customWidth="1"/>
  </cols>
  <sheetData>
    <row r="1" spans="1:18" x14ac:dyDescent="0.25">
      <c r="A1" s="36" t="s">
        <v>40</v>
      </c>
      <c r="B1" s="1" t="s">
        <v>3</v>
      </c>
      <c r="C1" s="1" t="s">
        <v>4</v>
      </c>
      <c r="D1" s="1" t="s">
        <v>41</v>
      </c>
      <c r="E1" s="1" t="s">
        <v>0</v>
      </c>
      <c r="F1" s="1" t="s">
        <v>45</v>
      </c>
      <c r="G1" s="1" t="s">
        <v>1</v>
      </c>
      <c r="H1" s="1" t="s">
        <v>5</v>
      </c>
    </row>
    <row r="2" spans="1:18" x14ac:dyDescent="0.25">
      <c r="B2" t="s">
        <v>65</v>
      </c>
      <c r="D2" s="1" t="s">
        <v>70</v>
      </c>
      <c r="E2" t="s">
        <v>78</v>
      </c>
      <c r="F2" s="5">
        <f>22.4*1.02^3</f>
        <v>23.771059199999996</v>
      </c>
      <c r="G2" s="36" t="s">
        <v>270</v>
      </c>
      <c r="H2" t="s">
        <v>272</v>
      </c>
    </row>
    <row r="3" spans="1:18" x14ac:dyDescent="0.25">
      <c r="B3" s="1" t="s">
        <v>90</v>
      </c>
      <c r="C3" s="1"/>
      <c r="D3" s="1" t="s">
        <v>70</v>
      </c>
      <c r="E3" s="1" t="s">
        <v>78</v>
      </c>
      <c r="F3" s="5">
        <f>22.4*1.02^3</f>
        <v>23.771059199999996</v>
      </c>
      <c r="G3" s="36" t="s">
        <v>270</v>
      </c>
      <c r="H3" s="36" t="s">
        <v>272</v>
      </c>
      <c r="K3" s="1"/>
      <c r="L3" s="1"/>
      <c r="M3" s="1"/>
      <c r="N3" s="1"/>
      <c r="O3" s="5"/>
      <c r="Q3" s="1"/>
      <c r="R3" s="1"/>
    </row>
    <row r="4" spans="1:18" x14ac:dyDescent="0.25">
      <c r="B4" t="s">
        <v>136</v>
      </c>
      <c r="D4" s="1" t="s">
        <v>70</v>
      </c>
      <c r="E4" t="s">
        <v>78</v>
      </c>
      <c r="F4" s="5">
        <f>15.3*1.02^3</f>
        <v>16.2364824</v>
      </c>
      <c r="G4" s="36" t="s">
        <v>270</v>
      </c>
      <c r="H4" s="36" t="s">
        <v>272</v>
      </c>
      <c r="R4" s="1"/>
    </row>
    <row r="5" spans="1:18" x14ac:dyDescent="0.25">
      <c r="B5" s="1" t="s">
        <v>86</v>
      </c>
      <c r="C5" s="1" t="s">
        <v>76</v>
      </c>
      <c r="D5" s="1" t="s">
        <v>70</v>
      </c>
      <c r="E5" s="1" t="s">
        <v>78</v>
      </c>
      <c r="F5" s="5">
        <f>(71*(0.39+0.1)*1.02^5/3.6+2.65*10^6/(400*6000)*3.6)*1.02^3</f>
        <v>15.541087873630227</v>
      </c>
      <c r="G5" s="36" t="s">
        <v>270</v>
      </c>
      <c r="H5" s="1" t="s">
        <v>271</v>
      </c>
      <c r="R5" s="1"/>
    </row>
    <row r="6" spans="1:18" x14ac:dyDescent="0.25">
      <c r="B6" s="1" t="s">
        <v>87</v>
      </c>
      <c r="C6" s="1" t="s">
        <v>76</v>
      </c>
      <c r="D6" s="1" t="s">
        <v>70</v>
      </c>
      <c r="E6" s="1" t="s">
        <v>78</v>
      </c>
      <c r="F6" s="5">
        <f>(71*(0.39+0.1)*1.02^5/3.6+0.79*10^6/(400*6000)*3.6)*1.02^3</f>
        <v>12.580317553630227</v>
      </c>
      <c r="G6" s="36" t="s">
        <v>270</v>
      </c>
      <c r="H6" s="36" t="s">
        <v>271</v>
      </c>
      <c r="K6" s="1"/>
      <c r="L6" s="1"/>
      <c r="M6" s="1"/>
      <c r="N6" s="1"/>
      <c r="O6" s="5"/>
      <c r="Q6" s="1"/>
      <c r="R6" s="1"/>
    </row>
    <row r="7" spans="1:18" x14ac:dyDescent="0.25">
      <c r="B7" s="1" t="s">
        <v>88</v>
      </c>
      <c r="C7" s="1"/>
      <c r="D7" s="1" t="s">
        <v>70</v>
      </c>
      <c r="E7" s="1" t="s">
        <v>78</v>
      </c>
      <c r="F7" s="5">
        <f>12*1.02^10</f>
        <v>14.627933039937085</v>
      </c>
      <c r="G7" s="36" t="s">
        <v>270</v>
      </c>
      <c r="H7" s="1" t="s">
        <v>79</v>
      </c>
      <c r="N7" s="5"/>
      <c r="Q7" s="1"/>
      <c r="R7" s="1"/>
    </row>
    <row r="8" spans="1:18" x14ac:dyDescent="0.25">
      <c r="B8" s="1" t="s">
        <v>89</v>
      </c>
      <c r="C8" s="1"/>
      <c r="D8" s="1" t="s">
        <v>70</v>
      </c>
      <c r="E8" s="1" t="s">
        <v>78</v>
      </c>
      <c r="F8" s="5">
        <f>10*1.02^10</f>
        <v>12.189944199947572</v>
      </c>
      <c r="G8" s="36" t="s">
        <v>270</v>
      </c>
      <c r="H8" s="1" t="s">
        <v>79</v>
      </c>
      <c r="I8" s="1"/>
      <c r="K8" s="1"/>
      <c r="M8" s="1"/>
      <c r="O8" s="4"/>
      <c r="R8" s="1"/>
    </row>
    <row r="9" spans="1:18" x14ac:dyDescent="0.25">
      <c r="B9" s="1" t="s">
        <v>91</v>
      </c>
      <c r="C9" s="1"/>
      <c r="D9" s="1" t="s">
        <v>70</v>
      </c>
      <c r="E9" s="1" t="s">
        <v>78</v>
      </c>
      <c r="F9" s="5">
        <f>9*1.02^10</f>
        <v>10.970949779952814</v>
      </c>
      <c r="G9" s="36" t="s">
        <v>270</v>
      </c>
      <c r="H9" s="1" t="s">
        <v>79</v>
      </c>
      <c r="K9" s="1"/>
      <c r="M9" s="5"/>
      <c r="N9" s="1"/>
      <c r="O9" s="1"/>
      <c r="P9" s="1"/>
      <c r="R9" s="1"/>
    </row>
    <row r="10" spans="1:18" s="1" customFormat="1" x14ac:dyDescent="0.25">
      <c r="A10" s="36"/>
      <c r="B10" t="s">
        <v>92</v>
      </c>
      <c r="C10"/>
      <c r="D10" s="1" t="s">
        <v>70</v>
      </c>
      <c r="E10" s="1" t="s">
        <v>78</v>
      </c>
      <c r="F10" s="23">
        <f>71*(0.39+0.1)*1.02^8/3.6</f>
        <v>11.322786073630228</v>
      </c>
      <c r="G10" s="36" t="s">
        <v>270</v>
      </c>
      <c r="H10" t="s">
        <v>140</v>
      </c>
      <c r="I10"/>
      <c r="O10" s="2"/>
    </row>
    <row r="11" spans="1:18" x14ac:dyDescent="0.25">
      <c r="B11" s="24" t="s">
        <v>137</v>
      </c>
      <c r="D11" s="1" t="s">
        <v>70</v>
      </c>
      <c r="F11" s="23">
        <f>33.3431671652725*1.02^3</f>
        <v>35.384035741124492</v>
      </c>
      <c r="G11" s="36" t="s">
        <v>270</v>
      </c>
      <c r="H11" s="24" t="s">
        <v>273</v>
      </c>
      <c r="M11" s="1"/>
      <c r="N11" s="1"/>
      <c r="O11" s="2"/>
    </row>
    <row r="12" spans="1:18" x14ac:dyDescent="0.25">
      <c r="B12" s="24" t="s">
        <v>138</v>
      </c>
      <c r="D12" s="1" t="s">
        <v>70</v>
      </c>
      <c r="F12" s="23">
        <f>33.3431671652725*1.02^3</f>
        <v>35.384035741124492</v>
      </c>
      <c r="G12" s="36" t="s">
        <v>270</v>
      </c>
      <c r="H12" s="36" t="s">
        <v>273</v>
      </c>
      <c r="M12" s="1"/>
      <c r="O12" s="5"/>
      <c r="R12" s="1"/>
    </row>
    <row r="13" spans="1:18" s="1" customFormat="1" x14ac:dyDescent="0.25">
      <c r="A13" s="36"/>
      <c r="B13" s="24" t="s">
        <v>139</v>
      </c>
      <c r="C13"/>
      <c r="D13" s="1" t="s">
        <v>70</v>
      </c>
      <c r="E13"/>
      <c r="F13" s="23">
        <f>33.3431671652725*1.02^3</f>
        <v>35.384035741124492</v>
      </c>
      <c r="G13" s="24" t="s">
        <v>270</v>
      </c>
      <c r="H13" s="36" t="s">
        <v>273</v>
      </c>
      <c r="I13"/>
      <c r="J13"/>
      <c r="O13" s="5"/>
    </row>
    <row r="14" spans="1:18" x14ac:dyDescent="0.25">
      <c r="B14" s="1" t="s">
        <v>87</v>
      </c>
      <c r="C14" s="1"/>
      <c r="D14" s="1" t="s">
        <v>64</v>
      </c>
      <c r="E14" s="1" t="s">
        <v>77</v>
      </c>
      <c r="F14" s="4">
        <v>0.4</v>
      </c>
      <c r="G14" s="1"/>
      <c r="H14" t="s">
        <v>164</v>
      </c>
      <c r="M14" s="1"/>
      <c r="N14" s="1"/>
      <c r="O14" s="5"/>
      <c r="Q14" s="1"/>
    </row>
    <row r="15" spans="1:18" s="1" customFormat="1" x14ac:dyDescent="0.25">
      <c r="A15" s="36"/>
      <c r="B15" s="1" t="s">
        <v>86</v>
      </c>
      <c r="D15" s="1" t="s">
        <v>64</v>
      </c>
      <c r="E15" s="1" t="s">
        <v>77</v>
      </c>
      <c r="F15" s="4">
        <v>0.4</v>
      </c>
      <c r="H15" t="s">
        <v>164</v>
      </c>
      <c r="O15" s="5"/>
    </row>
    <row r="16" spans="1:18" x14ac:dyDescent="0.25">
      <c r="B16" s="1" t="s">
        <v>88</v>
      </c>
      <c r="C16" s="24" t="s">
        <v>163</v>
      </c>
      <c r="D16" s="1" t="s">
        <v>64</v>
      </c>
      <c r="E16" s="1" t="s">
        <v>80</v>
      </c>
      <c r="F16" s="4">
        <f>43%+12%</f>
        <v>0.55000000000000004</v>
      </c>
      <c r="G16" s="1"/>
      <c r="H16" s="1" t="s">
        <v>81</v>
      </c>
      <c r="M16" s="1"/>
      <c r="O16" s="5"/>
    </row>
    <row r="17" spans="1:18" x14ac:dyDescent="0.25">
      <c r="B17" s="1" t="s">
        <v>89</v>
      </c>
      <c r="C17" s="24" t="s">
        <v>161</v>
      </c>
      <c r="D17" s="1" t="s">
        <v>64</v>
      </c>
      <c r="E17" s="1" t="s">
        <v>80</v>
      </c>
      <c r="F17" s="4">
        <f>47%+11%</f>
        <v>0.57999999999999996</v>
      </c>
      <c r="G17" s="1"/>
      <c r="H17" s="24" t="s">
        <v>81</v>
      </c>
      <c r="M17" s="1"/>
      <c r="O17" s="5"/>
      <c r="Q17" s="1"/>
      <c r="R17" s="1"/>
    </row>
    <row r="18" spans="1:18" x14ac:dyDescent="0.25">
      <c r="B18" s="1" t="s">
        <v>91</v>
      </c>
      <c r="C18" s="24" t="s">
        <v>162</v>
      </c>
      <c r="D18" s="1" t="s">
        <v>64</v>
      </c>
      <c r="E18" s="1" t="s">
        <v>74</v>
      </c>
      <c r="F18" s="2">
        <f>49%+10%</f>
        <v>0.59</v>
      </c>
      <c r="H18" s="24" t="s">
        <v>81</v>
      </c>
      <c r="L18" s="2"/>
      <c r="M18" s="1"/>
      <c r="Q18" s="1"/>
      <c r="R18" s="1"/>
    </row>
    <row r="19" spans="1:18" x14ac:dyDescent="0.25">
      <c r="B19" t="s">
        <v>92</v>
      </c>
      <c r="D19" s="1" t="s">
        <v>64</v>
      </c>
      <c r="E19" s="1" t="s">
        <v>74</v>
      </c>
      <c r="F19" s="2">
        <v>0.4</v>
      </c>
      <c r="H19" t="s">
        <v>164</v>
      </c>
      <c r="K19" s="1"/>
      <c r="M19" s="1"/>
      <c r="O19" s="4"/>
    </row>
    <row r="20" spans="1:18" x14ac:dyDescent="0.25">
      <c r="B20" s="1" t="s">
        <v>137</v>
      </c>
      <c r="C20" t="s">
        <v>160</v>
      </c>
      <c r="D20" s="1" t="s">
        <v>64</v>
      </c>
      <c r="F20" s="4">
        <v>0.89</v>
      </c>
      <c r="H20" s="36" t="s">
        <v>273</v>
      </c>
      <c r="K20" s="1"/>
      <c r="M20" s="1"/>
      <c r="N20" s="1"/>
      <c r="O20" s="4"/>
      <c r="R20" s="1"/>
    </row>
    <row r="21" spans="1:18" x14ac:dyDescent="0.25">
      <c r="B21" s="1" t="s">
        <v>138</v>
      </c>
      <c r="C21" s="24" t="s">
        <v>160</v>
      </c>
      <c r="D21" s="1" t="s">
        <v>64</v>
      </c>
      <c r="F21" s="4">
        <v>0.89</v>
      </c>
      <c r="H21" s="36" t="s">
        <v>273</v>
      </c>
      <c r="K21" s="1"/>
      <c r="M21" s="1"/>
      <c r="N21" s="1"/>
      <c r="O21" s="4"/>
      <c r="R21" s="1"/>
    </row>
    <row r="22" spans="1:18" x14ac:dyDescent="0.25">
      <c r="B22" s="1" t="s">
        <v>139</v>
      </c>
      <c r="C22" s="24" t="s">
        <v>160</v>
      </c>
      <c r="D22" s="1" t="s">
        <v>64</v>
      </c>
      <c r="F22" s="4">
        <v>0.89</v>
      </c>
      <c r="H22" s="36" t="s">
        <v>273</v>
      </c>
      <c r="K22" s="1"/>
      <c r="M22" s="1"/>
      <c r="N22" s="1"/>
      <c r="O22" s="4"/>
      <c r="R22" s="1"/>
    </row>
    <row r="23" spans="1:18" x14ac:dyDescent="0.25">
      <c r="B23" s="1" t="s">
        <v>65</v>
      </c>
      <c r="D23" s="1" t="s">
        <v>64</v>
      </c>
      <c r="E23" t="s">
        <v>39</v>
      </c>
      <c r="F23" s="4">
        <v>0.84</v>
      </c>
      <c r="H23" s="36" t="s">
        <v>272</v>
      </c>
      <c r="K23" s="1"/>
      <c r="M23" s="1"/>
      <c r="N23" s="1"/>
      <c r="O23" s="4"/>
      <c r="R23" s="1"/>
    </row>
    <row r="24" spans="1:18" x14ac:dyDescent="0.25">
      <c r="B24" s="1" t="s">
        <v>90</v>
      </c>
      <c r="C24" s="1"/>
      <c r="D24" s="1" t="s">
        <v>64</v>
      </c>
      <c r="E24" s="1" t="s">
        <v>39</v>
      </c>
      <c r="F24" s="4">
        <v>0.84</v>
      </c>
      <c r="G24" s="1"/>
      <c r="H24" s="36" t="s">
        <v>272</v>
      </c>
      <c r="K24" s="1"/>
      <c r="M24" s="1"/>
      <c r="N24" s="1"/>
      <c r="O24" s="4"/>
      <c r="R24" s="1"/>
    </row>
    <row r="25" spans="1:18" x14ac:dyDescent="0.25">
      <c r="B25" s="1" t="s">
        <v>136</v>
      </c>
      <c r="D25" s="1" t="s">
        <v>64</v>
      </c>
      <c r="E25" s="1" t="s">
        <v>39</v>
      </c>
      <c r="F25" s="4">
        <f>0.8</f>
        <v>0.8</v>
      </c>
      <c r="H25" s="36" t="s">
        <v>272</v>
      </c>
      <c r="N25" t="s">
        <v>234</v>
      </c>
    </row>
    <row r="26" spans="1:18" s="1" customFormat="1" x14ac:dyDescent="0.25">
      <c r="A26" s="36"/>
      <c r="B26" s="24" t="s">
        <v>87</v>
      </c>
      <c r="C26" s="24"/>
      <c r="D26" s="24" t="s">
        <v>166</v>
      </c>
      <c r="E26" s="24" t="s">
        <v>77</v>
      </c>
      <c r="F26" s="4">
        <v>0</v>
      </c>
      <c r="G26" s="24"/>
      <c r="H26" s="24" t="s">
        <v>164</v>
      </c>
      <c r="I26"/>
      <c r="M26" s="1" t="s">
        <v>235</v>
      </c>
      <c r="N26" s="1">
        <v>84.51</v>
      </c>
      <c r="O26" s="26" t="s">
        <v>236</v>
      </c>
      <c r="R26" s="30"/>
    </row>
    <row r="27" spans="1:18" x14ac:dyDescent="0.25">
      <c r="B27" s="24" t="s">
        <v>86</v>
      </c>
      <c r="C27" s="24"/>
      <c r="D27" s="24" t="s">
        <v>166</v>
      </c>
      <c r="E27" s="24" t="s">
        <v>77</v>
      </c>
      <c r="F27" s="4">
        <v>0</v>
      </c>
      <c r="G27" s="24"/>
      <c r="H27" s="24" t="s">
        <v>164</v>
      </c>
    </row>
    <row r="28" spans="1:18" x14ac:dyDescent="0.25">
      <c r="B28" s="24" t="s">
        <v>88</v>
      </c>
      <c r="C28" s="24" t="s">
        <v>163</v>
      </c>
      <c r="D28" s="24" t="s">
        <v>166</v>
      </c>
      <c r="E28" s="24" t="s">
        <v>80</v>
      </c>
      <c r="F28" s="4">
        <v>0.12</v>
      </c>
      <c r="G28" s="24"/>
      <c r="H28" s="24" t="s">
        <v>81</v>
      </c>
    </row>
    <row r="29" spans="1:18" x14ac:dyDescent="0.25">
      <c r="B29" s="24" t="s">
        <v>89</v>
      </c>
      <c r="C29" s="24" t="s">
        <v>161</v>
      </c>
      <c r="D29" s="24" t="s">
        <v>166</v>
      </c>
      <c r="E29" s="24" t="s">
        <v>80</v>
      </c>
      <c r="F29" s="4">
        <v>0.11</v>
      </c>
      <c r="G29" s="24"/>
      <c r="H29" s="24" t="s">
        <v>81</v>
      </c>
    </row>
    <row r="30" spans="1:18" s="1" customFormat="1" x14ac:dyDescent="0.25">
      <c r="A30" s="36"/>
      <c r="B30" s="24" t="s">
        <v>91</v>
      </c>
      <c r="C30" s="24" t="s">
        <v>162</v>
      </c>
      <c r="D30" s="24" t="s">
        <v>166</v>
      </c>
      <c r="E30" s="24" t="s">
        <v>74</v>
      </c>
      <c r="F30" s="2">
        <v>0.1</v>
      </c>
      <c r="G30" s="24"/>
      <c r="H30" s="24" t="s">
        <v>81</v>
      </c>
    </row>
    <row r="31" spans="1:18" x14ac:dyDescent="0.25">
      <c r="B31" s="24" t="s">
        <v>92</v>
      </c>
      <c r="C31" s="24"/>
      <c r="D31" s="24" t="s">
        <v>166</v>
      </c>
      <c r="E31" s="24" t="s">
        <v>74</v>
      </c>
      <c r="F31" s="2">
        <v>0</v>
      </c>
      <c r="G31" s="24"/>
      <c r="H31" s="24" t="s">
        <v>164</v>
      </c>
    </row>
    <row r="32" spans="1:18" x14ac:dyDescent="0.25">
      <c r="B32" s="24" t="s">
        <v>137</v>
      </c>
      <c r="C32" s="24" t="s">
        <v>160</v>
      </c>
      <c r="D32" s="24" t="s">
        <v>166</v>
      </c>
      <c r="E32" s="24"/>
      <c r="F32" s="4">
        <v>0.245</v>
      </c>
      <c r="G32" s="24"/>
      <c r="H32" s="36" t="s">
        <v>273</v>
      </c>
    </row>
    <row r="33" spans="2:18" x14ac:dyDescent="0.25">
      <c r="B33" s="24" t="s">
        <v>138</v>
      </c>
      <c r="C33" s="24" t="s">
        <v>160</v>
      </c>
      <c r="D33" s="24" t="s">
        <v>166</v>
      </c>
      <c r="E33" s="24"/>
      <c r="F33" s="4">
        <v>0.245</v>
      </c>
      <c r="G33" s="24"/>
      <c r="H33" s="36" t="s">
        <v>273</v>
      </c>
      <c r="M33" s="1"/>
      <c r="O33" s="5"/>
      <c r="P33" s="5"/>
    </row>
    <row r="34" spans="2:18" x14ac:dyDescent="0.25">
      <c r="B34" s="24" t="s">
        <v>139</v>
      </c>
      <c r="C34" s="24" t="s">
        <v>160</v>
      </c>
      <c r="D34" s="24" t="s">
        <v>166</v>
      </c>
      <c r="E34" s="24"/>
      <c r="F34" s="4">
        <v>0.245</v>
      </c>
      <c r="G34" s="24"/>
      <c r="H34" s="36" t="s">
        <v>273</v>
      </c>
      <c r="K34" s="1"/>
      <c r="M34" s="1"/>
      <c r="O34" s="2"/>
      <c r="R34" s="1"/>
    </row>
    <row r="35" spans="2:18" x14ac:dyDescent="0.25">
      <c r="B35" s="24" t="s">
        <v>65</v>
      </c>
      <c r="C35" s="24"/>
      <c r="D35" s="24" t="s">
        <v>166</v>
      </c>
      <c r="E35" s="24" t="s">
        <v>39</v>
      </c>
      <c r="F35" s="4">
        <v>0</v>
      </c>
      <c r="G35" s="24"/>
      <c r="H35" s="36" t="s">
        <v>272</v>
      </c>
      <c r="M35" s="1"/>
      <c r="O35" s="5"/>
    </row>
    <row r="36" spans="2:18" x14ac:dyDescent="0.25">
      <c r="B36" s="24" t="s">
        <v>90</v>
      </c>
      <c r="C36" s="24"/>
      <c r="D36" s="24" t="s">
        <v>166</v>
      </c>
      <c r="E36" s="24" t="s">
        <v>39</v>
      </c>
      <c r="F36" s="4">
        <v>0</v>
      </c>
      <c r="G36" s="24"/>
      <c r="H36" s="36" t="s">
        <v>272</v>
      </c>
      <c r="K36" s="1"/>
      <c r="M36" s="1"/>
      <c r="N36" s="1"/>
      <c r="O36" s="2"/>
      <c r="R36" s="1"/>
    </row>
    <row r="37" spans="2:18" x14ac:dyDescent="0.25">
      <c r="B37" s="24" t="s">
        <v>136</v>
      </c>
      <c r="C37" s="24"/>
      <c r="D37" s="24" t="s">
        <v>166</v>
      </c>
      <c r="E37" s="24" t="s">
        <v>39</v>
      </c>
      <c r="F37" s="4">
        <v>0</v>
      </c>
      <c r="G37" s="24"/>
      <c r="H37" s="36" t="s">
        <v>272</v>
      </c>
      <c r="K37" s="1"/>
      <c r="L37" s="1"/>
      <c r="M37" s="1"/>
      <c r="N37" s="1"/>
      <c r="O37" s="27"/>
      <c r="P37" s="1"/>
      <c r="Q37" s="1"/>
      <c r="R37" s="1"/>
    </row>
    <row r="38" spans="2:18" x14ac:dyDescent="0.25">
      <c r="B38" s="33" t="s">
        <v>51</v>
      </c>
      <c r="C38" s="33"/>
      <c r="D38" s="33" t="s">
        <v>175</v>
      </c>
      <c r="E38" s="33" t="s">
        <v>176</v>
      </c>
      <c r="F38" s="34">
        <v>14.061693592702493</v>
      </c>
      <c r="G38" s="35" t="s">
        <v>287</v>
      </c>
      <c r="H38" s="35" t="s">
        <v>254</v>
      </c>
    </row>
    <row r="39" spans="2:18" x14ac:dyDescent="0.25">
      <c r="B39" s="33" t="s">
        <v>52</v>
      </c>
      <c r="C39" s="33"/>
      <c r="D39" s="33" t="s">
        <v>175</v>
      </c>
      <c r="E39" s="33" t="s">
        <v>177</v>
      </c>
      <c r="F39" s="38">
        <f>0.0414222222222222/3.6*1000</f>
        <v>11.506172839506167</v>
      </c>
      <c r="G39" s="44" t="s">
        <v>287</v>
      </c>
      <c r="H39" s="44" t="s">
        <v>261</v>
      </c>
    </row>
    <row r="40" spans="2:18" x14ac:dyDescent="0.25">
      <c r="B40" s="33" t="s">
        <v>53</v>
      </c>
      <c r="C40" s="33"/>
      <c r="D40" s="33" t="s">
        <v>66</v>
      </c>
      <c r="E40" s="33" t="s">
        <v>178</v>
      </c>
      <c r="F40" s="34">
        <f>12.8+6.3*0.06+19.5*0.09+19.2*0.54+24.1*0.2+19.2*0.11</f>
        <v>32.233000000000004</v>
      </c>
      <c r="G40" s="35" t="s">
        <v>179</v>
      </c>
      <c r="H40" s="35" t="s">
        <v>285</v>
      </c>
    </row>
    <row r="41" spans="2:18" x14ac:dyDescent="0.25">
      <c r="B41" s="36" t="s">
        <v>53</v>
      </c>
      <c r="C41" s="36"/>
      <c r="D41" s="36" t="s">
        <v>175</v>
      </c>
      <c r="E41" s="36" t="s">
        <v>178</v>
      </c>
      <c r="F41" s="37">
        <f>12.8+7.6*0.06+25.42*0.09+10.91*0.54+12.78*0.2+10.91*0.11</f>
        <v>25.191300000000002</v>
      </c>
      <c r="G41" t="s">
        <v>265</v>
      </c>
      <c r="H41" s="36" t="s">
        <v>286</v>
      </c>
    </row>
    <row r="42" spans="2:18" x14ac:dyDescent="0.25">
      <c r="B42" s="36" t="s">
        <v>53</v>
      </c>
      <c r="D42" s="1" t="s">
        <v>66</v>
      </c>
      <c r="E42" s="36" t="s">
        <v>266</v>
      </c>
      <c r="F42" s="37">
        <f>12.8+7.6*0.06+102.22*0.09+18.01*0.54+13.91*0.2+18.01*0.11</f>
        <v>36.944299999999998</v>
      </c>
      <c r="G42" s="36" t="s">
        <v>265</v>
      </c>
      <c r="H42" s="36" t="s">
        <v>286</v>
      </c>
    </row>
    <row r="43" spans="2:18" x14ac:dyDescent="0.25">
      <c r="B43" s="36" t="s">
        <v>53</v>
      </c>
      <c r="C43" s="36"/>
      <c r="D43" s="36" t="s">
        <v>66</v>
      </c>
      <c r="E43" s="36" t="s">
        <v>267</v>
      </c>
      <c r="F43" s="37">
        <f>12.8+7.6*0.06+10.56*0.09+4.73*0.54+11.4*0.2+4.73*0.11</f>
        <v>19.5609</v>
      </c>
      <c r="G43" s="36" t="s">
        <v>265</v>
      </c>
      <c r="H43" s="36" t="s">
        <v>286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9"/>
  <sheetViews>
    <sheetView workbookViewId="0">
      <selection activeCell="F23" sqref="F23"/>
    </sheetView>
  </sheetViews>
  <sheetFormatPr defaultColWidth="11.5703125" defaultRowHeight="15" x14ac:dyDescent="0.25"/>
  <cols>
    <col min="1" max="1" width="11.42578125" style="36"/>
    <col min="3" max="3" width="15.28515625" customWidth="1"/>
    <col min="5" max="5" width="15.5703125" customWidth="1"/>
    <col min="8" max="8" width="17.5703125" customWidth="1"/>
  </cols>
  <sheetData>
    <row r="1" spans="1:8" x14ac:dyDescent="0.25">
      <c r="A1" s="36" t="s">
        <v>40</v>
      </c>
      <c r="B1" s="36" t="s">
        <v>182</v>
      </c>
      <c r="C1" s="36" t="s">
        <v>4</v>
      </c>
      <c r="D1" s="36" t="s">
        <v>41</v>
      </c>
      <c r="E1" s="36" t="s">
        <v>0</v>
      </c>
      <c r="F1" s="36" t="s">
        <v>45</v>
      </c>
      <c r="G1" s="36" t="s">
        <v>1</v>
      </c>
      <c r="H1" s="36" t="s">
        <v>5</v>
      </c>
    </row>
    <row r="2" spans="1:8" x14ac:dyDescent="0.25">
      <c r="B2" t="s">
        <v>183</v>
      </c>
      <c r="C2" s="36" t="s">
        <v>169</v>
      </c>
      <c r="D2" t="s">
        <v>66</v>
      </c>
      <c r="E2" t="s">
        <v>185</v>
      </c>
      <c r="F2" s="38">
        <v>30.67822</v>
      </c>
      <c r="G2" s="36" t="s">
        <v>168</v>
      </c>
      <c r="H2" t="s">
        <v>184</v>
      </c>
    </row>
    <row r="3" spans="1:8" x14ac:dyDescent="0.25">
      <c r="B3" t="s">
        <v>186</v>
      </c>
      <c r="D3" t="s">
        <v>66</v>
      </c>
      <c r="E3" t="s">
        <v>188</v>
      </c>
      <c r="F3" s="36">
        <v>0.75353999999999999</v>
      </c>
      <c r="G3" s="36" t="s">
        <v>170</v>
      </c>
      <c r="H3" t="s">
        <v>187</v>
      </c>
    </row>
    <row r="4" spans="1:8" x14ac:dyDescent="0.25">
      <c r="B4" s="36" t="s">
        <v>183</v>
      </c>
      <c r="C4" s="36" t="s">
        <v>169</v>
      </c>
      <c r="D4" t="s">
        <v>189</v>
      </c>
      <c r="E4" s="36" t="s">
        <v>185</v>
      </c>
      <c r="F4" s="38">
        <v>23.117265898799999</v>
      </c>
      <c r="G4" s="36" t="s">
        <v>82</v>
      </c>
      <c r="H4" s="36" t="s">
        <v>184</v>
      </c>
    </row>
    <row r="5" spans="1:8" x14ac:dyDescent="0.25">
      <c r="B5" t="s">
        <v>190</v>
      </c>
      <c r="C5" s="36" t="s">
        <v>171</v>
      </c>
      <c r="D5" t="s">
        <v>197</v>
      </c>
      <c r="E5" t="s">
        <v>185</v>
      </c>
      <c r="F5" s="38">
        <v>30.904518877349158</v>
      </c>
      <c r="G5" s="36" t="s">
        <v>72</v>
      </c>
      <c r="H5" s="36" t="s">
        <v>184</v>
      </c>
    </row>
    <row r="6" spans="1:8" x14ac:dyDescent="0.25">
      <c r="B6" t="s">
        <v>193</v>
      </c>
      <c r="D6" t="s">
        <v>66</v>
      </c>
      <c r="F6">
        <v>10.11</v>
      </c>
      <c r="G6" t="s">
        <v>192</v>
      </c>
      <c r="H6" t="s">
        <v>191</v>
      </c>
    </row>
    <row r="7" spans="1:8" x14ac:dyDescent="0.25">
      <c r="B7" t="s">
        <v>195</v>
      </c>
      <c r="C7" s="36" t="s">
        <v>172</v>
      </c>
      <c r="D7" t="s">
        <v>180</v>
      </c>
      <c r="E7" t="s">
        <v>194</v>
      </c>
      <c r="F7" s="38">
        <v>12.594511655172415</v>
      </c>
      <c r="G7" s="36" t="s">
        <v>72</v>
      </c>
      <c r="H7" t="s">
        <v>196</v>
      </c>
    </row>
    <row r="8" spans="1:8" x14ac:dyDescent="0.25">
      <c r="B8" t="s">
        <v>190</v>
      </c>
      <c r="C8" t="s">
        <v>167</v>
      </c>
      <c r="D8" t="s">
        <v>198</v>
      </c>
      <c r="E8" t="s">
        <v>200</v>
      </c>
      <c r="F8" s="37">
        <v>18.704399003254444</v>
      </c>
      <c r="G8" s="36" t="s">
        <v>72</v>
      </c>
      <c r="H8" t="s">
        <v>199</v>
      </c>
    </row>
    <row r="9" spans="1:8" x14ac:dyDescent="0.25">
      <c r="B9" t="s">
        <v>181</v>
      </c>
      <c r="C9" t="s">
        <v>177</v>
      </c>
      <c r="D9" t="s">
        <v>47</v>
      </c>
      <c r="E9" t="s">
        <v>200</v>
      </c>
      <c r="F9" s="38">
        <v>13.638888888888888</v>
      </c>
      <c r="G9" t="s">
        <v>72</v>
      </c>
      <c r="H9" t="s">
        <v>201</v>
      </c>
    </row>
    <row r="10" spans="1:8" x14ac:dyDescent="0.25">
      <c r="B10" t="s">
        <v>237</v>
      </c>
      <c r="C10" t="s">
        <v>238</v>
      </c>
      <c r="D10" t="s">
        <v>66</v>
      </c>
      <c r="E10" t="s">
        <v>247</v>
      </c>
      <c r="F10">
        <v>358.890173</v>
      </c>
      <c r="G10" t="s">
        <v>239</v>
      </c>
      <c r="H10" t="s">
        <v>240</v>
      </c>
    </row>
    <row r="11" spans="1:8" x14ac:dyDescent="0.25">
      <c r="B11" s="36" t="s">
        <v>241</v>
      </c>
      <c r="D11" t="s">
        <v>66</v>
      </c>
      <c r="E11" t="s">
        <v>246</v>
      </c>
      <c r="F11" s="36">
        <v>0.96</v>
      </c>
      <c r="G11" s="36" t="s">
        <v>244</v>
      </c>
      <c r="H11" t="s">
        <v>245</v>
      </c>
    </row>
    <row r="12" spans="1:8" x14ac:dyDescent="0.25">
      <c r="B12" s="36" t="s">
        <v>242</v>
      </c>
      <c r="D12" t="s">
        <v>66</v>
      </c>
      <c r="E12" t="s">
        <v>246</v>
      </c>
      <c r="F12" s="36">
        <v>0.85</v>
      </c>
      <c r="G12" s="36" t="s">
        <v>244</v>
      </c>
      <c r="H12" s="36" t="s">
        <v>245</v>
      </c>
    </row>
    <row r="13" spans="1:8" x14ac:dyDescent="0.25">
      <c r="B13" s="36" t="s">
        <v>243</v>
      </c>
      <c r="C13" t="s">
        <v>251</v>
      </c>
      <c r="D13" t="s">
        <v>66</v>
      </c>
      <c r="E13">
        <v>2017</v>
      </c>
      <c r="F13" s="36">
        <v>0.34</v>
      </c>
      <c r="G13" s="36" t="s">
        <v>244</v>
      </c>
      <c r="H13" s="36" t="s">
        <v>245</v>
      </c>
    </row>
    <row r="14" spans="1:8" x14ac:dyDescent="0.25">
      <c r="B14" s="36" t="s">
        <v>249</v>
      </c>
      <c r="D14" t="s">
        <v>66</v>
      </c>
      <c r="E14">
        <v>2017</v>
      </c>
      <c r="F14" s="36">
        <v>1.1299999999999999</v>
      </c>
      <c r="G14" s="44" t="s">
        <v>248</v>
      </c>
      <c r="H14" t="s">
        <v>250</v>
      </c>
    </row>
    <row r="15" spans="1:8" x14ac:dyDescent="0.25">
      <c r="B15" t="s">
        <v>51</v>
      </c>
      <c r="C15" t="s">
        <v>252</v>
      </c>
      <c r="D15" t="s">
        <v>66</v>
      </c>
      <c r="E15" t="s">
        <v>258</v>
      </c>
      <c r="F15">
        <v>463.73</v>
      </c>
      <c r="G15" s="44" t="s">
        <v>253</v>
      </c>
      <c r="H15" s="44" t="s">
        <v>254</v>
      </c>
    </row>
    <row r="16" spans="1:8" x14ac:dyDescent="0.25">
      <c r="B16" s="36" t="s">
        <v>51</v>
      </c>
      <c r="C16" s="36" t="s">
        <v>252</v>
      </c>
      <c r="D16" s="36" t="s">
        <v>66</v>
      </c>
      <c r="E16" s="36" t="s">
        <v>259</v>
      </c>
      <c r="F16">
        <v>542.36</v>
      </c>
      <c r="G16" s="44" t="s">
        <v>253</v>
      </c>
      <c r="H16" s="44" t="s">
        <v>254</v>
      </c>
    </row>
    <row r="17" spans="2:10" x14ac:dyDescent="0.25">
      <c r="B17" s="36" t="s">
        <v>51</v>
      </c>
      <c r="C17" s="36" t="s">
        <v>252</v>
      </c>
      <c r="D17" s="36" t="s">
        <v>66</v>
      </c>
      <c r="E17" s="36" t="s">
        <v>260</v>
      </c>
      <c r="F17">
        <v>511.78939999999994</v>
      </c>
      <c r="G17" s="44" t="s">
        <v>253</v>
      </c>
      <c r="H17" s="44" t="s">
        <v>254</v>
      </c>
    </row>
    <row r="18" spans="2:10" x14ac:dyDescent="0.25">
      <c r="B18" s="36" t="s">
        <v>255</v>
      </c>
      <c r="C18" s="36" t="s">
        <v>256</v>
      </c>
      <c r="D18" s="36" t="s">
        <v>66</v>
      </c>
      <c r="E18" s="36" t="s">
        <v>258</v>
      </c>
      <c r="F18">
        <v>414.81</v>
      </c>
      <c r="G18" s="44" t="s">
        <v>253</v>
      </c>
      <c r="H18" s="44" t="s">
        <v>254</v>
      </c>
    </row>
    <row r="19" spans="2:10" x14ac:dyDescent="0.25">
      <c r="B19" s="36" t="s">
        <v>255</v>
      </c>
      <c r="C19" s="36" t="s">
        <v>256</v>
      </c>
      <c r="D19" s="36" t="s">
        <v>66</v>
      </c>
      <c r="E19" s="36" t="s">
        <v>259</v>
      </c>
      <c r="F19">
        <v>506.24</v>
      </c>
      <c r="G19" s="44" t="s">
        <v>253</v>
      </c>
      <c r="H19" s="44" t="s">
        <v>254</v>
      </c>
    </row>
    <row r="20" spans="2:10" x14ac:dyDescent="0.25">
      <c r="B20" s="36" t="s">
        <v>255</v>
      </c>
      <c r="C20" s="36" t="s">
        <v>256</v>
      </c>
      <c r="D20" s="36" t="s">
        <v>66</v>
      </c>
      <c r="E20" s="36" t="s">
        <v>260</v>
      </c>
      <c r="F20">
        <v>465.02399999999994</v>
      </c>
      <c r="G20" s="44" t="s">
        <v>253</v>
      </c>
      <c r="H20" s="44" t="s">
        <v>254</v>
      </c>
    </row>
    <row r="21" spans="2:10" x14ac:dyDescent="0.25">
      <c r="B21" t="s">
        <v>257</v>
      </c>
      <c r="C21" t="s">
        <v>263</v>
      </c>
      <c r="D21" t="s">
        <v>66</v>
      </c>
      <c r="E21" t="s">
        <v>258</v>
      </c>
      <c r="F21" s="38">
        <v>4.7343499999999992</v>
      </c>
      <c r="G21" s="44" t="s">
        <v>72</v>
      </c>
      <c r="H21" s="44" t="s">
        <v>261</v>
      </c>
    </row>
    <row r="22" spans="2:10" x14ac:dyDescent="0.25">
      <c r="B22" s="36" t="s">
        <v>257</v>
      </c>
      <c r="C22" s="36" t="s">
        <v>263</v>
      </c>
      <c r="D22" s="36" t="s">
        <v>66</v>
      </c>
      <c r="E22" s="36" t="s">
        <v>259</v>
      </c>
      <c r="F22" s="38">
        <v>18.013500000000001</v>
      </c>
      <c r="G22" s="44" t="s">
        <v>72</v>
      </c>
      <c r="H22" s="44" t="s">
        <v>261</v>
      </c>
    </row>
    <row r="23" spans="2:10" x14ac:dyDescent="0.25">
      <c r="B23" s="36" t="s">
        <v>257</v>
      </c>
      <c r="C23" s="36" t="s">
        <v>263</v>
      </c>
      <c r="D23" s="36" t="s">
        <v>66</v>
      </c>
      <c r="E23" s="36" t="s">
        <v>262</v>
      </c>
      <c r="F23" s="38">
        <v>10.906712500000003</v>
      </c>
      <c r="G23" s="44" t="s">
        <v>72</v>
      </c>
      <c r="H23" s="44" t="s">
        <v>261</v>
      </c>
      <c r="J23">
        <f>F23*3.6</f>
        <v>39.264165000000013</v>
      </c>
    </row>
    <row r="24" spans="2:10" x14ac:dyDescent="0.25">
      <c r="B24" t="s">
        <v>52</v>
      </c>
      <c r="C24" s="36" t="s">
        <v>263</v>
      </c>
      <c r="D24" s="36" t="s">
        <v>66</v>
      </c>
      <c r="E24" s="36" t="s">
        <v>258</v>
      </c>
      <c r="F24" s="38">
        <f>0.038/3.6*1000</f>
        <v>10.555555555555555</v>
      </c>
      <c r="G24" s="44" t="s">
        <v>72</v>
      </c>
      <c r="H24" s="44" t="s">
        <v>261</v>
      </c>
    </row>
    <row r="25" spans="2:10" x14ac:dyDescent="0.25">
      <c r="B25" s="36" t="s">
        <v>52</v>
      </c>
      <c r="C25" s="36" t="s">
        <v>263</v>
      </c>
      <c r="D25" s="36" t="s">
        <v>66</v>
      </c>
      <c r="E25" s="36" t="s">
        <v>259</v>
      </c>
      <c r="F25" s="38">
        <f>0.368/3.6*1000</f>
        <v>102.22222222222221</v>
      </c>
      <c r="G25" s="44" t="s">
        <v>72</v>
      </c>
      <c r="H25" s="44" t="s">
        <v>261</v>
      </c>
    </row>
    <row r="26" spans="2:10" x14ac:dyDescent="0.25">
      <c r="B26" s="36" t="s">
        <v>52</v>
      </c>
      <c r="C26" s="36" t="s">
        <v>263</v>
      </c>
      <c r="D26" s="36" t="s">
        <v>66</v>
      </c>
      <c r="E26" s="36" t="s">
        <v>262</v>
      </c>
      <c r="F26" s="38">
        <f>0.0915027027027027/3.6*1000</f>
        <v>25.417417417417418</v>
      </c>
      <c r="G26" s="44" t="s">
        <v>72</v>
      </c>
      <c r="H26" s="44" t="s">
        <v>261</v>
      </c>
    </row>
    <row r="27" spans="2:10" x14ac:dyDescent="0.25">
      <c r="B27" s="36" t="s">
        <v>52</v>
      </c>
      <c r="C27" t="s">
        <v>264</v>
      </c>
      <c r="D27" s="36" t="s">
        <v>66</v>
      </c>
      <c r="E27" s="36" t="s">
        <v>258</v>
      </c>
      <c r="F27" s="38">
        <f>0.0277/3.6*1000</f>
        <v>7.6944444444444438</v>
      </c>
      <c r="G27" s="44" t="s">
        <v>72</v>
      </c>
      <c r="H27" s="44" t="s">
        <v>261</v>
      </c>
    </row>
    <row r="28" spans="2:10" x14ac:dyDescent="0.25">
      <c r="B28" s="36" t="s">
        <v>52</v>
      </c>
      <c r="C28" s="36" t="s">
        <v>264</v>
      </c>
      <c r="D28" s="36" t="s">
        <v>66</v>
      </c>
      <c r="E28" s="36" t="s">
        <v>259</v>
      </c>
      <c r="F28" s="38">
        <f>0.0716/3.6*1000</f>
        <v>19.888888888888886</v>
      </c>
      <c r="G28" s="44" t="s">
        <v>72</v>
      </c>
      <c r="H28" s="44" t="s">
        <v>261</v>
      </c>
    </row>
    <row r="29" spans="2:10" x14ac:dyDescent="0.25">
      <c r="B29" s="36" t="s">
        <v>52</v>
      </c>
      <c r="C29" s="36" t="s">
        <v>264</v>
      </c>
      <c r="D29" s="36" t="s">
        <v>66</v>
      </c>
      <c r="E29" s="36" t="s">
        <v>262</v>
      </c>
      <c r="F29" s="38">
        <f>0.0414222222222222/3.6*1000</f>
        <v>11.506172839506167</v>
      </c>
      <c r="G29" s="44" t="s">
        <v>72</v>
      </c>
      <c r="H29" s="44" t="s">
        <v>261</v>
      </c>
    </row>
    <row r="30" spans="2:10" x14ac:dyDescent="0.25">
      <c r="B30" t="s">
        <v>237</v>
      </c>
      <c r="C30" s="36" t="s">
        <v>238</v>
      </c>
      <c r="D30" s="36" t="s">
        <v>66</v>
      </c>
      <c r="E30" s="36" t="s">
        <v>247</v>
      </c>
      <c r="F30" s="37">
        <f>(F10/F14)/42</f>
        <v>7.5619505478297526</v>
      </c>
      <c r="G30" s="44" t="s">
        <v>72</v>
      </c>
      <c r="H30" s="36" t="s">
        <v>240</v>
      </c>
    </row>
    <row r="31" spans="2:10" x14ac:dyDescent="0.25">
      <c r="B31" s="36" t="s">
        <v>51</v>
      </c>
      <c r="C31" s="36" t="s">
        <v>252</v>
      </c>
      <c r="D31" s="36" t="s">
        <v>66</v>
      </c>
      <c r="E31" s="36" t="s">
        <v>258</v>
      </c>
      <c r="F31" s="38">
        <f>(F15/$F$6)/3.6</f>
        <v>12.741235300582481</v>
      </c>
      <c r="G31" s="44" t="s">
        <v>72</v>
      </c>
      <c r="H31" s="44" t="s">
        <v>254</v>
      </c>
    </row>
    <row r="32" spans="2:10" x14ac:dyDescent="0.25">
      <c r="B32" s="36" t="s">
        <v>51</v>
      </c>
      <c r="C32" s="36" t="s">
        <v>252</v>
      </c>
      <c r="D32" s="36" t="s">
        <v>66</v>
      </c>
      <c r="E32" s="36" t="s">
        <v>259</v>
      </c>
      <c r="F32" s="38">
        <f t="shared" ref="F32:F36" si="0">(F16/$F$6)/3.6</f>
        <v>14.901637542587098</v>
      </c>
      <c r="G32" s="44" t="s">
        <v>72</v>
      </c>
      <c r="H32" s="44" t="s">
        <v>254</v>
      </c>
    </row>
    <row r="33" spans="2:8" x14ac:dyDescent="0.25">
      <c r="B33" s="36" t="s">
        <v>51</v>
      </c>
      <c r="C33" s="36" t="s">
        <v>252</v>
      </c>
      <c r="D33" s="36" t="s">
        <v>66</v>
      </c>
      <c r="E33" s="36" t="s">
        <v>260</v>
      </c>
      <c r="F33" s="38">
        <f t="shared" si="0"/>
        <v>14.061693592702493</v>
      </c>
      <c r="G33" s="44" t="s">
        <v>72</v>
      </c>
      <c r="H33" s="44" t="s">
        <v>254</v>
      </c>
    </row>
    <row r="34" spans="2:8" x14ac:dyDescent="0.25">
      <c r="B34" s="36" t="s">
        <v>255</v>
      </c>
      <c r="C34" s="36" t="s">
        <v>256</v>
      </c>
      <c r="D34" s="36" t="s">
        <v>66</v>
      </c>
      <c r="E34" s="36" t="s">
        <v>258</v>
      </c>
      <c r="F34" s="38">
        <f t="shared" si="0"/>
        <v>11.397131552917903</v>
      </c>
      <c r="G34" s="44" t="s">
        <v>72</v>
      </c>
      <c r="H34" s="44" t="s">
        <v>254</v>
      </c>
    </row>
    <row r="35" spans="2:8" x14ac:dyDescent="0.25">
      <c r="B35" s="36" t="s">
        <v>255</v>
      </c>
      <c r="C35" s="36" t="s">
        <v>256</v>
      </c>
      <c r="D35" s="36" t="s">
        <v>66</v>
      </c>
      <c r="E35" s="36" t="s">
        <v>259</v>
      </c>
      <c r="F35" s="38">
        <f t="shared" si="0"/>
        <v>13.909220793493791</v>
      </c>
      <c r="G35" s="44" t="s">
        <v>72</v>
      </c>
      <c r="H35" s="44" t="s">
        <v>254</v>
      </c>
    </row>
    <row r="36" spans="2:8" x14ac:dyDescent="0.25">
      <c r="B36" s="36" t="s">
        <v>255</v>
      </c>
      <c r="C36" s="36" t="s">
        <v>256</v>
      </c>
      <c r="D36" s="36" t="s">
        <v>66</v>
      </c>
      <c r="E36" s="36" t="s">
        <v>260</v>
      </c>
      <c r="F36" s="38">
        <f t="shared" si="0"/>
        <v>12.776788658094295</v>
      </c>
      <c r="G36" s="44" t="s">
        <v>72</v>
      </c>
      <c r="H36" s="44" t="s">
        <v>254</v>
      </c>
    </row>
    <row r="37" spans="2:8" x14ac:dyDescent="0.25">
      <c r="B37" s="36" t="s">
        <v>257</v>
      </c>
      <c r="C37" s="36" t="s">
        <v>290</v>
      </c>
      <c r="D37" s="36" t="s">
        <v>66</v>
      </c>
      <c r="E37" t="s">
        <v>288</v>
      </c>
      <c r="F37" s="38">
        <f>254.6833*1.11/11.63*1.02</f>
        <v>24.793846282029232</v>
      </c>
      <c r="H37" s="44" t="s">
        <v>289</v>
      </c>
    </row>
    <row r="38" spans="2:8" x14ac:dyDescent="0.25">
      <c r="B38" s="36"/>
      <c r="C38" s="36"/>
      <c r="D38" s="36"/>
    </row>
    <row r="39" spans="2:8" x14ac:dyDescent="0.25">
      <c r="B39" s="36"/>
      <c r="C39" s="36"/>
      <c r="D39" s="36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55"/>
  <sheetViews>
    <sheetView workbookViewId="0">
      <selection activeCell="F14" sqref="F14"/>
    </sheetView>
  </sheetViews>
  <sheetFormatPr defaultColWidth="11.5703125" defaultRowHeight="15" x14ac:dyDescent="0.25"/>
  <cols>
    <col min="1" max="1" width="11.42578125" style="36"/>
    <col min="5" max="5" width="18.28515625" customWidth="1"/>
  </cols>
  <sheetData>
    <row r="1" spans="1:8" x14ac:dyDescent="0.25">
      <c r="A1" s="36" t="s">
        <v>40</v>
      </c>
      <c r="B1" s="36" t="s">
        <v>202</v>
      </c>
      <c r="C1" s="36" t="s">
        <v>4</v>
      </c>
      <c r="D1" s="36" t="s">
        <v>41</v>
      </c>
      <c r="E1" s="36" t="s">
        <v>0</v>
      </c>
      <c r="F1" s="36" t="s">
        <v>45</v>
      </c>
      <c r="G1" s="36" t="s">
        <v>1</v>
      </c>
      <c r="H1" s="36" t="s">
        <v>5</v>
      </c>
    </row>
    <row r="2" spans="1:8" x14ac:dyDescent="0.25">
      <c r="B2" t="s">
        <v>203</v>
      </c>
      <c r="D2" t="s">
        <v>204</v>
      </c>
      <c r="E2" t="s">
        <v>215</v>
      </c>
      <c r="F2">
        <f>1+0.8</f>
        <v>1.8</v>
      </c>
    </row>
    <row r="3" spans="1:8" x14ac:dyDescent="0.25">
      <c r="B3" s="36" t="s">
        <v>203</v>
      </c>
      <c r="D3" t="s">
        <v>205</v>
      </c>
      <c r="E3" s="36" t="s">
        <v>215</v>
      </c>
      <c r="F3">
        <f>1-0.8</f>
        <v>0.19999999999999996</v>
      </c>
    </row>
    <row r="4" spans="1:8" x14ac:dyDescent="0.25">
      <c r="B4" t="s">
        <v>206</v>
      </c>
      <c r="D4" t="s">
        <v>204</v>
      </c>
      <c r="E4" t="s">
        <v>75</v>
      </c>
      <c r="F4">
        <f>1+0.1</f>
        <v>1.1000000000000001</v>
      </c>
    </row>
    <row r="5" spans="1:8" x14ac:dyDescent="0.25">
      <c r="B5" t="s">
        <v>206</v>
      </c>
      <c r="D5" t="s">
        <v>205</v>
      </c>
      <c r="E5" s="36" t="s">
        <v>75</v>
      </c>
      <c r="F5">
        <f>1-0.1</f>
        <v>0.9</v>
      </c>
    </row>
    <row r="6" spans="1:8" x14ac:dyDescent="0.25">
      <c r="B6" t="s">
        <v>207</v>
      </c>
      <c r="D6" t="s">
        <v>204</v>
      </c>
      <c r="E6" t="s">
        <v>211</v>
      </c>
      <c r="F6">
        <v>5</v>
      </c>
    </row>
    <row r="7" spans="1:8" x14ac:dyDescent="0.25">
      <c r="B7" t="s">
        <v>208</v>
      </c>
      <c r="D7" t="s">
        <v>204</v>
      </c>
      <c r="E7" t="s">
        <v>212</v>
      </c>
      <c r="F7">
        <v>1.5</v>
      </c>
    </row>
    <row r="8" spans="1:8" x14ac:dyDescent="0.25">
      <c r="B8" s="36" t="s">
        <v>208</v>
      </c>
      <c r="D8" t="s">
        <v>205</v>
      </c>
      <c r="E8" s="36" t="s">
        <v>212</v>
      </c>
      <c r="F8">
        <v>0.5</v>
      </c>
    </row>
    <row r="9" spans="1:8" x14ac:dyDescent="0.25">
      <c r="B9" t="s">
        <v>209</v>
      </c>
      <c r="D9" t="s">
        <v>204</v>
      </c>
      <c r="E9" t="s">
        <v>213</v>
      </c>
      <c r="F9">
        <v>1.5</v>
      </c>
    </row>
    <row r="10" spans="1:8" x14ac:dyDescent="0.25">
      <c r="B10" s="36" t="s">
        <v>209</v>
      </c>
      <c r="D10" t="s">
        <v>205</v>
      </c>
      <c r="E10" s="36" t="s">
        <v>213</v>
      </c>
      <c r="F10">
        <v>0.5</v>
      </c>
    </row>
    <row r="11" spans="1:8" x14ac:dyDescent="0.25">
      <c r="B11" t="s">
        <v>210</v>
      </c>
      <c r="D11" t="s">
        <v>204</v>
      </c>
      <c r="E11" t="s">
        <v>214</v>
      </c>
      <c r="F11">
        <v>1.2</v>
      </c>
    </row>
    <row r="12" spans="1:8" x14ac:dyDescent="0.25">
      <c r="B12" s="36" t="s">
        <v>210</v>
      </c>
      <c r="D12" t="s">
        <v>205</v>
      </c>
      <c r="E12" s="36" t="s">
        <v>214</v>
      </c>
      <c r="F12">
        <v>0.8</v>
      </c>
    </row>
    <row r="13" spans="1:8" s="36" customFormat="1" x14ac:dyDescent="0.25">
      <c r="B13" s="36" t="s">
        <v>230</v>
      </c>
      <c r="D13" s="36" t="s">
        <v>231</v>
      </c>
      <c r="E13" s="36" t="s">
        <v>232</v>
      </c>
      <c r="F13" s="36">
        <v>0.5</v>
      </c>
    </row>
    <row r="14" spans="1:8" x14ac:dyDescent="0.25">
      <c r="B14" t="s">
        <v>216</v>
      </c>
      <c r="D14" t="s">
        <v>217</v>
      </c>
      <c r="F14">
        <v>20</v>
      </c>
      <c r="G14" t="s">
        <v>84</v>
      </c>
    </row>
    <row r="15" spans="1:8" x14ac:dyDescent="0.25">
      <c r="B15" s="36" t="s">
        <v>218</v>
      </c>
      <c r="D15" s="36" t="s">
        <v>217</v>
      </c>
      <c r="F15" s="36">
        <v>20</v>
      </c>
      <c r="G15" s="36" t="s">
        <v>84</v>
      </c>
    </row>
    <row r="16" spans="1:8" x14ac:dyDescent="0.25">
      <c r="B16" s="36" t="s">
        <v>219</v>
      </c>
      <c r="D16" s="36" t="s">
        <v>217</v>
      </c>
      <c r="F16" s="36">
        <v>20</v>
      </c>
      <c r="G16" s="36" t="s">
        <v>84</v>
      </c>
    </row>
    <row r="17" spans="2:7" x14ac:dyDescent="0.25">
      <c r="B17" s="36" t="s">
        <v>220</v>
      </c>
      <c r="D17" s="36" t="s">
        <v>217</v>
      </c>
      <c r="F17" s="36">
        <v>20</v>
      </c>
      <c r="G17" s="36" t="s">
        <v>84</v>
      </c>
    </row>
    <row r="18" spans="2:7" x14ac:dyDescent="0.25">
      <c r="B18" s="36" t="s">
        <v>221</v>
      </c>
      <c r="D18" s="36" t="s">
        <v>217</v>
      </c>
      <c r="F18" s="36">
        <v>20</v>
      </c>
      <c r="G18" s="36" t="s">
        <v>84</v>
      </c>
    </row>
    <row r="19" spans="2:7" x14ac:dyDescent="0.25">
      <c r="B19" s="36" t="s">
        <v>222</v>
      </c>
      <c r="D19" s="36" t="s">
        <v>217</v>
      </c>
      <c r="F19" s="36">
        <v>20</v>
      </c>
      <c r="G19" s="36" t="s">
        <v>84</v>
      </c>
    </row>
    <row r="20" spans="2:7" x14ac:dyDescent="0.25">
      <c r="B20" s="36" t="s">
        <v>216</v>
      </c>
      <c r="D20" t="s">
        <v>223</v>
      </c>
      <c r="F20">
        <v>50</v>
      </c>
      <c r="G20" s="36" t="s">
        <v>85</v>
      </c>
    </row>
    <row r="21" spans="2:7" x14ac:dyDescent="0.25">
      <c r="B21" s="36" t="s">
        <v>218</v>
      </c>
      <c r="D21" s="36" t="s">
        <v>223</v>
      </c>
      <c r="F21">
        <v>1300</v>
      </c>
      <c r="G21" s="36" t="s">
        <v>85</v>
      </c>
    </row>
    <row r="22" spans="2:7" x14ac:dyDescent="0.25">
      <c r="B22" s="36" t="s">
        <v>219</v>
      </c>
      <c r="D22" s="36" t="s">
        <v>223</v>
      </c>
      <c r="F22">
        <v>200</v>
      </c>
      <c r="G22" s="36" t="s">
        <v>85</v>
      </c>
    </row>
    <row r="23" spans="2:7" x14ac:dyDescent="0.25">
      <c r="B23" s="36" t="s">
        <v>220</v>
      </c>
      <c r="D23" s="36" t="s">
        <v>223</v>
      </c>
      <c r="F23">
        <v>2000</v>
      </c>
      <c r="G23" s="36" t="s">
        <v>85</v>
      </c>
    </row>
    <row r="24" spans="2:7" x14ac:dyDescent="0.25">
      <c r="B24" s="36" t="s">
        <v>221</v>
      </c>
      <c r="D24" s="36" t="s">
        <v>223</v>
      </c>
      <c r="F24">
        <v>400</v>
      </c>
      <c r="G24" s="36" t="s">
        <v>85</v>
      </c>
    </row>
    <row r="25" spans="2:7" x14ac:dyDescent="0.25">
      <c r="B25" s="36" t="s">
        <v>222</v>
      </c>
      <c r="D25" s="36" t="s">
        <v>223</v>
      </c>
      <c r="F25">
        <v>200</v>
      </c>
      <c r="G25" s="36" t="s">
        <v>85</v>
      </c>
    </row>
    <row r="26" spans="2:7" x14ac:dyDescent="0.25">
      <c r="B26" s="36" t="s">
        <v>216</v>
      </c>
      <c r="D26" t="s">
        <v>224</v>
      </c>
      <c r="F26">
        <v>1</v>
      </c>
      <c r="G26" t="s">
        <v>229</v>
      </c>
    </row>
    <row r="27" spans="2:7" x14ac:dyDescent="0.25">
      <c r="B27" s="36" t="s">
        <v>218</v>
      </c>
      <c r="D27" s="36" t="s">
        <v>224</v>
      </c>
      <c r="F27">
        <v>2</v>
      </c>
      <c r="G27" s="36" t="s">
        <v>229</v>
      </c>
    </row>
    <row r="28" spans="2:7" x14ac:dyDescent="0.25">
      <c r="B28" s="36" t="s">
        <v>219</v>
      </c>
      <c r="D28" s="36" t="s">
        <v>224</v>
      </c>
      <c r="F28">
        <v>2</v>
      </c>
      <c r="G28" s="36" t="s">
        <v>229</v>
      </c>
    </row>
    <row r="29" spans="2:7" x14ac:dyDescent="0.25">
      <c r="B29" s="36" t="s">
        <v>220</v>
      </c>
      <c r="D29" s="36" t="s">
        <v>224</v>
      </c>
      <c r="F29">
        <v>2</v>
      </c>
      <c r="G29" s="36" t="s">
        <v>229</v>
      </c>
    </row>
    <row r="30" spans="2:7" x14ac:dyDescent="0.25">
      <c r="B30" s="36" t="s">
        <v>221</v>
      </c>
      <c r="D30" s="36" t="s">
        <v>224</v>
      </c>
      <c r="F30">
        <v>1</v>
      </c>
      <c r="G30" s="36" t="s">
        <v>229</v>
      </c>
    </row>
    <row r="31" spans="2:7" x14ac:dyDescent="0.25">
      <c r="B31" s="36" t="s">
        <v>222</v>
      </c>
      <c r="D31" s="36" t="s">
        <v>224</v>
      </c>
      <c r="F31">
        <v>2</v>
      </c>
      <c r="G31" s="36" t="s">
        <v>229</v>
      </c>
    </row>
    <row r="32" spans="2:7" x14ac:dyDescent="0.25">
      <c r="B32" s="36" t="s">
        <v>216</v>
      </c>
      <c r="D32" t="s">
        <v>225</v>
      </c>
      <c r="F32">
        <v>0</v>
      </c>
      <c r="G32" s="36" t="s">
        <v>85</v>
      </c>
    </row>
    <row r="33" spans="2:7" x14ac:dyDescent="0.25">
      <c r="B33" s="36" t="s">
        <v>218</v>
      </c>
      <c r="D33" s="36" t="s">
        <v>225</v>
      </c>
      <c r="F33">
        <v>50</v>
      </c>
      <c r="G33" s="36" t="s">
        <v>85</v>
      </c>
    </row>
    <row r="34" spans="2:7" x14ac:dyDescent="0.25">
      <c r="B34" s="36" t="s">
        <v>219</v>
      </c>
      <c r="D34" s="36" t="s">
        <v>225</v>
      </c>
      <c r="F34">
        <v>2000</v>
      </c>
      <c r="G34" s="36" t="s">
        <v>85</v>
      </c>
    </row>
    <row r="35" spans="2:7" x14ac:dyDescent="0.25">
      <c r="B35" s="36" t="s">
        <v>220</v>
      </c>
      <c r="D35" s="36" t="s">
        <v>225</v>
      </c>
      <c r="F35">
        <v>50</v>
      </c>
      <c r="G35" s="36" t="s">
        <v>85</v>
      </c>
    </row>
    <row r="36" spans="2:7" x14ac:dyDescent="0.25">
      <c r="B36" s="36" t="s">
        <v>221</v>
      </c>
      <c r="D36" s="36" t="s">
        <v>225</v>
      </c>
      <c r="F36">
        <v>50</v>
      </c>
      <c r="G36" s="36" t="s">
        <v>85</v>
      </c>
    </row>
    <row r="37" spans="2:7" x14ac:dyDescent="0.25">
      <c r="B37" s="36" t="s">
        <v>222</v>
      </c>
      <c r="D37" s="36" t="s">
        <v>225</v>
      </c>
      <c r="F37">
        <v>15000</v>
      </c>
      <c r="G37" s="36" t="s">
        <v>85</v>
      </c>
    </row>
    <row r="38" spans="2:7" x14ac:dyDescent="0.25">
      <c r="B38" s="36" t="s">
        <v>216</v>
      </c>
      <c r="D38" t="s">
        <v>226</v>
      </c>
      <c r="F38">
        <v>0</v>
      </c>
      <c r="G38" s="36" t="s">
        <v>229</v>
      </c>
    </row>
    <row r="39" spans="2:7" x14ac:dyDescent="0.25">
      <c r="B39" s="36" t="s">
        <v>218</v>
      </c>
      <c r="D39" s="36" t="s">
        <v>226</v>
      </c>
      <c r="F39">
        <v>1</v>
      </c>
      <c r="G39" s="36" t="s">
        <v>229</v>
      </c>
    </row>
    <row r="40" spans="2:7" x14ac:dyDescent="0.25">
      <c r="B40" s="36" t="s">
        <v>219</v>
      </c>
      <c r="D40" s="36" t="s">
        <v>226</v>
      </c>
      <c r="F40">
        <v>3</v>
      </c>
      <c r="G40" s="36" t="s">
        <v>229</v>
      </c>
    </row>
    <row r="41" spans="2:7" x14ac:dyDescent="0.25">
      <c r="B41" s="36" t="s">
        <v>220</v>
      </c>
      <c r="D41" s="36" t="s">
        <v>226</v>
      </c>
      <c r="F41">
        <v>1</v>
      </c>
      <c r="G41" s="36" t="s">
        <v>229</v>
      </c>
    </row>
    <row r="42" spans="2:7" x14ac:dyDescent="0.25">
      <c r="B42" s="36" t="s">
        <v>221</v>
      </c>
      <c r="D42" s="36" t="s">
        <v>226</v>
      </c>
      <c r="F42">
        <v>1</v>
      </c>
      <c r="G42" s="36" t="s">
        <v>229</v>
      </c>
    </row>
    <row r="43" spans="2:7" x14ac:dyDescent="0.25">
      <c r="B43" s="36" t="s">
        <v>222</v>
      </c>
      <c r="D43" s="36" t="s">
        <v>226</v>
      </c>
      <c r="F43">
        <v>3</v>
      </c>
      <c r="G43" s="36" t="s">
        <v>229</v>
      </c>
    </row>
    <row r="44" spans="2:7" x14ac:dyDescent="0.25">
      <c r="B44" s="36" t="s">
        <v>216</v>
      </c>
      <c r="D44" t="s">
        <v>227</v>
      </c>
      <c r="F44">
        <v>0</v>
      </c>
      <c r="G44" s="36" t="s">
        <v>85</v>
      </c>
    </row>
    <row r="45" spans="2:7" x14ac:dyDescent="0.25">
      <c r="B45" s="36" t="s">
        <v>218</v>
      </c>
      <c r="D45" s="36" t="s">
        <v>227</v>
      </c>
      <c r="F45">
        <v>0</v>
      </c>
      <c r="G45" s="36" t="s">
        <v>85</v>
      </c>
    </row>
    <row r="46" spans="2:7" x14ac:dyDescent="0.25">
      <c r="B46" s="36" t="s">
        <v>219</v>
      </c>
      <c r="D46" s="36" t="s">
        <v>227</v>
      </c>
      <c r="F46">
        <v>50</v>
      </c>
      <c r="G46" s="36" t="s">
        <v>85</v>
      </c>
    </row>
    <row r="47" spans="2:7" x14ac:dyDescent="0.25">
      <c r="B47" s="36" t="s">
        <v>220</v>
      </c>
      <c r="D47" s="36" t="s">
        <v>227</v>
      </c>
      <c r="F47">
        <v>0</v>
      </c>
      <c r="G47" s="36" t="s">
        <v>85</v>
      </c>
    </row>
    <row r="48" spans="2:7" x14ac:dyDescent="0.25">
      <c r="B48" s="36" t="s">
        <v>221</v>
      </c>
      <c r="D48" s="36" t="s">
        <v>227</v>
      </c>
      <c r="F48">
        <v>0</v>
      </c>
      <c r="G48" s="36" t="s">
        <v>85</v>
      </c>
    </row>
    <row r="49" spans="2:7" x14ac:dyDescent="0.25">
      <c r="B49" s="36" t="s">
        <v>222</v>
      </c>
      <c r="D49" s="36" t="s">
        <v>227</v>
      </c>
      <c r="F49">
        <v>50</v>
      </c>
      <c r="G49" s="36" t="s">
        <v>85</v>
      </c>
    </row>
    <row r="50" spans="2:7" x14ac:dyDescent="0.25">
      <c r="B50" s="36" t="s">
        <v>216</v>
      </c>
      <c r="D50" t="s">
        <v>228</v>
      </c>
      <c r="F50">
        <v>0</v>
      </c>
      <c r="G50" s="36" t="s">
        <v>229</v>
      </c>
    </row>
    <row r="51" spans="2:7" x14ac:dyDescent="0.25">
      <c r="B51" s="36" t="s">
        <v>218</v>
      </c>
      <c r="D51" s="36" t="s">
        <v>228</v>
      </c>
      <c r="F51">
        <v>0</v>
      </c>
      <c r="G51" s="36" t="s">
        <v>229</v>
      </c>
    </row>
    <row r="52" spans="2:7" x14ac:dyDescent="0.25">
      <c r="B52" s="36" t="s">
        <v>219</v>
      </c>
      <c r="D52" s="36" t="s">
        <v>228</v>
      </c>
      <c r="F52">
        <v>1</v>
      </c>
      <c r="G52" s="36" t="s">
        <v>229</v>
      </c>
    </row>
    <row r="53" spans="2:7" x14ac:dyDescent="0.25">
      <c r="B53" s="36" t="s">
        <v>220</v>
      </c>
      <c r="D53" s="36" t="s">
        <v>228</v>
      </c>
      <c r="F53">
        <v>0</v>
      </c>
      <c r="G53" s="36" t="s">
        <v>229</v>
      </c>
    </row>
    <row r="54" spans="2:7" x14ac:dyDescent="0.25">
      <c r="B54" s="36" t="s">
        <v>221</v>
      </c>
      <c r="D54" s="36" t="s">
        <v>228</v>
      </c>
      <c r="F54">
        <v>0</v>
      </c>
      <c r="G54" s="36" t="s">
        <v>229</v>
      </c>
    </row>
    <row r="55" spans="2:7" x14ac:dyDescent="0.25">
      <c r="B55" s="36" t="s">
        <v>222</v>
      </c>
      <c r="D55" s="36" t="s">
        <v>228</v>
      </c>
      <c r="F55">
        <v>1</v>
      </c>
      <c r="G55" s="36" t="s">
        <v>229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Sourcing</vt:lpstr>
      <vt:lpstr>Supply</vt:lpstr>
      <vt:lpstr>Densification</vt:lpstr>
      <vt:lpstr>BEcarrier</vt:lpstr>
      <vt:lpstr>Distribution</vt:lpstr>
      <vt:lpstr>Conversion</vt:lpstr>
      <vt:lpstr>Ref_prices</vt:lpstr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2018-09-19T13:48:37Z</dcterms:modified>
</cp:coreProperties>
</file>