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ma\Desktop\"/>
    </mc:Choice>
  </mc:AlternateContent>
  <xr:revisionPtr revIDLastSave="0" documentId="8_{92EF70B9-BFDF-407D-BD38-4E5CFAF2496D}" xr6:coauthVersionLast="45" xr6:coauthVersionMax="45" xr10:uidLastSave="{00000000-0000-0000-0000-000000000000}"/>
  <bookViews>
    <workbookView xWindow="13935" yWindow="-16320" windowWidth="29040" windowHeight="16440" tabRatio="954" activeTab="8" xr2:uid="{00000000-000D-0000-FFFF-FFFF00000000}"/>
  </bookViews>
  <sheets>
    <sheet name="READ ME" sheetId="18" r:id="rId1"/>
    <sheet name="Income" sheetId="2" r:id="rId2"/>
    <sheet name="Labor" sheetId="3" r:id="rId3"/>
    <sheet name="Expenses" sheetId="4" r:id="rId4"/>
    <sheet name="Sources and Uses" sheetId="10" r:id="rId5"/>
    <sheet name="Debt" sheetId="11" r:id="rId6"/>
    <sheet name="12 month PL" sheetId="7" r:id="rId7"/>
    <sheet name="12 month Cash" sheetId="19" r:id="rId8"/>
    <sheet name="10 year P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4" l="1"/>
  <c r="K26" i="14"/>
  <c r="J26" i="14"/>
  <c r="I26" i="14"/>
  <c r="H26" i="14"/>
  <c r="G26" i="14"/>
  <c r="F26" i="14"/>
  <c r="E26" i="14"/>
  <c r="D26" i="14"/>
  <c r="C26" i="14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C10" i="19" l="1"/>
  <c r="A1" i="19"/>
  <c r="B31" i="3"/>
  <c r="B28" i="3"/>
  <c r="C26" i="3"/>
  <c r="C27" i="3"/>
  <c r="C25" i="3"/>
  <c r="C28" i="3" l="1"/>
  <c r="B19" i="2"/>
  <c r="B42" i="14" l="1"/>
  <c r="B34" i="14"/>
  <c r="B26" i="14"/>
  <c r="B18" i="14"/>
  <c r="A1" i="14"/>
  <c r="B18" i="4"/>
  <c r="B19" i="4" s="1"/>
  <c r="B24" i="4" s="1"/>
  <c r="B17" i="4"/>
  <c r="B70" i="4"/>
  <c r="G70" i="4" s="1"/>
  <c r="B69" i="4"/>
  <c r="G69" i="4" s="1"/>
  <c r="D32" i="11"/>
  <c r="C29" i="11"/>
  <c r="B19" i="11"/>
  <c r="B18" i="11"/>
  <c r="B20" i="11" s="1"/>
  <c r="L32" i="11" l="1"/>
  <c r="L35" i="7" s="1"/>
  <c r="L14" i="19" s="1"/>
  <c r="E32" i="11"/>
  <c r="E35" i="7" s="1"/>
  <c r="E14" i="19" s="1"/>
  <c r="M32" i="11"/>
  <c r="M35" i="7" s="1"/>
  <c r="M14" i="19" s="1"/>
  <c r="B36" i="14"/>
  <c r="B44" i="14" s="1"/>
  <c r="H33" i="11"/>
  <c r="H32" i="11"/>
  <c r="H35" i="7" s="1"/>
  <c r="H14" i="19" s="1"/>
  <c r="I32" i="11"/>
  <c r="I35" i="7" s="1"/>
  <c r="I14" i="19" s="1"/>
  <c r="C69" i="4"/>
  <c r="I70" i="4"/>
  <c r="F69" i="4"/>
  <c r="N70" i="4"/>
  <c r="F70" i="4"/>
  <c r="N69" i="4"/>
  <c r="M70" i="4"/>
  <c r="E70" i="4"/>
  <c r="J69" i="4"/>
  <c r="J70" i="4"/>
  <c r="M69" i="4"/>
  <c r="I69" i="4"/>
  <c r="E69" i="4"/>
  <c r="L69" i="4"/>
  <c r="H69" i="4"/>
  <c r="D69" i="4"/>
  <c r="L70" i="4"/>
  <c r="H70" i="4"/>
  <c r="D70" i="4"/>
  <c r="K69" i="4"/>
  <c r="C70" i="4"/>
  <c r="K70" i="4"/>
  <c r="F32" i="11"/>
  <c r="J32" i="11"/>
  <c r="J35" i="7" s="1"/>
  <c r="J14" i="19" s="1"/>
  <c r="N32" i="11"/>
  <c r="N35" i="7" s="1"/>
  <c r="N14" i="19" s="1"/>
  <c r="I33" i="11"/>
  <c r="I31" i="11" s="1"/>
  <c r="G32" i="11"/>
  <c r="K32" i="11"/>
  <c r="D35" i="7"/>
  <c r="D14" i="19" s="1"/>
  <c r="M33" i="11"/>
  <c r="M31" i="11" s="1"/>
  <c r="E33" i="11"/>
  <c r="E31" i="11" s="1"/>
  <c r="L33" i="11"/>
  <c r="D33" i="11"/>
  <c r="D31" i="11" s="1"/>
  <c r="C32" i="11"/>
  <c r="C33" i="11"/>
  <c r="K33" i="11"/>
  <c r="G33" i="11"/>
  <c r="N33" i="11"/>
  <c r="J33" i="11"/>
  <c r="F33" i="11"/>
  <c r="A1" i="11"/>
  <c r="B54" i="10"/>
  <c r="B27" i="10"/>
  <c r="A1" i="10"/>
  <c r="A71" i="4"/>
  <c r="A58" i="4"/>
  <c r="A44" i="4"/>
  <c r="A29" i="4"/>
  <c r="N26" i="4"/>
  <c r="M26" i="4"/>
  <c r="L26" i="4"/>
  <c r="K26" i="4"/>
  <c r="J26" i="4"/>
  <c r="I26" i="4"/>
  <c r="H26" i="4"/>
  <c r="G26" i="4"/>
  <c r="F26" i="4"/>
  <c r="E26" i="4"/>
  <c r="D26" i="4"/>
  <c r="C26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5" i="4"/>
  <c r="M25" i="4"/>
  <c r="L25" i="4"/>
  <c r="K25" i="4"/>
  <c r="J25" i="4"/>
  <c r="I25" i="4"/>
  <c r="H25" i="4"/>
  <c r="G25" i="4"/>
  <c r="F25" i="4"/>
  <c r="E25" i="4"/>
  <c r="D25" i="4"/>
  <c r="C25" i="4"/>
  <c r="A1" i="4"/>
  <c r="N44" i="3"/>
  <c r="N19" i="7" s="1"/>
  <c r="M44" i="3"/>
  <c r="M19" i="7" s="1"/>
  <c r="L44" i="3"/>
  <c r="L19" i="7" s="1"/>
  <c r="K44" i="3"/>
  <c r="K19" i="7" s="1"/>
  <c r="J44" i="3"/>
  <c r="J19" i="7" s="1"/>
  <c r="I44" i="3"/>
  <c r="I19" i="7" s="1"/>
  <c r="H44" i="3"/>
  <c r="H19" i="7" s="1"/>
  <c r="G44" i="3"/>
  <c r="G19" i="7" s="1"/>
  <c r="F44" i="3"/>
  <c r="F19" i="7" s="1"/>
  <c r="E44" i="3"/>
  <c r="E19" i="7" s="1"/>
  <c r="D44" i="3"/>
  <c r="D19" i="7" s="1"/>
  <c r="C44" i="3"/>
  <c r="C19" i="7" s="1"/>
  <c r="N43" i="3"/>
  <c r="N18" i="7" s="1"/>
  <c r="M43" i="3"/>
  <c r="M18" i="7" s="1"/>
  <c r="L43" i="3"/>
  <c r="L18" i="7" s="1"/>
  <c r="K43" i="3"/>
  <c r="K18" i="7" s="1"/>
  <c r="J43" i="3"/>
  <c r="J18" i="7" s="1"/>
  <c r="I43" i="3"/>
  <c r="I18" i="7" s="1"/>
  <c r="H43" i="3"/>
  <c r="H18" i="7" s="1"/>
  <c r="G43" i="3"/>
  <c r="G18" i="7" s="1"/>
  <c r="F43" i="3"/>
  <c r="F18" i="7" s="1"/>
  <c r="E43" i="3"/>
  <c r="E18" i="7" s="1"/>
  <c r="D43" i="3"/>
  <c r="D18" i="7" s="1"/>
  <c r="C43" i="3"/>
  <c r="C18" i="7" s="1"/>
  <c r="N42" i="3"/>
  <c r="N17" i="7" s="1"/>
  <c r="M42" i="3"/>
  <c r="M17" i="7" s="1"/>
  <c r="L42" i="3"/>
  <c r="L17" i="7" s="1"/>
  <c r="K42" i="3"/>
  <c r="K17" i="7" s="1"/>
  <c r="J42" i="3"/>
  <c r="J17" i="7" s="1"/>
  <c r="I42" i="3"/>
  <c r="I17" i="7" s="1"/>
  <c r="H42" i="3"/>
  <c r="H17" i="7" s="1"/>
  <c r="G42" i="3"/>
  <c r="G17" i="7" s="1"/>
  <c r="F42" i="3"/>
  <c r="F17" i="7" s="1"/>
  <c r="E42" i="3"/>
  <c r="E17" i="7" s="1"/>
  <c r="D42" i="3"/>
  <c r="D17" i="7" s="1"/>
  <c r="C42" i="3"/>
  <c r="C17" i="7" s="1"/>
  <c r="M36" i="7" l="1"/>
  <c r="H36" i="7"/>
  <c r="E36" i="7"/>
  <c r="I36" i="7"/>
  <c r="L36" i="7"/>
  <c r="L31" i="11"/>
  <c r="H31" i="11"/>
  <c r="C35" i="7"/>
  <c r="C14" i="19" s="1"/>
  <c r="D36" i="7"/>
  <c r="N36" i="7"/>
  <c r="J36" i="7"/>
  <c r="O70" i="4"/>
  <c r="O69" i="4"/>
  <c r="C31" i="11"/>
  <c r="C35" i="11" s="1"/>
  <c r="D29" i="11" s="1"/>
  <c r="D35" i="11" s="1"/>
  <c r="E29" i="11" s="1"/>
  <c r="E35" i="11" s="1"/>
  <c r="F29" i="11" s="1"/>
  <c r="J31" i="11"/>
  <c r="G31" i="11"/>
  <c r="G35" i="7"/>
  <c r="G14" i="19" s="1"/>
  <c r="N31" i="11"/>
  <c r="K31" i="11"/>
  <c r="K35" i="7"/>
  <c r="K14" i="19" s="1"/>
  <c r="F31" i="11"/>
  <c r="F35" i="7"/>
  <c r="F14" i="19" s="1"/>
  <c r="D58" i="4"/>
  <c r="O54" i="4"/>
  <c r="I58" i="4"/>
  <c r="L58" i="4"/>
  <c r="O26" i="4"/>
  <c r="O25" i="4"/>
  <c r="O27" i="4"/>
  <c r="O28" i="4"/>
  <c r="O19" i="7"/>
  <c r="C25" i="14" s="1"/>
  <c r="O17" i="7"/>
  <c r="C23" i="14" s="1"/>
  <c r="O18" i="7"/>
  <c r="C24" i="14" s="1"/>
  <c r="O43" i="3"/>
  <c r="O44" i="3"/>
  <c r="O42" i="3"/>
  <c r="C36" i="7" l="1"/>
  <c r="I26" i="7"/>
  <c r="I85" i="4"/>
  <c r="D26" i="7"/>
  <c r="D85" i="4"/>
  <c r="L26" i="7"/>
  <c r="L85" i="4"/>
  <c r="F36" i="7"/>
  <c r="K36" i="7"/>
  <c r="G36" i="7"/>
  <c r="O71" i="4"/>
  <c r="N71" i="4"/>
  <c r="M71" i="4"/>
  <c r="H71" i="4"/>
  <c r="D71" i="4"/>
  <c r="F71" i="4"/>
  <c r="K71" i="4"/>
  <c r="E71" i="4"/>
  <c r="L71" i="4"/>
  <c r="G71" i="4"/>
  <c r="C71" i="4"/>
  <c r="J71" i="4"/>
  <c r="I71" i="4"/>
  <c r="O35" i="7"/>
  <c r="C41" i="14" s="1"/>
  <c r="F35" i="11"/>
  <c r="G29" i="11" s="1"/>
  <c r="G35" i="11" s="1"/>
  <c r="H29" i="11" s="1"/>
  <c r="H35" i="11" s="1"/>
  <c r="I29" i="11" s="1"/>
  <c r="I35" i="11" s="1"/>
  <c r="J29" i="11" s="1"/>
  <c r="J35" i="11" s="1"/>
  <c r="K29" i="11" s="1"/>
  <c r="K35" i="11" s="1"/>
  <c r="L29" i="11" s="1"/>
  <c r="L35" i="11" s="1"/>
  <c r="M29" i="11" s="1"/>
  <c r="M35" i="11" s="1"/>
  <c r="N29" i="11" s="1"/>
  <c r="N35" i="11" s="1"/>
  <c r="B16" i="10"/>
  <c r="B29" i="10" s="1"/>
  <c r="E58" i="4"/>
  <c r="M58" i="4"/>
  <c r="H58" i="4"/>
  <c r="K58" i="4"/>
  <c r="O56" i="4"/>
  <c r="N58" i="4"/>
  <c r="O55" i="4"/>
  <c r="G58" i="4"/>
  <c r="J58" i="4"/>
  <c r="O57" i="4"/>
  <c r="O53" i="4"/>
  <c r="C58" i="4"/>
  <c r="F58" i="4"/>
  <c r="F26" i="7" l="1"/>
  <c r="F85" i="4"/>
  <c r="E26" i="7"/>
  <c r="E85" i="4"/>
  <c r="I86" i="4"/>
  <c r="L86" i="4"/>
  <c r="D86" i="4"/>
  <c r="O86" i="4"/>
  <c r="C26" i="7"/>
  <c r="C85" i="4"/>
  <c r="G26" i="7"/>
  <c r="G85" i="4"/>
  <c r="K26" i="7"/>
  <c r="K85" i="4"/>
  <c r="J86" i="4"/>
  <c r="E86" i="4"/>
  <c r="H86" i="4"/>
  <c r="J26" i="7"/>
  <c r="J85" i="4"/>
  <c r="H26" i="7"/>
  <c r="H85" i="4"/>
  <c r="C86" i="4"/>
  <c r="K86" i="4"/>
  <c r="M86" i="4"/>
  <c r="N26" i="7"/>
  <c r="N85" i="4"/>
  <c r="M26" i="7"/>
  <c r="M85" i="4"/>
  <c r="G86" i="4"/>
  <c r="F86" i="4"/>
  <c r="N86" i="4"/>
  <c r="O36" i="7"/>
  <c r="C42" i="14"/>
  <c r="I27" i="7"/>
  <c r="I13" i="19" s="1"/>
  <c r="D27" i="7"/>
  <c r="D13" i="19" s="1"/>
  <c r="J27" i="7"/>
  <c r="J13" i="19" s="1"/>
  <c r="E27" i="7"/>
  <c r="E13" i="19" s="1"/>
  <c r="H27" i="7"/>
  <c r="H13" i="19" s="1"/>
  <c r="C27" i="7"/>
  <c r="C13" i="19" s="1"/>
  <c r="K27" i="7"/>
  <c r="K13" i="19" s="1"/>
  <c r="M27" i="7"/>
  <c r="M13" i="19" s="1"/>
  <c r="G27" i="7"/>
  <c r="G13" i="19" s="1"/>
  <c r="F27" i="7"/>
  <c r="F13" i="19" s="1"/>
  <c r="N27" i="7"/>
  <c r="N13" i="19" s="1"/>
  <c r="L27" i="7"/>
  <c r="L13" i="19" s="1"/>
  <c r="O27" i="7"/>
  <c r="C33" i="14" s="1"/>
  <c r="B41" i="10"/>
  <c r="B43" i="10" s="1"/>
  <c r="B55" i="10" s="1"/>
  <c r="O58" i="4"/>
  <c r="A6" i="11" l="1"/>
  <c r="O26" i="7"/>
  <c r="C32" i="14" s="1"/>
  <c r="O85" i="4"/>
  <c r="B57" i="10"/>
  <c r="C54" i="10" s="1"/>
  <c r="C55" i="10" l="1"/>
  <c r="I19" i="3" l="1"/>
  <c r="H19" i="3"/>
  <c r="G19" i="3"/>
  <c r="F19" i="3"/>
  <c r="E19" i="3"/>
  <c r="D19" i="3"/>
  <c r="C19" i="3"/>
  <c r="J12" i="3"/>
  <c r="K12" i="3" s="1"/>
  <c r="L12" i="3" s="1"/>
  <c r="J13" i="3"/>
  <c r="K13" i="3" s="1"/>
  <c r="J14" i="3"/>
  <c r="K14" i="3" s="1"/>
  <c r="L14" i="3" s="1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1" i="3"/>
  <c r="K11" i="3" s="1"/>
  <c r="L11" i="3" s="1"/>
  <c r="L13" i="3" l="1"/>
  <c r="K19" i="3"/>
  <c r="J19" i="3"/>
  <c r="L19" i="3" l="1"/>
  <c r="M14" i="3"/>
  <c r="N14" i="3" s="1"/>
  <c r="M17" i="3"/>
  <c r="N17" i="3" s="1"/>
  <c r="M16" i="3"/>
  <c r="N16" i="3" s="1"/>
  <c r="M11" i="3"/>
  <c r="N11" i="3" s="1"/>
  <c r="M12" i="3"/>
  <c r="N12" i="3" s="1"/>
  <c r="M18" i="3"/>
  <c r="N18" i="3" s="1"/>
  <c r="M13" i="3"/>
  <c r="N13" i="3" s="1"/>
  <c r="M15" i="3"/>
  <c r="N15" i="3" s="1"/>
  <c r="M19" i="3" l="1"/>
  <c r="B30" i="3" s="1"/>
  <c r="N19" i="3" l="1"/>
  <c r="B32" i="3"/>
  <c r="L41" i="3" l="1"/>
  <c r="H41" i="3"/>
  <c r="D41" i="3"/>
  <c r="K41" i="3"/>
  <c r="G41" i="3"/>
  <c r="C41" i="3"/>
  <c r="N41" i="3"/>
  <c r="J41" i="3"/>
  <c r="F41" i="3"/>
  <c r="M41" i="3"/>
  <c r="I41" i="3"/>
  <c r="E41" i="3"/>
  <c r="M45" i="3" l="1"/>
  <c r="M55" i="3" s="1"/>
  <c r="M16" i="7"/>
  <c r="H45" i="3"/>
  <c r="H55" i="3" s="1"/>
  <c r="H16" i="7"/>
  <c r="F45" i="3"/>
  <c r="F55" i="3" s="1"/>
  <c r="F16" i="7"/>
  <c r="G45" i="3"/>
  <c r="G55" i="3" s="1"/>
  <c r="G16" i="7"/>
  <c r="L45" i="3"/>
  <c r="L55" i="3" s="1"/>
  <c r="L16" i="7"/>
  <c r="E45" i="3"/>
  <c r="E55" i="3" s="1"/>
  <c r="E16" i="7"/>
  <c r="J45" i="3"/>
  <c r="J55" i="3" s="1"/>
  <c r="J16" i="7"/>
  <c r="K45" i="3"/>
  <c r="K55" i="3" s="1"/>
  <c r="K16" i="7"/>
  <c r="I45" i="3"/>
  <c r="I55" i="3" s="1"/>
  <c r="I16" i="7"/>
  <c r="N45" i="3"/>
  <c r="N55" i="3" s="1"/>
  <c r="N16" i="7"/>
  <c r="D45" i="3"/>
  <c r="D55" i="3" s="1"/>
  <c r="D16" i="7"/>
  <c r="C16" i="7"/>
  <c r="C45" i="3"/>
  <c r="C55" i="3" s="1"/>
  <c r="O41" i="3"/>
  <c r="O45" i="3" s="1"/>
  <c r="O55" i="3" s="1"/>
  <c r="A1" i="3" l="1"/>
  <c r="A1" i="7"/>
  <c r="B23" i="2"/>
  <c r="B24" i="2" s="1"/>
  <c r="B43" i="2"/>
  <c r="E43" i="2" s="1"/>
  <c r="B27" i="2"/>
  <c r="B20" i="2"/>
  <c r="A1" i="2"/>
  <c r="B30" i="2" l="1"/>
  <c r="O16" i="7"/>
  <c r="C22" i="14" s="1"/>
  <c r="B29" i="2"/>
  <c r="B42" i="2" s="1"/>
  <c r="C42" i="2" s="1"/>
  <c r="L43" i="2"/>
  <c r="H43" i="2"/>
  <c r="D43" i="2"/>
  <c r="C43" i="2"/>
  <c r="K43" i="2"/>
  <c r="G43" i="2"/>
  <c r="N43" i="2"/>
  <c r="J43" i="2"/>
  <c r="F43" i="2"/>
  <c r="B28" i="2"/>
  <c r="M43" i="2"/>
  <c r="I43" i="2"/>
  <c r="C47" i="2" l="1"/>
  <c r="C48" i="2" s="1"/>
  <c r="D42" i="2"/>
  <c r="D47" i="2" s="1"/>
  <c r="D48" i="2" s="1"/>
  <c r="C44" i="2"/>
  <c r="C71" i="2" s="1"/>
  <c r="C72" i="2" s="1"/>
  <c r="C36" i="4" l="1"/>
  <c r="C80" i="4"/>
  <c r="C54" i="3"/>
  <c r="C56" i="3" s="1"/>
  <c r="C97" i="2"/>
  <c r="C10" i="7"/>
  <c r="E42" i="2"/>
  <c r="E47" i="2" s="1"/>
  <c r="E48" i="2" s="1"/>
  <c r="D44" i="2"/>
  <c r="D71" i="2" l="1"/>
  <c r="D72" i="2" s="1"/>
  <c r="D80" i="4" s="1"/>
  <c r="C98" i="2"/>
  <c r="C99" i="2" s="1"/>
  <c r="C100" i="2" s="1"/>
  <c r="C41" i="4"/>
  <c r="C40" i="4"/>
  <c r="C42" i="4"/>
  <c r="C39" i="4"/>
  <c r="C43" i="4"/>
  <c r="E44" i="2"/>
  <c r="E71" i="2" s="1"/>
  <c r="E72" i="2" s="1"/>
  <c r="E80" i="4" s="1"/>
  <c r="F42" i="2"/>
  <c r="F47" i="2" s="1"/>
  <c r="F48" i="2" s="1"/>
  <c r="D97" i="2" l="1"/>
  <c r="D98" i="2" s="1"/>
  <c r="D11" i="7" s="1"/>
  <c r="D36" i="4"/>
  <c r="D43" i="4" s="1"/>
  <c r="D54" i="3"/>
  <c r="D56" i="3" s="1"/>
  <c r="D10" i="7"/>
  <c r="E54" i="3"/>
  <c r="E56" i="3" s="1"/>
  <c r="C44" i="4"/>
  <c r="C11" i="7"/>
  <c r="E36" i="4"/>
  <c r="E97" i="2"/>
  <c r="E10" i="7"/>
  <c r="F44" i="2"/>
  <c r="F71" i="2" s="1"/>
  <c r="F72" i="2" s="1"/>
  <c r="F80" i="4" s="1"/>
  <c r="G42" i="2"/>
  <c r="G47" i="2" s="1"/>
  <c r="G48" i="2" s="1"/>
  <c r="D40" i="4" l="1"/>
  <c r="D41" i="4"/>
  <c r="D42" i="4"/>
  <c r="D39" i="4"/>
  <c r="D12" i="7"/>
  <c r="F54" i="3"/>
  <c r="F56" i="3" s="1"/>
  <c r="C84" i="4"/>
  <c r="C25" i="7"/>
  <c r="F36" i="4"/>
  <c r="F97" i="2"/>
  <c r="F10" i="7"/>
  <c r="E98" i="2"/>
  <c r="E11" i="7" s="1"/>
  <c r="E12" i="7" s="1"/>
  <c r="D99" i="2"/>
  <c r="D100" i="2" s="1"/>
  <c r="E42" i="4"/>
  <c r="E41" i="4"/>
  <c r="E39" i="4"/>
  <c r="E40" i="4"/>
  <c r="E43" i="4"/>
  <c r="C12" i="7"/>
  <c r="G44" i="2"/>
  <c r="G71" i="2" s="1"/>
  <c r="G72" i="2" s="1"/>
  <c r="G80" i="4" s="1"/>
  <c r="H42" i="2"/>
  <c r="H47" i="2" s="1"/>
  <c r="H48" i="2" s="1"/>
  <c r="D44" i="4" l="1"/>
  <c r="G54" i="3"/>
  <c r="G56" i="3" s="1"/>
  <c r="E99" i="2"/>
  <c r="E100" i="2" s="1"/>
  <c r="E44" i="4"/>
  <c r="F98" i="2"/>
  <c r="G36" i="4"/>
  <c r="G97" i="2"/>
  <c r="G10" i="7"/>
  <c r="F42" i="4"/>
  <c r="F41" i="4"/>
  <c r="F40" i="4"/>
  <c r="F43" i="4"/>
  <c r="F39" i="4"/>
  <c r="H44" i="2"/>
  <c r="H71" i="2" s="1"/>
  <c r="H72" i="2" s="1"/>
  <c r="H80" i="4" s="1"/>
  <c r="I42" i="2"/>
  <c r="I47" i="2" s="1"/>
  <c r="I48" i="2" s="1"/>
  <c r="D25" i="7" l="1"/>
  <c r="D84" i="4"/>
  <c r="H54" i="3"/>
  <c r="H56" i="3" s="1"/>
  <c r="E84" i="4"/>
  <c r="E25" i="7"/>
  <c r="F44" i="4"/>
  <c r="G98" i="2"/>
  <c r="G11" i="7" s="1"/>
  <c r="G12" i="7" s="1"/>
  <c r="H36" i="4"/>
  <c r="H97" i="2"/>
  <c r="H10" i="7"/>
  <c r="G42" i="4"/>
  <c r="G41" i="4"/>
  <c r="G40" i="4"/>
  <c r="G43" i="4"/>
  <c r="G39" i="4"/>
  <c r="F11" i="7"/>
  <c r="F99" i="2"/>
  <c r="F100" i="2" s="1"/>
  <c r="I44" i="2"/>
  <c r="I71" i="2" s="1"/>
  <c r="I72" i="2" s="1"/>
  <c r="I80" i="4" s="1"/>
  <c r="J42" i="2"/>
  <c r="J47" i="2" s="1"/>
  <c r="J48" i="2" s="1"/>
  <c r="I54" i="3" l="1"/>
  <c r="I56" i="3" s="1"/>
  <c r="F84" i="4"/>
  <c r="F25" i="7"/>
  <c r="G44" i="4"/>
  <c r="H39" i="4"/>
  <c r="H43" i="4"/>
  <c r="H42" i="4"/>
  <c r="H41" i="4"/>
  <c r="H40" i="4"/>
  <c r="I36" i="4"/>
  <c r="I97" i="2"/>
  <c r="I10" i="7"/>
  <c r="F12" i="7"/>
  <c r="H98" i="2"/>
  <c r="H99" i="2" s="1"/>
  <c r="H100" i="2" s="1"/>
  <c r="G99" i="2"/>
  <c r="G100" i="2" s="1"/>
  <c r="J44" i="2"/>
  <c r="J71" i="2" s="1"/>
  <c r="J72" i="2" s="1"/>
  <c r="J80" i="4" s="1"/>
  <c r="K42" i="2"/>
  <c r="K47" i="2" s="1"/>
  <c r="K48" i="2" s="1"/>
  <c r="J54" i="3" l="1"/>
  <c r="J56" i="3" s="1"/>
  <c r="G84" i="4"/>
  <c r="G25" i="7"/>
  <c r="H44" i="4"/>
  <c r="J36" i="4"/>
  <c r="J97" i="2"/>
  <c r="J10" i="7"/>
  <c r="I98" i="2"/>
  <c r="I11" i="7" s="1"/>
  <c r="I12" i="7" s="1"/>
  <c r="H11" i="7"/>
  <c r="I43" i="4"/>
  <c r="I39" i="4"/>
  <c r="I42" i="4"/>
  <c r="I41" i="4"/>
  <c r="I40" i="4"/>
  <c r="K44" i="2"/>
  <c r="K71" i="2" s="1"/>
  <c r="K72" i="2" s="1"/>
  <c r="K80" i="4" s="1"/>
  <c r="L42" i="2"/>
  <c r="L47" i="2" s="1"/>
  <c r="L48" i="2" s="1"/>
  <c r="K54" i="3" l="1"/>
  <c r="K56" i="3" s="1"/>
  <c r="H84" i="4"/>
  <c r="H25" i="7"/>
  <c r="J43" i="4"/>
  <c r="J39" i="4"/>
  <c r="J42" i="4"/>
  <c r="J40" i="4"/>
  <c r="J41" i="4"/>
  <c r="I99" i="2"/>
  <c r="I100" i="2" s="1"/>
  <c r="K36" i="4"/>
  <c r="K97" i="2"/>
  <c r="K10" i="7"/>
  <c r="H12" i="7"/>
  <c r="I44" i="4"/>
  <c r="J98" i="2"/>
  <c r="J11" i="7" s="1"/>
  <c r="J12" i="7" s="1"/>
  <c r="L44" i="2"/>
  <c r="L71" i="2" s="1"/>
  <c r="L72" i="2" s="1"/>
  <c r="L80" i="4" s="1"/>
  <c r="M42" i="2"/>
  <c r="M47" i="2" s="1"/>
  <c r="M48" i="2" s="1"/>
  <c r="L54" i="3" l="1"/>
  <c r="L56" i="3" s="1"/>
  <c r="I84" i="4"/>
  <c r="I25" i="7"/>
  <c r="K39" i="4"/>
  <c r="K42" i="4"/>
  <c r="K43" i="4"/>
  <c r="K41" i="4"/>
  <c r="K40" i="4"/>
  <c r="J99" i="2"/>
  <c r="J100" i="2" s="1"/>
  <c r="L36" i="4"/>
  <c r="L97" i="2"/>
  <c r="L10" i="7"/>
  <c r="J44" i="4"/>
  <c r="K98" i="2"/>
  <c r="K11" i="7" s="1"/>
  <c r="M44" i="2"/>
  <c r="M71" i="2" s="1"/>
  <c r="M72" i="2" s="1"/>
  <c r="M80" i="4" s="1"/>
  <c r="N42" i="2"/>
  <c r="N47" i="2" s="1"/>
  <c r="N48" i="2" s="1"/>
  <c r="M54" i="3" l="1"/>
  <c r="M56" i="3" s="1"/>
  <c r="J84" i="4"/>
  <c r="J25" i="7"/>
  <c r="L40" i="4"/>
  <c r="L39" i="4"/>
  <c r="L43" i="4"/>
  <c r="L42" i="4"/>
  <c r="L41" i="4"/>
  <c r="K12" i="7"/>
  <c r="M36" i="4"/>
  <c r="M97" i="2"/>
  <c r="M10" i="7"/>
  <c r="K44" i="4"/>
  <c r="K99" i="2"/>
  <c r="K100" i="2" s="1"/>
  <c r="L98" i="2"/>
  <c r="L11" i="7" s="1"/>
  <c r="L12" i="7" s="1"/>
  <c r="N44" i="2"/>
  <c r="L99" i="2" l="1"/>
  <c r="L100" i="2" s="1"/>
  <c r="K84" i="4"/>
  <c r="K25" i="7"/>
  <c r="L44" i="4"/>
  <c r="M40" i="4"/>
  <c r="M43" i="4"/>
  <c r="M39" i="4"/>
  <c r="M41" i="4"/>
  <c r="M42" i="4"/>
  <c r="M98" i="2"/>
  <c r="M11" i="7" s="1"/>
  <c r="M12" i="7" s="1"/>
  <c r="O44" i="2"/>
  <c r="N71" i="2"/>
  <c r="N72" i="2" s="1"/>
  <c r="N80" i="4" s="1"/>
  <c r="N54" i="3" l="1"/>
  <c r="N56" i="3" s="1"/>
  <c r="M99" i="2"/>
  <c r="M100" i="2" s="1"/>
  <c r="L84" i="4"/>
  <c r="L25" i="7"/>
  <c r="M44" i="4"/>
  <c r="N36" i="4"/>
  <c r="N97" i="2"/>
  <c r="N10" i="7"/>
  <c r="O72" i="2"/>
  <c r="O80" i="4" s="1"/>
  <c r="O36" i="4" l="1"/>
  <c r="O54" i="3"/>
  <c r="O56" i="3" s="1"/>
  <c r="M84" i="4"/>
  <c r="M25" i="7"/>
  <c r="O10" i="7"/>
  <c r="N98" i="2"/>
  <c r="O97" i="2"/>
  <c r="N40" i="4"/>
  <c r="O40" i="4" s="1"/>
  <c r="N43" i="4"/>
  <c r="O43" i="4" s="1"/>
  <c r="N39" i="4"/>
  <c r="N42" i="4"/>
  <c r="O42" i="4" s="1"/>
  <c r="N41" i="4"/>
  <c r="O41" i="4" s="1"/>
  <c r="C16" i="14" l="1"/>
  <c r="B36" i="7"/>
  <c r="N44" i="4"/>
  <c r="O39" i="4"/>
  <c r="O44" i="4" s="1"/>
  <c r="N11" i="7"/>
  <c r="O98" i="2"/>
  <c r="O99" i="2" s="1"/>
  <c r="O100" i="2" s="1"/>
  <c r="N99" i="2"/>
  <c r="N100" i="2" s="1"/>
  <c r="B35" i="7"/>
  <c r="B26" i="7"/>
  <c r="B17" i="7"/>
  <c r="B27" i="7"/>
  <c r="B18" i="7"/>
  <c r="B19" i="7"/>
  <c r="B16" i="7"/>
  <c r="B20" i="7"/>
  <c r="O84" i="4" l="1"/>
  <c r="N84" i="4"/>
  <c r="D16" i="14"/>
  <c r="E16" i="14" s="1"/>
  <c r="N25" i="7"/>
  <c r="O25" i="7" s="1"/>
  <c r="O11" i="7"/>
  <c r="C17" i="14" s="1"/>
  <c r="C18" i="14" s="1"/>
  <c r="N12" i="7"/>
  <c r="E25" i="14" l="1"/>
  <c r="E32" i="14"/>
  <c r="E41" i="14"/>
  <c r="E22" i="14"/>
  <c r="E33" i="14"/>
  <c r="E23" i="14"/>
  <c r="E30" i="14"/>
  <c r="E17" i="14"/>
  <c r="E18" i="14" s="1"/>
  <c r="E24" i="14"/>
  <c r="E31" i="14"/>
  <c r="B25" i="7"/>
  <c r="C31" i="14"/>
  <c r="D33" i="14"/>
  <c r="D41" i="14"/>
  <c r="D17" i="14"/>
  <c r="D18" i="14" s="1"/>
  <c r="D23" i="14"/>
  <c r="D25" i="14"/>
  <c r="D24" i="14"/>
  <c r="D22" i="14"/>
  <c r="D30" i="14"/>
  <c r="D32" i="14"/>
  <c r="D31" i="14"/>
  <c r="B11" i="7"/>
  <c r="O12" i="7"/>
  <c r="B12" i="7" s="1"/>
  <c r="E42" i="14" l="1"/>
  <c r="D42" i="14"/>
  <c r="E34" i="14"/>
  <c r="D34" i="14"/>
  <c r="F16" i="14"/>
  <c r="K24" i="4"/>
  <c r="K29" i="4" s="1"/>
  <c r="H24" i="4"/>
  <c r="H29" i="4" s="1"/>
  <c r="E24" i="4"/>
  <c r="E29" i="4" s="1"/>
  <c r="I24" i="4"/>
  <c r="I29" i="4" s="1"/>
  <c r="G24" i="4"/>
  <c r="G29" i="4" s="1"/>
  <c r="M24" i="4"/>
  <c r="M29" i="4" s="1"/>
  <c r="F24" i="4"/>
  <c r="F29" i="4" s="1"/>
  <c r="N24" i="4"/>
  <c r="N29" i="4" s="1"/>
  <c r="C24" i="4"/>
  <c r="C29" i="4" s="1"/>
  <c r="J24" i="4"/>
  <c r="J29" i="4" s="1"/>
  <c r="D24" i="4"/>
  <c r="D29" i="4" s="1"/>
  <c r="L24" i="4"/>
  <c r="L29" i="4" s="1"/>
  <c r="E36" i="14" l="1"/>
  <c r="E44" i="14" s="1"/>
  <c r="D36" i="14"/>
  <c r="D44" i="14" s="1"/>
  <c r="C24" i="7"/>
  <c r="C28" i="7" s="1"/>
  <c r="C30" i="7" s="1"/>
  <c r="C38" i="7" s="1"/>
  <c r="C83" i="4"/>
  <c r="C87" i="4" s="1"/>
  <c r="C88" i="4" s="1"/>
  <c r="G83" i="4"/>
  <c r="G87" i="4" s="1"/>
  <c r="G88" i="4" s="1"/>
  <c r="K83" i="4"/>
  <c r="K87" i="4" s="1"/>
  <c r="K88" i="4" s="1"/>
  <c r="L83" i="4"/>
  <c r="L87" i="4" s="1"/>
  <c r="L88" i="4" s="1"/>
  <c r="N83" i="4"/>
  <c r="N87" i="4" s="1"/>
  <c r="N88" i="4" s="1"/>
  <c r="I83" i="4"/>
  <c r="I87" i="4" s="1"/>
  <c r="I88" i="4" s="1"/>
  <c r="D83" i="4"/>
  <c r="D87" i="4" s="1"/>
  <c r="D88" i="4" s="1"/>
  <c r="F83" i="4"/>
  <c r="F87" i="4" s="1"/>
  <c r="F88" i="4" s="1"/>
  <c r="E83" i="4"/>
  <c r="E87" i="4" s="1"/>
  <c r="E88" i="4" s="1"/>
  <c r="J83" i="4"/>
  <c r="J87" i="4" s="1"/>
  <c r="J88" i="4" s="1"/>
  <c r="M83" i="4"/>
  <c r="M87" i="4" s="1"/>
  <c r="M88" i="4" s="1"/>
  <c r="H83" i="4"/>
  <c r="H87" i="4" s="1"/>
  <c r="H88" i="4" s="1"/>
  <c r="F31" i="14"/>
  <c r="F22" i="14"/>
  <c r="F24" i="14"/>
  <c r="F30" i="14"/>
  <c r="F25" i="14"/>
  <c r="F33" i="14"/>
  <c r="F17" i="14"/>
  <c r="F18" i="14" s="1"/>
  <c r="F41" i="14"/>
  <c r="F23" i="14"/>
  <c r="G16" i="14"/>
  <c r="F32" i="14"/>
  <c r="G24" i="7"/>
  <c r="G28" i="7" s="1"/>
  <c r="G30" i="7" s="1"/>
  <c r="G38" i="7" s="1"/>
  <c r="G12" i="19" s="1"/>
  <c r="G15" i="19" s="1"/>
  <c r="K24" i="7"/>
  <c r="K28" i="7" s="1"/>
  <c r="K30" i="7" s="1"/>
  <c r="K38" i="7" s="1"/>
  <c r="K12" i="19" s="1"/>
  <c r="K15" i="19" s="1"/>
  <c r="L24" i="7"/>
  <c r="L28" i="7" s="1"/>
  <c r="L30" i="7" s="1"/>
  <c r="L38" i="7" s="1"/>
  <c r="L12" i="19" s="1"/>
  <c r="L15" i="19" s="1"/>
  <c r="N24" i="7"/>
  <c r="N28" i="7" s="1"/>
  <c r="N30" i="7" s="1"/>
  <c r="N38" i="7" s="1"/>
  <c r="N12" i="19" s="1"/>
  <c r="N15" i="19" s="1"/>
  <c r="I24" i="7"/>
  <c r="I28" i="7" s="1"/>
  <c r="I30" i="7" s="1"/>
  <c r="I38" i="7" s="1"/>
  <c r="I12" i="19" s="1"/>
  <c r="I15" i="19" s="1"/>
  <c r="D24" i="7"/>
  <c r="D28" i="7" s="1"/>
  <c r="D30" i="7" s="1"/>
  <c r="D38" i="7" s="1"/>
  <c r="D12" i="19" s="1"/>
  <c r="D15" i="19" s="1"/>
  <c r="F24" i="7"/>
  <c r="F28" i="7" s="1"/>
  <c r="F30" i="7" s="1"/>
  <c r="F38" i="7" s="1"/>
  <c r="F12" i="19" s="1"/>
  <c r="F15" i="19" s="1"/>
  <c r="E24" i="7"/>
  <c r="E28" i="7" s="1"/>
  <c r="E30" i="7" s="1"/>
  <c r="E38" i="7" s="1"/>
  <c r="E12" i="19" s="1"/>
  <c r="E15" i="19" s="1"/>
  <c r="J24" i="7"/>
  <c r="J28" i="7" s="1"/>
  <c r="J30" i="7" s="1"/>
  <c r="J38" i="7" s="1"/>
  <c r="J12" i="19" s="1"/>
  <c r="J15" i="19" s="1"/>
  <c r="M24" i="7"/>
  <c r="M28" i="7" s="1"/>
  <c r="M30" i="7" s="1"/>
  <c r="M38" i="7" s="1"/>
  <c r="M12" i="19" s="1"/>
  <c r="M15" i="19" s="1"/>
  <c r="H24" i="7"/>
  <c r="H28" i="7" s="1"/>
  <c r="H30" i="7" s="1"/>
  <c r="H38" i="7" s="1"/>
  <c r="H12" i="19" s="1"/>
  <c r="H15" i="19" s="1"/>
  <c r="O24" i="4"/>
  <c r="O29" i="4" s="1"/>
  <c r="A44" i="7" l="1"/>
  <c r="C12" i="19"/>
  <c r="C15" i="19" s="1"/>
  <c r="C17" i="19" s="1"/>
  <c r="F42" i="14"/>
  <c r="O83" i="4"/>
  <c r="O87" i="4" s="1"/>
  <c r="O88" i="4" s="1"/>
  <c r="F34" i="14"/>
  <c r="G22" i="14"/>
  <c r="G24" i="14"/>
  <c r="G33" i="14"/>
  <c r="G17" i="14"/>
  <c r="G18" i="14" s="1"/>
  <c r="G41" i="14"/>
  <c r="G23" i="14"/>
  <c r="G31" i="14"/>
  <c r="H16" i="14"/>
  <c r="G32" i="14"/>
  <c r="G30" i="14"/>
  <c r="G25" i="14"/>
  <c r="O24" i="7"/>
  <c r="D10" i="19" l="1"/>
  <c r="D17" i="19" s="1"/>
  <c r="E10" i="19" s="1"/>
  <c r="E17" i="19" s="1"/>
  <c r="F10" i="19" s="1"/>
  <c r="F17" i="19" s="1"/>
  <c r="G10" i="19" s="1"/>
  <c r="G17" i="19" s="1"/>
  <c r="H10" i="19" s="1"/>
  <c r="H17" i="19" s="1"/>
  <c r="I10" i="19" s="1"/>
  <c r="I17" i="19" s="1"/>
  <c r="J10" i="19" s="1"/>
  <c r="J17" i="19" s="1"/>
  <c r="K10" i="19" s="1"/>
  <c r="K17" i="19" s="1"/>
  <c r="L10" i="19" s="1"/>
  <c r="L17" i="19" s="1"/>
  <c r="M10" i="19" s="1"/>
  <c r="M17" i="19" s="1"/>
  <c r="N10" i="19" s="1"/>
  <c r="N17" i="19" s="1"/>
  <c r="G42" i="14"/>
  <c r="G34" i="14"/>
  <c r="F36" i="14"/>
  <c r="F44" i="14" s="1"/>
  <c r="B24" i="7"/>
  <c r="C30" i="14"/>
  <c r="C34" i="14" s="1"/>
  <c r="C36" i="14" s="1"/>
  <c r="C44" i="14" s="1"/>
  <c r="H33" i="14"/>
  <c r="H17" i="14"/>
  <c r="H18" i="14" s="1"/>
  <c r="H32" i="14"/>
  <c r="H23" i="14"/>
  <c r="H31" i="14"/>
  <c r="H22" i="14"/>
  <c r="H30" i="14"/>
  <c r="H25" i="14"/>
  <c r="H24" i="14"/>
  <c r="H41" i="14"/>
  <c r="I16" i="14"/>
  <c r="O28" i="7"/>
  <c r="O30" i="7" s="1"/>
  <c r="A33" i="10" l="1"/>
  <c r="A23" i="19"/>
  <c r="H42" i="14"/>
  <c r="B28" i="7"/>
  <c r="H34" i="14"/>
  <c r="G36" i="14"/>
  <c r="G44" i="14" s="1"/>
  <c r="I17" i="14"/>
  <c r="I18" i="14" s="1"/>
  <c r="I32" i="14"/>
  <c r="J16" i="14"/>
  <c r="I31" i="14"/>
  <c r="I22" i="14"/>
  <c r="I30" i="14"/>
  <c r="I25" i="14"/>
  <c r="I33" i="14"/>
  <c r="I24" i="14"/>
  <c r="I41" i="14"/>
  <c r="I23" i="14"/>
  <c r="O38" i="7"/>
  <c r="B30" i="7"/>
  <c r="B38" i="7" l="1"/>
  <c r="A42" i="7"/>
  <c r="I42" i="14"/>
  <c r="H36" i="14"/>
  <c r="H44" i="14" s="1"/>
  <c r="I34" i="14"/>
  <c r="J31" i="14"/>
  <c r="J22" i="14"/>
  <c r="J24" i="14"/>
  <c r="J25" i="14"/>
  <c r="J33" i="14"/>
  <c r="J17" i="14"/>
  <c r="J18" i="14" s="1"/>
  <c r="J41" i="14"/>
  <c r="J23" i="14"/>
  <c r="J32" i="14"/>
  <c r="J30" i="14"/>
  <c r="K16" i="14"/>
  <c r="J42" i="14" l="1"/>
  <c r="I36" i="14"/>
  <c r="I44" i="14" s="1"/>
  <c r="J34" i="14"/>
  <c r="K32" i="14"/>
  <c r="K30" i="14"/>
  <c r="K25" i="14"/>
  <c r="K22" i="14"/>
  <c r="K24" i="14"/>
  <c r="K33" i="14"/>
  <c r="K17" i="14"/>
  <c r="K18" i="14" s="1"/>
  <c r="L16" i="14"/>
  <c r="K41" i="14"/>
  <c r="K23" i="14"/>
  <c r="K31" i="14"/>
  <c r="J36" i="14"/>
  <c r="K42" i="14" l="1"/>
  <c r="J44" i="14"/>
  <c r="K34" i="14"/>
  <c r="L23" i="14"/>
  <c r="L31" i="14"/>
  <c r="L22" i="14"/>
  <c r="L30" i="14"/>
  <c r="L25" i="14"/>
  <c r="L24" i="14"/>
  <c r="L41" i="14"/>
  <c r="L33" i="14"/>
  <c r="L17" i="14"/>
  <c r="L18" i="14" s="1"/>
  <c r="L32" i="14"/>
  <c r="L42" i="14" l="1"/>
  <c r="K36" i="14"/>
  <c r="K44" i="14" s="1"/>
  <c r="L34" i="14"/>
  <c r="L36" i="14" l="1"/>
  <c r="L44" i="14" s="1"/>
</calcChain>
</file>

<file path=xl/sharedStrings.xml><?xml version="1.0" encoding="utf-8"?>
<sst xmlns="http://schemas.openxmlformats.org/spreadsheetml/2006/main" count="502" uniqueCount="288">
  <si>
    <t>Square feet</t>
  </si>
  <si>
    <t>Rent per square foot per year</t>
  </si>
  <si>
    <t>Rent per square foot per month</t>
  </si>
  <si>
    <t>Yearly rent</t>
  </si>
  <si>
    <t>Monthly rent</t>
  </si>
  <si>
    <t>Year</t>
  </si>
  <si>
    <t>Sales</t>
  </si>
  <si>
    <t>Customers per hour</t>
  </si>
  <si>
    <t>Days open per week</t>
  </si>
  <si>
    <t>Customers per week</t>
  </si>
  <si>
    <t>Average sale per customer</t>
  </si>
  <si>
    <t>Average sales per day</t>
  </si>
  <si>
    <t>Average sales per week</t>
  </si>
  <si>
    <t>Average sales per month</t>
  </si>
  <si>
    <t>Daily</t>
  </si>
  <si>
    <t>Weekly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</si>
  <si>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</si>
  <si>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</si>
  <si>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</si>
  <si>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</si>
  <si>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</si>
  <si>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</si>
  <si>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</si>
  <si>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</si>
  <si>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</si>
  <si>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</si>
  <si>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</si>
  <si>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</si>
  <si>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</si>
  <si>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Customers per month</t>
  </si>
  <si>
    <t>First year growth</t>
  </si>
  <si>
    <t>Starting</t>
  </si>
  <si>
    <t>Sales per month</t>
  </si>
  <si>
    <t>Customers per day</t>
  </si>
  <si>
    <t>Average days open per month</t>
  </si>
  <si>
    <t>Average weeks per month</t>
  </si>
  <si>
    <t>Seasonal changes in sales</t>
  </si>
  <si>
    <t>Unadjusted sales per month</t>
  </si>
  <si>
    <t>Adjusted sales per month</t>
  </si>
  <si>
    <t>Adjustments for seasonal trends</t>
  </si>
  <si>
    <t>12 Month Profit and Loss</t>
  </si>
  <si>
    <t>Income</t>
  </si>
  <si>
    <t>Cost of Goods Sold</t>
  </si>
  <si>
    <t xml:space="preserve">Sales </t>
  </si>
  <si>
    <t>Cost of Goods Sold %</t>
  </si>
  <si>
    <t>Gross Profit</t>
  </si>
  <si>
    <t>Labor</t>
  </si>
  <si>
    <t>Expenses</t>
  </si>
  <si>
    <t>Role</t>
  </si>
  <si>
    <t>Sun</t>
  </si>
  <si>
    <t>Mon</t>
  </si>
  <si>
    <t>Tue</t>
  </si>
  <si>
    <t>Wed</t>
  </si>
  <si>
    <t>Thu</t>
  </si>
  <si>
    <t>Fri</t>
  </si>
  <si>
    <t>Sat</t>
  </si>
  <si>
    <t>Week</t>
  </si>
  <si>
    <t>Avg wage per hour</t>
  </si>
  <si>
    <t>Weekly Pay</t>
  </si>
  <si>
    <t>Total</t>
  </si>
  <si>
    <t>Avg per hour</t>
  </si>
  <si>
    <t>Labor as a % of Sales</t>
  </si>
  <si>
    <t>Weekly Labor Compensation</t>
  </si>
  <si>
    <t>Average Monthly labor compensation</t>
  </si>
  <si>
    <t>Health Insurance</t>
  </si>
  <si>
    <t>Benefits</t>
  </si>
  <si>
    <t>Payroll Taxes</t>
  </si>
  <si>
    <t>Compensation</t>
  </si>
  <si>
    <t>Net Income</t>
  </si>
  <si>
    <t>Monthly Labor Costs</t>
  </si>
  <si>
    <t>Rent</t>
  </si>
  <si>
    <t>Operations</t>
  </si>
  <si>
    <t>Marketing</t>
  </si>
  <si>
    <t>Depreciation</t>
  </si>
  <si>
    <t>Facility Maintence</t>
  </si>
  <si>
    <t>Equipment Repair</t>
  </si>
  <si>
    <t>Paper Goods</t>
  </si>
  <si>
    <t>Credit Card Fees</t>
  </si>
  <si>
    <t>Telephone and Internet</t>
  </si>
  <si>
    <t>monthly</t>
  </si>
  <si>
    <t>% of sales</t>
  </si>
  <si>
    <t>Utilities</t>
  </si>
  <si>
    <t>Community Donations</t>
  </si>
  <si>
    <t>Radio ads</t>
  </si>
  <si>
    <t>Overhead</t>
  </si>
  <si>
    <t>Cash Flow</t>
  </si>
  <si>
    <t>Uses</t>
  </si>
  <si>
    <t>Assets</t>
  </si>
  <si>
    <t>Inventory</t>
  </si>
  <si>
    <t>Total Asset uses</t>
  </si>
  <si>
    <t>Working Capital</t>
  </si>
  <si>
    <t>Total Expense uses</t>
  </si>
  <si>
    <t>Subtotal</t>
  </si>
  <si>
    <t>Overrun allocation</t>
  </si>
  <si>
    <t>Total uses</t>
  </si>
  <si>
    <t>Sources</t>
  </si>
  <si>
    <t>Sources and Uses</t>
  </si>
  <si>
    <t>Equipment</t>
  </si>
  <si>
    <t>Architectural Plans and Permits</t>
  </si>
  <si>
    <t>Start-up Staffing</t>
  </si>
  <si>
    <t>Debt</t>
  </si>
  <si>
    <t>Bank Debt</t>
  </si>
  <si>
    <t>Total sources</t>
  </si>
  <si>
    <t>Founding members</t>
  </si>
  <si>
    <t>Founding member equity contribution</t>
  </si>
  <si>
    <t>Member equity</t>
  </si>
  <si>
    <t>Loan</t>
  </si>
  <si>
    <t>Rate</t>
  </si>
  <si>
    <t>Years</t>
  </si>
  <si>
    <t>Total payments</t>
  </si>
  <si>
    <t>Monthly payment</t>
  </si>
  <si>
    <t>Cumulative interest</t>
  </si>
  <si>
    <t>Loan terms</t>
  </si>
  <si>
    <t>Payment</t>
  </si>
  <si>
    <t>First Year Payment Schedule</t>
  </si>
  <si>
    <t>Principal payment</t>
  </si>
  <si>
    <t>Payment number</t>
  </si>
  <si>
    <t>Interest Payment</t>
  </si>
  <si>
    <t>Starting Principal</t>
  </si>
  <si>
    <t>Ending Principal</t>
  </si>
  <si>
    <t>Other Income and Expense</t>
  </si>
  <si>
    <t>Operating Income</t>
  </si>
  <si>
    <t>Other Expense</t>
  </si>
  <si>
    <t>Other Income</t>
  </si>
  <si>
    <t>Payments per year</t>
  </si>
  <si>
    <t>Leasehold improvements</t>
  </si>
  <si>
    <t>Leasehold Improvements useful life</t>
  </si>
  <si>
    <t>Equipment years of life</t>
  </si>
  <si>
    <t>Labor Costs</t>
  </si>
  <si>
    <t>Expenses as a % of Sales</t>
  </si>
  <si>
    <t>First Year Sales</t>
  </si>
  <si>
    <t>% of Sales</t>
  </si>
  <si>
    <t>10 Year Profit and Loss</t>
  </si>
  <si>
    <t>Starting Cash</t>
  </si>
  <si>
    <t>Add back Depreciation</t>
  </si>
  <si>
    <t>Subtract  Interest Payment</t>
  </si>
  <si>
    <t>Cash flow</t>
  </si>
  <si>
    <t>Ending Cash</t>
  </si>
  <si>
    <t>Growth %</t>
  </si>
  <si>
    <t>Welcome</t>
  </si>
  <si>
    <t xml:space="preserve">This workbook is a template for designing a preliminary pro forma business plan.  </t>
  </si>
  <si>
    <t>Democracy At Work Institute</t>
  </si>
  <si>
    <t xml:space="preserve">The purpose of the template is to introduce basic concepts to beginners, and to allow for quick feasibility inquries. </t>
  </si>
  <si>
    <t xml:space="preserve">For simplicity it is designed to illustrate a retail store.  </t>
  </si>
  <si>
    <t xml:space="preserve">Every business is diffferent and their financial projects will need customization.  </t>
  </si>
  <si>
    <t xml:space="preserve">Feel free to adapt this to your needs, or to contact DAWI to request technical assistance.  </t>
  </si>
  <si>
    <t>info@institute.usworker.coop</t>
  </si>
  <si>
    <t>How to fill it out</t>
  </si>
  <si>
    <t xml:space="preserve">These are the cells you should fill in with your responses to the prompting questions.  </t>
  </si>
  <si>
    <t xml:space="preserve">Your responses will be used to fill out the rest of the sheet. </t>
  </si>
  <si>
    <t>Pro Forma Template</t>
  </si>
  <si>
    <t>Two metaphors</t>
  </si>
  <si>
    <t xml:space="preserve">Financial statements are a map.  You plan your journey with them, but it is likely you will sometimes veer from the path. </t>
  </si>
  <si>
    <t xml:space="preserve">Financial statements are a recipe.  If you want to make more pancakes, you need to scale all the ingredients in proportion, not just increase the eggs.  </t>
  </si>
  <si>
    <t>Sequence</t>
  </si>
  <si>
    <t xml:space="preserve">Start by filling out the workbook in the  following order. </t>
  </si>
  <si>
    <t>You can go back and change your numbers, but if you jump ahead some of the formulas may not work.</t>
  </si>
  <si>
    <t>Two concepts</t>
  </si>
  <si>
    <t xml:space="preserve">When possible, don't think about dollars, think about people.  </t>
  </si>
  <si>
    <t xml:space="preserve">Think about how you would answer if a lender was looking at a number and asked you where it came from.  Can you defend it?  </t>
  </si>
  <si>
    <t>Try it here.  Enter your business name.  This will show up on all the other pages.</t>
  </si>
  <si>
    <t>Retail Worker Cooperative, Inc</t>
  </si>
  <si>
    <t>Each tab has some cells that are colored yellow.</t>
  </si>
  <si>
    <t>Hours open per day</t>
  </si>
  <si>
    <t xml:space="preserve">How often are you open? </t>
  </si>
  <si>
    <t>Customers</t>
  </si>
  <si>
    <t xml:space="preserve">What is a typical sale? </t>
  </si>
  <si>
    <t>Average sale per customer in dollars</t>
  </si>
  <si>
    <t xml:space="preserve">Enter your best guesses about selling to your customers. </t>
  </si>
  <si>
    <t xml:space="preserve">Anything that is not yellow you should not change.  </t>
  </si>
  <si>
    <t>Customers per hour open</t>
  </si>
  <si>
    <t xml:space="preserve">This section takes your starting assumptions and puts them in a monthly calendar. </t>
  </si>
  <si>
    <t xml:space="preserve">Enter your growth assumptions for each month.  Will you grow 5% over the previous month?  More? </t>
  </si>
  <si>
    <t>Customers and sales</t>
  </si>
  <si>
    <t>Reality check: daily numbers</t>
  </si>
  <si>
    <t xml:space="preserve">There are two ways for growth to happen.  More customers, or the same customers buying more.  This assumes you are getting more customers, buying the same amount. </t>
  </si>
  <si>
    <t xml:space="preserve">This graph shows your growth in monthly sales. </t>
  </si>
  <si>
    <r>
      <t xml:space="preserve">Predict how many people will come through </t>
    </r>
    <r>
      <rPr>
        <i/>
        <sz val="11"/>
        <color theme="1"/>
        <rFont val="Calibri"/>
        <family val="2"/>
        <scheme val="minor"/>
      </rPr>
      <t>when you first open</t>
    </r>
    <r>
      <rPr>
        <sz val="11"/>
        <color theme="1"/>
        <rFont val="Calibri"/>
        <family val="2"/>
        <scheme val="minor"/>
      </rPr>
      <t>, before you have an established following.</t>
    </r>
  </si>
  <si>
    <t>This section lets you predict sales changes based on strong and weak months.</t>
  </si>
  <si>
    <t>Do your sales go down during summer vacations?  Up during holidays?</t>
  </si>
  <si>
    <t xml:space="preserve">Enter + or - percentages compared a normal month. </t>
  </si>
  <si>
    <t xml:space="preserve">Enter + or - percentages compared the previous month. </t>
  </si>
  <si>
    <t xml:space="preserve">This graph shows your growth in monthly sales, impacted by seasonal changes.  </t>
  </si>
  <si>
    <t xml:space="preserve">Growth in the first year is key to make sure you move from losing money to making money.  </t>
  </si>
  <si>
    <t xml:space="preserve">Cost of Goods Sold is the amount you spend on the product you sell. </t>
  </si>
  <si>
    <t xml:space="preserve">For every dollar of sales, how many cents are you spending on materials or ingredients?  </t>
  </si>
  <si>
    <t xml:space="preserve">Every industry has a different typical percentage.   For a bakery it might be 30%, for grocery 60%.  </t>
  </si>
  <si>
    <t>Nice work!</t>
  </si>
  <si>
    <t xml:space="preserve">You'll submit the Profit and Loss to your lender. </t>
  </si>
  <si>
    <t xml:space="preserve">If they have any questions you can refer to the assumptions made on this sheet. </t>
  </si>
  <si>
    <t xml:space="preserve">Enter your best guesses about the positions you'll need to fill, their hours, and wages. </t>
  </si>
  <si>
    <t>Role A</t>
  </si>
  <si>
    <t>Role B</t>
  </si>
  <si>
    <t>Role C</t>
  </si>
  <si>
    <t xml:space="preserve">If you have 3 people all in the same role, and paid the same, and them on one line. </t>
  </si>
  <si>
    <t>Name the different job roles you'll need.</t>
  </si>
  <si>
    <t>.</t>
  </si>
  <si>
    <t>Paid vacation days off</t>
  </si>
  <si>
    <t>Paid holiday days off</t>
  </si>
  <si>
    <t>Paid sick days off</t>
  </si>
  <si>
    <t xml:space="preserve">Now enter the number of paid days off per year.  </t>
  </si>
  <si>
    <t xml:space="preserve">For simplicity imagine a full time worker.  </t>
  </si>
  <si>
    <t>Days</t>
  </si>
  <si>
    <t>Additional</t>
  </si>
  <si>
    <t>Hourly Compensation</t>
  </si>
  <si>
    <t xml:space="preserve">In this section enter fixed monthly costs.  </t>
  </si>
  <si>
    <t xml:space="preserve">These are bills you pay steadily at the same amount. </t>
  </si>
  <si>
    <t xml:space="preserve">This section is quite simplified from real costs but can be a good start.  </t>
  </si>
  <si>
    <t>A common way to look at the Cost of Goods Sold is as a percent of sales.</t>
  </si>
  <si>
    <t>A common way to look at Labor is as a percent of sales.</t>
  </si>
  <si>
    <t xml:space="preserve">If you are paying more than a dollar, it is trouble.  But you might start that way as sales grow.  </t>
  </si>
  <si>
    <t>Cost of Goods Sold (COGS)</t>
  </si>
  <si>
    <t>It is common for businesses to be less efficient - have a higher COGS % - when they start, and to trend down to a steady number.</t>
  </si>
  <si>
    <t>Next move on to enter information about Expenses</t>
  </si>
  <si>
    <t>Next move on to enter information about Expenses.</t>
  </si>
  <si>
    <t xml:space="preserve">This graph shows Labor compared to Sales, given then numbers you've put in so far. </t>
  </si>
  <si>
    <t xml:space="preserve">It introduces 3 ways to project expenses, all three of which you'll probably use.  </t>
  </si>
  <si>
    <t xml:space="preserve"> - Some expenses depend on how much you sell. These are % of Sales Expenses.</t>
  </si>
  <si>
    <t xml:space="preserve"> - Some expenses are seasonal or non-repeating.  These are Irregular Expenses. </t>
  </si>
  <si>
    <t xml:space="preserve">Enter how much space you will need and the lease costs.  </t>
  </si>
  <si>
    <t xml:space="preserve">Enter your best guesses about Fixed Costs per month for overhead costs.  </t>
  </si>
  <si>
    <t xml:space="preserve">Enter percentages for any costs tied to sales. </t>
  </si>
  <si>
    <t>For example, every time you sell a dollar of product you might have to pay 3 cents to a credit card company.</t>
  </si>
  <si>
    <t>Overhead (Fixed Expenses)</t>
  </si>
  <si>
    <t>Operations (% of Sales Expenses)</t>
  </si>
  <si>
    <t>Marketing (Irregular Expenses)</t>
  </si>
  <si>
    <t>Marketing can be a good example of irregular expenses.</t>
  </si>
  <si>
    <t>Holiday advertising</t>
  </si>
  <si>
    <t xml:space="preserve">Spending may happen only during one season, or in other sporadic times. </t>
  </si>
  <si>
    <t xml:space="preserve">Enter expenses under the month they happen in.  </t>
  </si>
  <si>
    <t>This section is based off of information  you enter in the new sheet, the Sources and Uses.</t>
  </si>
  <si>
    <t xml:space="preserve">The two variables here are around how long your constuction work and equipment will last. </t>
  </si>
  <si>
    <t xml:space="preserve">Here as a graph of your different expenses.  Which are major?  Which are minor? </t>
  </si>
  <si>
    <t>A common way to look at Expenses is as a percent of sales.</t>
  </si>
  <si>
    <t xml:space="preserve">For every dollar of sales, how much are you paying for labor?  </t>
  </si>
  <si>
    <t xml:space="preserve">For every dollar of sales, how much are you paying for in Expenses?  </t>
  </si>
  <si>
    <t xml:space="preserve">This graph shows Labor and Expenses compared to Sales, given then numbers you've put in so far. </t>
  </si>
  <si>
    <t>Some areas are also shaded.</t>
  </si>
  <si>
    <t xml:space="preserve">Read these for guidance. </t>
  </si>
  <si>
    <t>The Sources and Uses shows how much money you need and wher you are going to get it.</t>
  </si>
  <si>
    <t xml:space="preserve">Start with the Uses.  How much do you need to get off the ground?  </t>
  </si>
  <si>
    <t xml:space="preserve">How much will you need to stay afloat in the first year? </t>
  </si>
  <si>
    <t>Startup costs over end more being more than predicted.</t>
  </si>
  <si>
    <t xml:space="preserve">How much do you need to include to be safe? </t>
  </si>
  <si>
    <t>% above subtotal</t>
  </si>
  <si>
    <t xml:space="preserve">What can the founding member contibute toward covering uses above? </t>
  </si>
  <si>
    <t xml:space="preserve">Next look at the Sources. </t>
  </si>
  <si>
    <t xml:space="preserve">Take a look at the 12 Month Profit and Loss.  The second section, Labor, is now filled out.  </t>
  </si>
  <si>
    <t xml:space="preserve">Take a look at the 12 Month Profit and Loss.  The first section, Income, is now filled out.  </t>
  </si>
  <si>
    <t xml:space="preserve">Take a look at the 12 Month Profit and Loss.  The third section, Expenses, is now filled out.  </t>
  </si>
  <si>
    <t>Next move on to enter information about your Sources and Uses.</t>
  </si>
  <si>
    <t xml:space="preserve">This sheet shows your debt repayment for the first year. </t>
  </si>
  <si>
    <t>According to your Sources and Uses, you need to borrow:</t>
  </si>
  <si>
    <t xml:space="preserve">Enter that below - but round up!  You'll need to borrow a little more in order to cover the interest expense on the loan.  </t>
  </si>
  <si>
    <t xml:space="preserve">Ask your lender what terms they offer. </t>
  </si>
  <si>
    <t xml:space="preserve">Business loans tend to be around 5 years, unlike 30 year mortgage loans.  </t>
  </si>
  <si>
    <t xml:space="preserve">This sheet gives you a sense of how much you'll need to borrow. </t>
  </si>
  <si>
    <t>Next move on to enter information about your Debt.</t>
  </si>
  <si>
    <t xml:space="preserve">Some of the information in the Uses flows back to the Expenses sheet: you now have Leasehold Improvement and Equipment to depreciate.  </t>
  </si>
  <si>
    <t xml:space="preserve">Working Capital is cash you can use before you break even. </t>
  </si>
  <si>
    <t>12 Month Cash Flow</t>
  </si>
  <si>
    <r>
      <t xml:space="preserve">According to the Cash Flow projection your </t>
    </r>
    <r>
      <rPr>
        <i/>
        <sz val="11"/>
        <color theme="1"/>
        <rFont val="Calibri"/>
        <family val="2"/>
        <scheme val="minor"/>
      </rPr>
      <t xml:space="preserve">lowest cash point </t>
    </r>
    <r>
      <rPr>
        <sz val="11"/>
        <color theme="1"/>
        <rFont val="Calibri"/>
        <family val="2"/>
        <scheme val="minor"/>
      </rPr>
      <t>during year 1 is currently:</t>
    </r>
  </si>
  <si>
    <t xml:space="preserve">This sheet is based on assumptions entered on other sheets.  </t>
  </si>
  <si>
    <t xml:space="preserve">This section calculates your interst expense, and the drain on cash flow you'll have in repaying the loan. </t>
  </si>
  <si>
    <t xml:space="preserve">Interest is shown as Other Expense on the Proft and Loss.  </t>
  </si>
  <si>
    <t xml:space="preserve">From here on we move to the pages you would submit to your lender, and review your projections.  </t>
  </si>
  <si>
    <t xml:space="preserve">Net Income should move toward positive as the year progresses. </t>
  </si>
  <si>
    <t xml:space="preserve">Starting Cash here refers to the Working Capital you borrowed on your Sources and Uses.  </t>
  </si>
  <si>
    <t xml:space="preserve">If you are running negative cash you didn't borrow enough. </t>
  </si>
  <si>
    <t>Either you'll need to improve financial performance or increase the Working Capital.</t>
  </si>
  <si>
    <t>Your lowest cash point in year 1 is:</t>
  </si>
  <si>
    <t>In your best month your net income is:</t>
  </si>
  <si>
    <t>In year 1 your net income is:</t>
  </si>
  <si>
    <t xml:space="preserve">If you didn't break even go back and reconsider your Income, Labor, or Expenses assumptions.  Can you adjust them? </t>
  </si>
  <si>
    <t xml:space="preserve">Your lender will want to see your performance for at least the length of the loan.  </t>
  </si>
  <si>
    <t xml:space="preserve">For this sheet you'll be moving from detail of the first year toward a standard pattern of performance.  </t>
  </si>
  <si>
    <t xml:space="preserve">You'll want to have established what your normal % of Sales are for each expense category - your receipe for success.  </t>
  </si>
  <si>
    <t xml:space="preserve">After that you will project sales growth.  </t>
  </si>
  <si>
    <t xml:space="preserve">As sales grow, so will your expenses, in proportion. </t>
  </si>
  <si>
    <t xml:space="preserve">Use year 1 as a guide for this.  </t>
  </si>
  <si>
    <t>What is missing</t>
  </si>
  <si>
    <t>This template does not include a Balance Sheet template.</t>
  </si>
  <si>
    <t xml:space="preserve">We plan to include one in a future version.  </t>
  </si>
  <si>
    <t xml:space="preserve"> - Some expenses are the same every month.  These are Fixed Expenses. </t>
  </si>
  <si>
    <t>Leasehold Improvements</t>
  </si>
  <si>
    <t xml:space="preserve">If this is negative you'll want to consider borrowing more Working Capital. </t>
  </si>
  <si>
    <t xml:space="preserve">Anything they can't provide may need to be borrowed.  </t>
  </si>
  <si>
    <t>Version 1.3 -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</si>
</sst>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\+0%;\-0%;0%"/>
    <numFmt numFmtId="168" formatCode="_(* #,##0_);_(* \(#,##0\);_(* &quot;-&quot;?_);_(@_)"/>
    <numFmt numFmtId="169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Geneva"/>
    </font>
    <font>
      <sz val="11"/>
      <color theme="0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8" fillId="0" borderId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2" borderId="1" xfId="1" applyNumberFormat="1" applyFont="1" applyFill="1" applyBorder="1"/>
    <xf numFmtId="8" fontId="0" fillId="0" borderId="0" xfId="0" applyNumberFormat="1"/>
    <xf numFmtId="8" fontId="0" fillId="2" borderId="1" xfId="4" applyNumberFormat="1" applyFont="1"/>
    <xf numFmtId="44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2" borderId="1" xfId="4" applyFont="1" applyAlignment="1">
      <alignment horizontal="left"/>
    </xf>
    <xf numFmtId="10" fontId="0" fillId="2" borderId="1" xfId="3" applyNumberFormat="1" applyFont="1" applyFill="1" applyBorder="1"/>
    <xf numFmtId="10" fontId="0" fillId="0" borderId="0" xfId="3" applyNumberFormat="1" applyFont="1"/>
    <xf numFmtId="164" fontId="0" fillId="2" borderId="1" xfId="1" applyNumberFormat="1" applyFont="1" applyFill="1" applyBorder="1" applyAlignment="1">
      <alignment horizontal="left"/>
    </xf>
    <xf numFmtId="166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4" fontId="0" fillId="2" borderId="1" xfId="2" applyFont="1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167" fontId="0" fillId="2" borderId="1" xfId="3" applyNumberFormat="1" applyFont="1" applyFill="1" applyBorder="1" applyAlignment="1">
      <alignment horizontal="center"/>
    </xf>
    <xf numFmtId="168" fontId="0" fillId="0" borderId="0" xfId="0" applyNumberFormat="1"/>
    <xf numFmtId="0" fontId="0" fillId="0" borderId="2" xfId="0" applyBorder="1"/>
    <xf numFmtId="165" fontId="0" fillId="0" borderId="2" xfId="2" applyNumberFormat="1" applyFont="1" applyBorder="1"/>
    <xf numFmtId="165" fontId="0" fillId="0" borderId="2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2" borderId="3" xfId="4" applyFont="1" applyBorder="1" applyAlignment="1">
      <alignment horizontal="left"/>
    </xf>
    <xf numFmtId="164" fontId="0" fillId="2" borderId="3" xfId="1" applyNumberFormat="1" applyFont="1" applyFill="1" applyBorder="1" applyAlignment="1">
      <alignment horizontal="left"/>
    </xf>
    <xf numFmtId="44" fontId="0" fillId="2" borderId="3" xfId="2" applyFont="1" applyFill="1" applyBorder="1" applyAlignment="1">
      <alignment horizontal="left"/>
    </xf>
    <xf numFmtId="0" fontId="6" fillId="0" borderId="2" xfId="0" applyFont="1" applyBorder="1"/>
    <xf numFmtId="164" fontId="0" fillId="0" borderId="2" xfId="0" applyNumberFormat="1" applyBorder="1"/>
    <xf numFmtId="44" fontId="0" fillId="0" borderId="2" xfId="2" applyNumberFormat="1" applyFont="1" applyBorder="1"/>
    <xf numFmtId="165" fontId="0" fillId="2" borderId="1" xfId="2" applyNumberFormat="1" applyFont="1" applyFill="1" applyBorder="1" applyAlignment="1">
      <alignment horizontal="left"/>
    </xf>
    <xf numFmtId="0" fontId="0" fillId="0" borderId="2" xfId="0" applyFont="1" applyBorder="1"/>
    <xf numFmtId="169" fontId="0" fillId="2" borderId="1" xfId="3" applyNumberFormat="1" applyFont="1" applyFill="1" applyBorder="1" applyAlignment="1">
      <alignment horizontal="right"/>
    </xf>
    <xf numFmtId="0" fontId="3" fillId="0" borderId="0" xfId="5" applyFont="1"/>
    <xf numFmtId="165" fontId="3" fillId="0" borderId="0" xfId="2" applyNumberFormat="1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3" fillId="0" borderId="2" xfId="5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left" indent="1"/>
    </xf>
    <xf numFmtId="165" fontId="3" fillId="0" borderId="0" xfId="2" applyNumberFormat="1" applyFont="1" applyFill="1" applyBorder="1"/>
    <xf numFmtId="165" fontId="3" fillId="0" borderId="0" xfId="2" applyNumberFormat="1" applyFont="1" applyBorder="1"/>
    <xf numFmtId="0" fontId="3" fillId="0" borderId="0" xfId="5" applyFont="1" applyBorder="1"/>
    <xf numFmtId="0" fontId="3" fillId="0" borderId="2" xfId="5" applyFont="1" applyBorder="1"/>
    <xf numFmtId="165" fontId="3" fillId="0" borderId="2" xfId="2" applyNumberFormat="1" applyFont="1" applyBorder="1"/>
    <xf numFmtId="169" fontId="3" fillId="2" borderId="1" xfId="3" applyNumberFormat="1" applyFont="1" applyFill="1" applyBorder="1"/>
    <xf numFmtId="0" fontId="7" fillId="0" borderId="2" xfId="5" applyFont="1" applyBorder="1"/>
    <xf numFmtId="165" fontId="7" fillId="0" borderId="2" xfId="2" applyNumberFormat="1" applyFont="1" applyBorder="1"/>
    <xf numFmtId="165" fontId="0" fillId="0" borderId="0" xfId="2" applyNumberFormat="1" applyFont="1" applyBorder="1"/>
    <xf numFmtId="165" fontId="3" fillId="2" borderId="1" xfId="2" applyNumberFormat="1" applyFont="1" applyFill="1" applyBorder="1"/>
    <xf numFmtId="164" fontId="3" fillId="2" borderId="1" xfId="1" applyNumberFormat="1" applyFont="1" applyFill="1" applyBorder="1"/>
    <xf numFmtId="0" fontId="0" fillId="2" borderId="1" xfId="4" applyFont="1"/>
    <xf numFmtId="0" fontId="3" fillId="2" borderId="1" xfId="4" applyFont="1"/>
    <xf numFmtId="165" fontId="3" fillId="2" borderId="1" xfId="4" applyNumberFormat="1" applyFont="1"/>
    <xf numFmtId="0" fontId="3" fillId="0" borderId="0" xfId="5" applyFont="1" applyAlignment="1">
      <alignment horizontal="left"/>
    </xf>
    <xf numFmtId="165" fontId="0" fillId="2" borderId="1" xfId="2" applyNumberFormat="1" applyFont="1" applyFill="1" applyBorder="1"/>
    <xf numFmtId="0" fontId="0" fillId="0" borderId="0" xfId="0" applyFont="1" applyFill="1" applyBorder="1"/>
    <xf numFmtId="165" fontId="8" fillId="0" borderId="0" xfId="2" applyNumberFormat="1" applyFont="1"/>
    <xf numFmtId="6" fontId="0" fillId="0" borderId="0" xfId="0" applyNumberFormat="1"/>
    <xf numFmtId="0" fontId="0" fillId="0" borderId="2" xfId="0" applyFont="1" applyBorder="1" applyAlignment="1">
      <alignment horizontal="left"/>
    </xf>
    <xf numFmtId="6" fontId="0" fillId="0" borderId="2" xfId="0" applyNumberFormat="1" applyBorder="1"/>
    <xf numFmtId="0" fontId="3" fillId="0" borderId="0" xfId="0" applyFont="1"/>
    <xf numFmtId="0" fontId="9" fillId="0" borderId="0" xfId="0" applyFont="1"/>
    <xf numFmtId="0" fontId="10" fillId="0" borderId="0" xfId="0" applyFont="1"/>
    <xf numFmtId="9" fontId="10" fillId="0" borderId="0" xfId="3" applyFont="1"/>
    <xf numFmtId="9" fontId="3" fillId="2" borderId="1" xfId="3" applyFont="1" applyFill="1" applyBorder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12" fillId="6" borderId="0" xfId="0" applyFont="1" applyFill="1"/>
    <xf numFmtId="165" fontId="9" fillId="0" borderId="0" xfId="2" applyNumberFormat="1" applyFont="1"/>
    <xf numFmtId="165" fontId="9" fillId="0" borderId="2" xfId="0" applyNumberFormat="1" applyFont="1" applyBorder="1"/>
    <xf numFmtId="0" fontId="12" fillId="4" borderId="0" xfId="0" applyFont="1" applyFill="1"/>
    <xf numFmtId="0" fontId="12" fillId="5" borderId="0" xfId="0" applyFont="1" applyFill="1"/>
    <xf numFmtId="0" fontId="12" fillId="7" borderId="0" xfId="0" applyFont="1" applyFill="1"/>
    <xf numFmtId="0" fontId="13" fillId="0" borderId="0" xfId="6"/>
    <xf numFmtId="0" fontId="0" fillId="10" borderId="0" xfId="0" applyFill="1"/>
    <xf numFmtId="0" fontId="5" fillId="0" borderId="0" xfId="0" applyFont="1" applyAlignment="1">
      <alignment horizontal="left" indent="1"/>
    </xf>
    <xf numFmtId="0" fontId="0" fillId="11" borderId="0" xfId="0" applyFill="1"/>
    <xf numFmtId="0" fontId="6" fillId="0" borderId="0" xfId="0" applyFont="1" applyAlignment="1">
      <alignment horizontal="center"/>
    </xf>
    <xf numFmtId="0" fontId="15" fillId="3" borderId="0" xfId="0" applyFont="1" applyFill="1"/>
    <xf numFmtId="165" fontId="6" fillId="0" borderId="2" xfId="0" applyNumberFormat="1" applyFont="1" applyBorder="1"/>
    <xf numFmtId="0" fontId="15" fillId="9" borderId="0" xfId="0" applyFont="1" applyFill="1"/>
    <xf numFmtId="0" fontId="15" fillId="4" borderId="0" xfId="0" applyFont="1" applyFill="1"/>
    <xf numFmtId="0" fontId="0" fillId="0" borderId="0" xfId="0" applyAlignment="1">
      <alignment horizontal="left"/>
    </xf>
    <xf numFmtId="169" fontId="3" fillId="0" borderId="0" xfId="3" applyNumberFormat="1" applyFont="1"/>
    <xf numFmtId="169" fontId="3" fillId="0" borderId="2" xfId="3" applyNumberFormat="1" applyFont="1" applyBorder="1"/>
    <xf numFmtId="44" fontId="0" fillId="0" borderId="0" xfId="0" applyNumberFormat="1"/>
    <xf numFmtId="0" fontId="15" fillId="5" borderId="0" xfId="0" applyFont="1" applyFill="1"/>
    <xf numFmtId="0" fontId="0" fillId="0" borderId="0" xfId="0" applyFill="1"/>
    <xf numFmtId="165" fontId="0" fillId="0" borderId="0" xfId="2" applyNumberFormat="1" applyFont="1" applyFill="1"/>
    <xf numFmtId="0" fontId="2" fillId="11" borderId="0" xfId="0" applyFont="1" applyFill="1"/>
    <xf numFmtId="165" fontId="16" fillId="11" borderId="0" xfId="2" applyNumberFormat="1" applyFont="1" applyFill="1"/>
    <xf numFmtId="0" fontId="16" fillId="11" borderId="0" xfId="0" applyFont="1" applyFill="1"/>
    <xf numFmtId="0" fontId="2" fillId="6" borderId="0" xfId="0" applyFont="1" applyFill="1"/>
    <xf numFmtId="165" fontId="16" fillId="6" borderId="0" xfId="2" applyNumberFormat="1" applyFont="1" applyFill="1"/>
    <xf numFmtId="0" fontId="16" fillId="6" borderId="0" xfId="0" applyFont="1" applyFill="1"/>
    <xf numFmtId="165" fontId="0" fillId="10" borderId="0" xfId="2" applyNumberFormat="1" applyFont="1" applyFill="1"/>
    <xf numFmtId="0" fontId="2" fillId="8" borderId="0" xfId="0" applyFont="1" applyFill="1"/>
    <xf numFmtId="165" fontId="16" fillId="8" borderId="0" xfId="2" applyNumberFormat="1" applyFont="1" applyFill="1"/>
    <xf numFmtId="0" fontId="16" fillId="8" borderId="0" xfId="0" applyFont="1" applyFill="1"/>
    <xf numFmtId="0" fontId="13" fillId="0" borderId="0" xfId="6" applyFill="1"/>
    <xf numFmtId="165" fontId="0" fillId="10" borderId="0" xfId="0" applyNumberFormat="1" applyFill="1"/>
  </cellXfs>
  <cellStyles count="7">
    <cellStyle name="Comma" xfId="1" builtinId="3"/>
    <cellStyle name="Currency" xfId="2" builtinId="4"/>
    <cellStyle name="Hyperlink" xfId="6" builtinId="8"/>
    <cellStyle name="Normal" xfId="0" builtinId="0"/>
    <cellStyle name="Normal 4" xfId="5" xr:uid="{00000000-0005-0000-0000-000004000000}"/>
    <cellStyle name="Note" xfId="4" builtinId="10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Income!$A$44</c:f>
              <c:strCache>
                <c:ptCount val="1"/>
                <c:pt idx="0">
                  <c:v>Sales per month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Income!$C$40:$N$40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Income!$C$44:$N$44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8190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10452.745996874999</c:v>
                </c:pt>
                <c:pt idx="7">
                  <c:v>10975.38329671875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12705.378088864043</c:v>
                </c:pt>
                <c:pt idx="11">
                  <c:v>13340.646993307246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131-B877-2FB59F6E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43968"/>
        <c:axId val="104245504"/>
      </c:lineChart>
      <c:catAx>
        <c:axId val="1042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45504"/>
        <c:crosses val="autoZero"/>
        <c:auto val="1"/>
        <c:lblAlgn val="ctr"/>
        <c:lblOffset val="100"/>
        <c:noMultiLvlLbl val="0"/>
      </c:catAx>
      <c:valAx>
        <c:axId val="104245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243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62496279123748E-2"/>
          <c:y val="7.2361851629532861E-2"/>
          <c:w val="0.89856104556964767"/>
          <c:h val="0.78383155020420658"/>
        </c:manualLayout>
      </c:layout>
      <c:lineChart>
        <c:grouping val="standard"/>
        <c:varyColors val="0"/>
        <c:ser>
          <c:idx val="3"/>
          <c:order val="0"/>
          <c:tx>
            <c:strRef>
              <c:f>Income!$A$72</c:f>
              <c:strCache>
                <c:ptCount val="1"/>
                <c:pt idx="0">
                  <c:v>Adjusted sales per month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Income!$C$69:$N$69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Income!$C$72:$N$72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C-44D6-B096-52BEAE54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7888"/>
        <c:axId val="104279424"/>
      </c:lineChart>
      <c:catAx>
        <c:axId val="10427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79424"/>
        <c:crosses val="autoZero"/>
        <c:auto val="1"/>
        <c:lblAlgn val="ctr"/>
        <c:lblOffset val="100"/>
        <c:noMultiLvlLbl val="0"/>
      </c:catAx>
      <c:valAx>
        <c:axId val="10427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277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Labor!$A$54:$B$54</c:f>
              <c:strCache>
                <c:ptCount val="2"/>
                <c:pt idx="0">
                  <c:v>First Year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Labor!$C$54:$N$54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2A6-B675-BA0A89FBC73D}"/>
            </c:ext>
          </c:extLst>
        </c:ser>
        <c:ser>
          <c:idx val="1"/>
          <c:order val="1"/>
          <c:tx>
            <c:strRef>
              <c:f>Labor!$A$55:$B$55</c:f>
              <c:strCache>
                <c:ptCount val="2"/>
                <c:pt idx="0">
                  <c:v>Labor Costs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Labor!$C$55:$N$55</c:f>
              <c:numCache>
                <c:formatCode>_("$"* #,##0_);_("$"* \(#,##0\);_("$"* "-"??_);_(@_)</c:formatCode>
                <c:ptCount val="12"/>
                <c:pt idx="0">
                  <c:v>14619.8</c:v>
                </c:pt>
                <c:pt idx="1">
                  <c:v>14619.8</c:v>
                </c:pt>
                <c:pt idx="2">
                  <c:v>14619.8</c:v>
                </c:pt>
                <c:pt idx="3">
                  <c:v>14619.8</c:v>
                </c:pt>
                <c:pt idx="4">
                  <c:v>14619.8</c:v>
                </c:pt>
                <c:pt idx="5">
                  <c:v>14619.8</c:v>
                </c:pt>
                <c:pt idx="6">
                  <c:v>14619.8</c:v>
                </c:pt>
                <c:pt idx="7">
                  <c:v>14619.8</c:v>
                </c:pt>
                <c:pt idx="8">
                  <c:v>14619.8</c:v>
                </c:pt>
                <c:pt idx="9">
                  <c:v>14619.8</c:v>
                </c:pt>
                <c:pt idx="10">
                  <c:v>14619.8</c:v>
                </c:pt>
                <c:pt idx="11">
                  <c:v>14619.8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2A6-B675-BA0A89FB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9216"/>
        <c:axId val="104330752"/>
      </c:lineChart>
      <c:catAx>
        <c:axId val="10432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30752"/>
        <c:crosses val="autoZero"/>
        <c:auto val="1"/>
        <c:lblAlgn val="ctr"/>
        <c:lblOffset val="100"/>
        <c:noMultiLvlLbl val="0"/>
      </c:catAx>
      <c:valAx>
        <c:axId val="10433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3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Expenses!$A$83:$B$83</c:f>
              <c:strCache>
                <c:ptCount val="2"/>
                <c:pt idx="0">
                  <c:v>Overhead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Expenses!$C$83:$N$83</c:f>
              <c:numCache>
                <c:formatCode>_(* #,##0_);_(* \(#,##0\);_(* "-"??_);_(@_)</c:formatCode>
                <c:ptCount val="12"/>
                <c:pt idx="0">
                  <c:v>5333.3333333333339</c:v>
                </c:pt>
                <c:pt idx="1">
                  <c:v>5333.3333333333339</c:v>
                </c:pt>
                <c:pt idx="2">
                  <c:v>5333.3333333333339</c:v>
                </c:pt>
                <c:pt idx="3">
                  <c:v>5333.3333333333339</c:v>
                </c:pt>
                <c:pt idx="4">
                  <c:v>5333.3333333333339</c:v>
                </c:pt>
                <c:pt idx="5">
                  <c:v>5333.3333333333339</c:v>
                </c:pt>
                <c:pt idx="6">
                  <c:v>5333.3333333333339</c:v>
                </c:pt>
                <c:pt idx="7">
                  <c:v>5333.3333333333339</c:v>
                </c:pt>
                <c:pt idx="8">
                  <c:v>5333.3333333333339</c:v>
                </c:pt>
                <c:pt idx="9">
                  <c:v>5333.3333333333339</c:v>
                </c:pt>
                <c:pt idx="10">
                  <c:v>5333.3333333333339</c:v>
                </c:pt>
                <c:pt idx="11">
                  <c:v>5333.3333333333339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2-42B1-AED6-FA6642E50E60}"/>
            </c:ext>
          </c:extLst>
        </c:ser>
        <c:ser>
          <c:idx val="1"/>
          <c:order val="1"/>
          <c:tx>
            <c:strRef>
              <c:f>Expenses!$A$84:$B$84</c:f>
              <c:strCache>
                <c:ptCount val="2"/>
                <c:pt idx="0">
                  <c:v>Operations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Expenses!$C$84:$N$84</c:f>
              <c:numCache>
                <c:formatCode>_(* #,##0_);_(* \(#,##0\);_(* "-"??_);_(@_)</c:formatCode>
                <c:ptCount val="12"/>
                <c:pt idx="0">
                  <c:v>312</c:v>
                </c:pt>
                <c:pt idx="1">
                  <c:v>294.84000000000003</c:v>
                </c:pt>
                <c:pt idx="2">
                  <c:v>343.98</c:v>
                </c:pt>
                <c:pt idx="3">
                  <c:v>361.17899999999997</c:v>
                </c:pt>
                <c:pt idx="4">
                  <c:v>379.23794999999996</c:v>
                </c:pt>
                <c:pt idx="5">
                  <c:v>398.19984749999998</c:v>
                </c:pt>
                <c:pt idx="6">
                  <c:v>376.29885588749994</c:v>
                </c:pt>
                <c:pt idx="7">
                  <c:v>395.11379868187498</c:v>
                </c:pt>
                <c:pt idx="8">
                  <c:v>460.96609846218752</c:v>
                </c:pt>
                <c:pt idx="9">
                  <c:v>484.01440338529687</c:v>
                </c:pt>
                <c:pt idx="10">
                  <c:v>559.03663591001794</c:v>
                </c:pt>
                <c:pt idx="11">
                  <c:v>586.98846770551881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2-42B1-AED6-FA6642E50E60}"/>
            </c:ext>
          </c:extLst>
        </c:ser>
        <c:ser>
          <c:idx val="2"/>
          <c:order val="2"/>
          <c:tx>
            <c:strRef>
              <c:f>Expenses!$A$85:$B$85</c:f>
              <c:strCache>
                <c:ptCount val="2"/>
                <c:pt idx="0">
                  <c:v>Marketing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Expenses!$C$85:$N$85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2-42B1-AED6-FA6642E50E60}"/>
            </c:ext>
          </c:extLst>
        </c:ser>
        <c:ser>
          <c:idx val="3"/>
          <c:order val="3"/>
          <c:tx>
            <c:strRef>
              <c:f>Expenses!$A$86:$B$86</c:f>
              <c:strCache>
                <c:ptCount val="2"/>
                <c:pt idx="0">
                  <c:v>Depreciation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Expenses!$C$86:$N$86</c:f>
              <c:numCache>
                <c:formatCode>_(* #,##0_);_(* \(#,##0\);_(* "-"??_);_(@_)</c:formatCode>
                <c:ptCount val="12"/>
                <c:pt idx="0">
                  <c:v>694.44444444444446</c:v>
                </c:pt>
                <c:pt idx="1">
                  <c:v>694.44444444444446</c:v>
                </c:pt>
                <c:pt idx="2">
                  <c:v>694.44444444444446</c:v>
                </c:pt>
                <c:pt idx="3">
                  <c:v>694.44444444444446</c:v>
                </c:pt>
                <c:pt idx="4">
                  <c:v>694.44444444444446</c:v>
                </c:pt>
                <c:pt idx="5">
                  <c:v>694.44444444444446</c:v>
                </c:pt>
                <c:pt idx="6">
                  <c:v>694.44444444444446</c:v>
                </c:pt>
                <c:pt idx="7">
                  <c:v>694.44444444444446</c:v>
                </c:pt>
                <c:pt idx="8">
                  <c:v>694.44444444444446</c:v>
                </c:pt>
                <c:pt idx="9">
                  <c:v>694.44444444444446</c:v>
                </c:pt>
                <c:pt idx="10">
                  <c:v>694.44444444444446</c:v>
                </c:pt>
                <c:pt idx="11">
                  <c:v>694.44444444444446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2-42B1-AED6-FA6642E5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9440"/>
        <c:axId val="104510976"/>
      </c:lineChart>
      <c:catAx>
        <c:axId val="1045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10976"/>
        <c:crosses val="autoZero"/>
        <c:auto val="1"/>
        <c:lblAlgn val="ctr"/>
        <c:lblOffset val="100"/>
        <c:noMultiLvlLbl val="0"/>
      </c:catAx>
      <c:valAx>
        <c:axId val="1045109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45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Labor!$A$54:$B$54</c:f>
              <c:strCache>
                <c:ptCount val="2"/>
                <c:pt idx="0">
                  <c:v>First Year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Labor!$C$54:$N$54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4-43D6-9AA7-0C018B8195CE}"/>
            </c:ext>
          </c:extLst>
        </c:ser>
        <c:ser>
          <c:idx val="1"/>
          <c:order val="1"/>
          <c:tx>
            <c:strRef>
              <c:f>Labor!$A$55:$B$55</c:f>
              <c:strCache>
                <c:ptCount val="2"/>
                <c:pt idx="0">
                  <c:v>Labor Costs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Labor!$C$55:$N$55</c:f>
              <c:numCache>
                <c:formatCode>_("$"* #,##0_);_("$"* \(#,##0\);_("$"* "-"??_);_(@_)</c:formatCode>
                <c:ptCount val="12"/>
                <c:pt idx="0">
                  <c:v>14619.8</c:v>
                </c:pt>
                <c:pt idx="1">
                  <c:v>14619.8</c:v>
                </c:pt>
                <c:pt idx="2">
                  <c:v>14619.8</c:v>
                </c:pt>
                <c:pt idx="3">
                  <c:v>14619.8</c:v>
                </c:pt>
                <c:pt idx="4">
                  <c:v>14619.8</c:v>
                </c:pt>
                <c:pt idx="5">
                  <c:v>14619.8</c:v>
                </c:pt>
                <c:pt idx="6">
                  <c:v>14619.8</c:v>
                </c:pt>
                <c:pt idx="7">
                  <c:v>14619.8</c:v>
                </c:pt>
                <c:pt idx="8">
                  <c:v>14619.8</c:v>
                </c:pt>
                <c:pt idx="9">
                  <c:v>14619.8</c:v>
                </c:pt>
                <c:pt idx="10">
                  <c:v>14619.8</c:v>
                </c:pt>
                <c:pt idx="11">
                  <c:v>14619.8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43D6-9AA7-0C018B8195CE}"/>
            </c:ext>
          </c:extLst>
        </c:ser>
        <c:ser>
          <c:idx val="2"/>
          <c:order val="2"/>
          <c:tx>
            <c:v>Expenses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Expenses!$C$87:$N$87</c:f>
              <c:numCache>
                <c:formatCode>_(* #,##0_);_(* \(#,##0\);_(* "-"??_);_(@_)</c:formatCode>
                <c:ptCount val="12"/>
                <c:pt idx="0">
                  <c:v>7839.7777777777783</c:v>
                </c:pt>
                <c:pt idx="1">
                  <c:v>6322.6177777777784</c:v>
                </c:pt>
                <c:pt idx="2">
                  <c:v>6671.7577777777778</c:v>
                </c:pt>
                <c:pt idx="3">
                  <c:v>6388.9567777777784</c:v>
                </c:pt>
                <c:pt idx="4">
                  <c:v>6407.015727777778</c:v>
                </c:pt>
                <c:pt idx="5">
                  <c:v>6425.9776252777783</c:v>
                </c:pt>
                <c:pt idx="6">
                  <c:v>6404.0766336652787</c:v>
                </c:pt>
                <c:pt idx="7">
                  <c:v>6422.8915764596532</c:v>
                </c:pt>
                <c:pt idx="8">
                  <c:v>6488.7438762399661</c:v>
                </c:pt>
                <c:pt idx="9">
                  <c:v>7511.7921811630749</c:v>
                </c:pt>
                <c:pt idx="10">
                  <c:v>6586.8144136877963</c:v>
                </c:pt>
                <c:pt idx="11">
                  <c:v>7614.7662454832971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4-43D6-9AA7-0C018B81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7296"/>
        <c:axId val="113448832"/>
      </c:lineChart>
      <c:catAx>
        <c:axId val="1134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48832"/>
        <c:crosses val="autoZero"/>
        <c:auto val="1"/>
        <c:lblAlgn val="ctr"/>
        <c:lblOffset val="100"/>
        <c:noMultiLvlLbl val="0"/>
      </c:catAx>
      <c:valAx>
        <c:axId val="11344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4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50</xdr:row>
      <xdr:rowOff>171450</xdr:rowOff>
    </xdr:from>
    <xdr:to>
      <xdr:col>13</xdr:col>
      <xdr:colOff>600076</xdr:colOff>
      <xdr:row>61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75</xdr:row>
      <xdr:rowOff>28575</xdr:rowOff>
    </xdr:from>
    <xdr:to>
      <xdr:col>14</xdr:col>
      <xdr:colOff>19051</xdr:colOff>
      <xdr:row>85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47631</xdr:colOff>
      <xdr:row>59</xdr:row>
      <xdr:rowOff>123824</xdr:rowOff>
    </xdr:from>
    <xdr:to>
      <xdr:col>13</xdr:col>
      <xdr:colOff>485775</xdr:colOff>
      <xdr:row>72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107</xdr:row>
      <xdr:rowOff>0</xdr:rowOff>
    </xdr:from>
    <xdr:to>
      <xdr:col>14</xdr:col>
      <xdr:colOff>504825</xdr:colOff>
      <xdr:row>120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190499</xdr:colOff>
      <xdr:row>91</xdr:row>
      <xdr:rowOff>19050</xdr:rowOff>
    </xdr:from>
    <xdr:to>
      <xdr:col>14</xdr:col>
      <xdr:colOff>485774</xdr:colOff>
      <xdr:row>103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institute.usworker.coo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45"/>
  <sheetViews>
    <sheetView workbookViewId="0">
      <selection activeCell="H4" sqref="H4"/>
    </sheetView>
  </sheetViews>
  <sheetFormatPr defaultRowHeight="14.4"/>
  <cols>
    <col min="1" max="1" width="29" customWidth="1"/>
  </cols>
  <sheetData>
    <row r="1" spans="1:1" ht="18.3">
      <c r="A1" s="1" t="s">
        <v>141</v>
      </c>
    </row>
    <row r="2" spans="1:1" ht="18.3">
      <c r="A2" s="1" t="s">
        <v>150</v>
      </c>
    </row>
    <row r="3" spans="1:1">
      <c r="A3" t="s">
        <v>287</v>
      </c>
    </row>
    <row r="5" spans="1:1" ht="18.3">
      <c r="A5" s="1" t="s">
        <v>139</v>
      </c>
    </row>
    <row r="6" spans="1:1">
      <c r="A6" t="s">
        <v>140</v>
      </c>
    </row>
    <row r="7" spans="1:1">
      <c r="A7" t="s">
        <v>142</v>
      </c>
    </row>
    <row r="8" spans="1:1">
      <c r="A8" t="s">
        <v>143</v>
      </c>
    </row>
    <row r="9" spans="1:1">
      <c r="A9" t="s">
        <v>144</v>
      </c>
    </row>
    <row r="10" spans="1:1">
      <c r="A10" t="s">
        <v>145</v>
      </c>
    </row>
    <row r="11" spans="1:1">
      <c r="A11" s="91" t="s">
        <v>146</v>
      </c>
    </row>
    <row r="13" spans="1:1" ht="18.3">
      <c r="A13" s="1" t="s">
        <v>147</v>
      </c>
    </row>
    <row r="14" spans="1:1">
      <c r="A14" t="s">
        <v>162</v>
      </c>
    </row>
    <row r="15" spans="1:1">
      <c r="A15" t="s">
        <v>148</v>
      </c>
    </row>
    <row r="16" spans="1:1">
      <c r="A16" t="s">
        <v>149</v>
      </c>
    </row>
    <row r="17" spans="1:1">
      <c r="A17" t="s">
        <v>169</v>
      </c>
    </row>
    <row r="18" spans="1:1">
      <c r="A18" t="s">
        <v>160</v>
      </c>
    </row>
    <row r="20" spans="1:1">
      <c r="A20" s="10" t="s">
        <v>161</v>
      </c>
    </row>
    <row r="22" spans="1:1">
      <c r="A22" s="92" t="s">
        <v>237</v>
      </c>
    </row>
    <row r="23" spans="1:1">
      <c r="A23" t="s">
        <v>238</v>
      </c>
    </row>
    <row r="25" spans="1:1" ht="18.3">
      <c r="A25" s="1" t="s">
        <v>151</v>
      </c>
    </row>
    <row r="26" spans="1:1">
      <c r="A26" t="s">
        <v>152</v>
      </c>
    </row>
    <row r="27" spans="1:1">
      <c r="A27" t="s">
        <v>153</v>
      </c>
    </row>
    <row r="29" spans="1:1" ht="18.3">
      <c r="A29" s="1" t="s">
        <v>157</v>
      </c>
    </row>
    <row r="30" spans="1:1">
      <c r="A30" t="s">
        <v>158</v>
      </c>
    </row>
    <row r="31" spans="1:1">
      <c r="A31" t="s">
        <v>159</v>
      </c>
    </row>
    <row r="33" spans="1:1" ht="18.3">
      <c r="A33" s="1" t="s">
        <v>154</v>
      </c>
    </row>
    <row r="34" spans="1:1">
      <c r="A34" t="s">
        <v>155</v>
      </c>
    </row>
    <row r="35" spans="1:1">
      <c r="A35" t="s">
        <v>156</v>
      </c>
    </row>
    <row r="37" spans="1:1">
      <c r="A37" s="91" t="s">
        <v>41</v>
      </c>
    </row>
    <row r="38" spans="1:1">
      <c r="A38" s="91" t="s">
        <v>46</v>
      </c>
    </row>
    <row r="39" spans="1:1">
      <c r="A39" s="91" t="s">
        <v>47</v>
      </c>
    </row>
    <row r="40" spans="1:1">
      <c r="A40" s="91" t="s">
        <v>96</v>
      </c>
    </row>
    <row r="41" spans="1:1">
      <c r="A41" s="91" t="s">
        <v>100</v>
      </c>
    </row>
    <row r="43" spans="1:1" ht="18.3">
      <c r="A43" s="1" t="s">
        <v>280</v>
      </c>
    </row>
    <row r="44" spans="1:1">
      <c r="A44" t="s">
        <v>281</v>
      </c>
    </row>
    <row r="45" spans="1:1">
      <c r="A45" t="s">
        <v>282</v>
      </c>
    </row>
  </sheetData>
  <hyperlinks>
    <hyperlink ref="A11" r:id="rId1" xr:uid="{00000000-0004-0000-0000-000000000000}"/>
    <hyperlink ref="A37" location="Income!A1" display="Income" xr:uid="{00000000-0004-0000-0000-000001000000}"/>
    <hyperlink ref="A38" location="Labor!A1" display="Labor" xr:uid="{00000000-0004-0000-0000-000002000000}"/>
    <hyperlink ref="A39" location="Expenses!A1" display="Expenses" xr:uid="{00000000-0004-0000-0000-000003000000}"/>
    <hyperlink ref="A40" location="'Sources and Uses'!A1" display="Sources and Uses" xr:uid="{00000000-0004-0000-0000-000004000000}"/>
    <hyperlink ref="A41" location="Debt!A1" display="Debt" xr:uid="{00000000-0004-0000-0000-000005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O110"/>
  <sheetViews>
    <sheetView topLeftCell="A4" workbookViewId="0">
      <selection activeCell="A16" sqref="A16"/>
    </sheetView>
  </sheetViews>
  <sheetFormatPr defaultRowHeight="14.4"/>
  <cols>
    <col min="1" max="1" width="34.83984375" customWidth="1"/>
    <col min="2" max="3" width="11.578125" bestFit="1" customWidth="1"/>
    <col min="15" max="15" width="10.68359375" customWidth="1"/>
  </cols>
  <sheetData>
    <row r="1" spans="1:3" s="1" customFormat="1" ht="18.3">
      <c r="A1" s="1" t="str">
        <f>'READ ME'!A20</f>
        <v>Retail Worker Cooperative, Inc</v>
      </c>
    </row>
    <row r="2" spans="1:3" s="3" customFormat="1" ht="18.3">
      <c r="A2" s="2" t="s">
        <v>41</v>
      </c>
    </row>
    <row r="4" spans="1:3" s="96" customFormat="1" ht="18.3">
      <c r="A4" s="96" t="s">
        <v>165</v>
      </c>
    </row>
    <row r="6" spans="1:3" s="92" customFormat="1">
      <c r="A6" s="92" t="s">
        <v>168</v>
      </c>
    </row>
    <row r="8" spans="1:3">
      <c r="A8" s="18" t="s">
        <v>164</v>
      </c>
    </row>
    <row r="9" spans="1:3">
      <c r="A9" t="s">
        <v>8</v>
      </c>
      <c r="B9" s="13">
        <v>6</v>
      </c>
    </row>
    <row r="10" spans="1:3">
      <c r="A10" t="s">
        <v>163</v>
      </c>
      <c r="B10" s="13">
        <v>12</v>
      </c>
    </row>
    <row r="12" spans="1:3">
      <c r="A12" s="18" t="s">
        <v>166</v>
      </c>
    </row>
    <row r="13" spans="1:3">
      <c r="A13" t="s">
        <v>167</v>
      </c>
      <c r="B13" s="17">
        <v>3</v>
      </c>
      <c r="C13" s="93"/>
    </row>
    <row r="15" spans="1:3" s="92" customFormat="1">
      <c r="A15" s="92" t="s">
        <v>177</v>
      </c>
    </row>
    <row r="17" spans="1:3">
      <c r="A17" s="18" t="s">
        <v>14</v>
      </c>
    </row>
    <row r="18" spans="1:3">
      <c r="A18" t="s">
        <v>33</v>
      </c>
      <c r="B18" s="13">
        <v>100</v>
      </c>
      <c r="C18" s="93"/>
    </row>
    <row r="19" spans="1:3">
      <c r="A19" t="s">
        <v>170</v>
      </c>
      <c r="B19" s="16">
        <f>IFERROR(B18/B10,"")</f>
        <v>8.3333333333333339</v>
      </c>
    </row>
    <row r="20" spans="1:3">
      <c r="A20" t="s">
        <v>11</v>
      </c>
      <c r="B20" s="8">
        <f>B18*B13</f>
        <v>300</v>
      </c>
    </row>
    <row r="22" spans="1:3">
      <c r="A22" s="18" t="s">
        <v>15</v>
      </c>
    </row>
    <row r="23" spans="1:3" ht="14.25" customHeight="1">
      <c r="A23" t="s">
        <v>9</v>
      </c>
      <c r="B23" s="16">
        <f>B18*B9</f>
        <v>600</v>
      </c>
    </row>
    <row r="24" spans="1:3">
      <c r="A24" t="s">
        <v>12</v>
      </c>
      <c r="B24" s="8">
        <f>B23*B13</f>
        <v>1800</v>
      </c>
    </row>
    <row r="26" spans="1:3">
      <c r="A26" s="18" t="s">
        <v>16</v>
      </c>
    </row>
    <row r="27" spans="1:3">
      <c r="A27" t="s">
        <v>35</v>
      </c>
      <c r="B27" s="14">
        <f>52/12</f>
        <v>4.333333333333333</v>
      </c>
    </row>
    <row r="28" spans="1:3">
      <c r="A28" t="s">
        <v>34</v>
      </c>
      <c r="B28" s="21">
        <f>B9*B27</f>
        <v>26</v>
      </c>
    </row>
    <row r="29" spans="1:3">
      <c r="A29" t="s">
        <v>29</v>
      </c>
      <c r="B29" s="16">
        <f>B23*B27</f>
        <v>2600</v>
      </c>
      <c r="C29" s="16"/>
    </row>
    <row r="30" spans="1:3">
      <c r="A30" t="s">
        <v>13</v>
      </c>
      <c r="B30" s="9">
        <f>B24*B27</f>
        <v>7799.9999999999991</v>
      </c>
    </row>
    <row r="32" spans="1:3" s="96" customFormat="1" ht="18.3">
      <c r="A32" s="96" t="s">
        <v>30</v>
      </c>
    </row>
    <row r="34" spans="1:15" s="92" customFormat="1">
      <c r="A34" s="92" t="s">
        <v>171</v>
      </c>
    </row>
    <row r="35" spans="1:15" s="92" customFormat="1">
      <c r="A35" s="92" t="s">
        <v>183</v>
      </c>
    </row>
    <row r="36" spans="1:15" s="92" customFormat="1">
      <c r="A36" s="92" t="s">
        <v>172</v>
      </c>
    </row>
    <row r="37" spans="1:15" s="92" customFormat="1">
      <c r="A37" s="92" t="s">
        <v>175</v>
      </c>
    </row>
    <row r="38" spans="1:15" s="92" customFormat="1">
      <c r="A38" s="92" t="s">
        <v>181</v>
      </c>
    </row>
    <row r="40" spans="1:15">
      <c r="A40" s="18" t="s">
        <v>173</v>
      </c>
      <c r="B40" s="95" t="s">
        <v>31</v>
      </c>
      <c r="C40" s="19" t="s">
        <v>17</v>
      </c>
      <c r="D40" s="19" t="s">
        <v>18</v>
      </c>
      <c r="E40" s="19" t="s">
        <v>19</v>
      </c>
      <c r="F40" s="19" t="s">
        <v>20</v>
      </c>
      <c r="G40" s="19" t="s">
        <v>21</v>
      </c>
      <c r="H40" s="19" t="s">
        <v>22</v>
      </c>
      <c r="I40" s="19" t="s">
        <v>23</v>
      </c>
      <c r="J40" s="19" t="s">
        <v>24</v>
      </c>
      <c r="K40" s="19" t="s">
        <v>25</v>
      </c>
      <c r="L40" s="19" t="s">
        <v>26</v>
      </c>
      <c r="M40" s="19" t="s">
        <v>27</v>
      </c>
      <c r="N40" s="19" t="s">
        <v>28</v>
      </c>
      <c r="O40" s="19" t="s">
        <v>5</v>
      </c>
    </row>
    <row r="41" spans="1:15">
      <c r="A41" t="s">
        <v>138</v>
      </c>
      <c r="C41" s="94"/>
      <c r="D41" s="20">
        <v>0.05</v>
      </c>
      <c r="E41" s="20">
        <v>0.05</v>
      </c>
      <c r="F41" s="20">
        <v>0.05</v>
      </c>
      <c r="G41" s="20">
        <v>0.05</v>
      </c>
      <c r="H41" s="20">
        <v>0.05</v>
      </c>
      <c r="I41" s="20">
        <v>0.05</v>
      </c>
      <c r="J41" s="20">
        <v>0.05</v>
      </c>
      <c r="K41" s="20">
        <v>0.05</v>
      </c>
      <c r="L41" s="20">
        <v>0.05</v>
      </c>
      <c r="M41" s="20">
        <v>0.05</v>
      </c>
      <c r="N41" s="20">
        <v>0.05</v>
      </c>
    </row>
    <row r="42" spans="1:15">
      <c r="A42" t="s">
        <v>29</v>
      </c>
      <c r="B42" s="15">
        <f>B29</f>
        <v>2600</v>
      </c>
      <c r="C42" s="15">
        <f>B42+(B42*C41)</f>
        <v>2600</v>
      </c>
      <c r="D42" s="15">
        <f t="shared" ref="D42:N42" si="0">C42+(C42*D41)</f>
        <v>2730</v>
      </c>
      <c r="E42" s="15">
        <f t="shared" si="0"/>
        <v>2866.5</v>
      </c>
      <c r="F42" s="15">
        <f t="shared" si="0"/>
        <v>3009.8249999999998</v>
      </c>
      <c r="G42" s="15">
        <f t="shared" si="0"/>
        <v>3160.3162499999999</v>
      </c>
      <c r="H42" s="15">
        <f t="shared" si="0"/>
        <v>3318.3320624999997</v>
      </c>
      <c r="I42" s="15">
        <f t="shared" si="0"/>
        <v>3484.2486656249998</v>
      </c>
      <c r="J42" s="15">
        <f t="shared" si="0"/>
        <v>3658.4610989062498</v>
      </c>
      <c r="K42" s="15">
        <f t="shared" si="0"/>
        <v>3841.3841538515626</v>
      </c>
      <c r="L42" s="15">
        <f t="shared" si="0"/>
        <v>4033.4533615441405</v>
      </c>
      <c r="M42" s="15">
        <f t="shared" si="0"/>
        <v>4235.1260296213477</v>
      </c>
      <c r="N42" s="15">
        <f t="shared" si="0"/>
        <v>4446.8823311024153</v>
      </c>
      <c r="O42" s="15"/>
    </row>
    <row r="43" spans="1:15">
      <c r="A43" t="s">
        <v>10</v>
      </c>
      <c r="B43" s="7">
        <f>B13</f>
        <v>3</v>
      </c>
      <c r="C43" s="7">
        <f>$B43</f>
        <v>3</v>
      </c>
      <c r="D43" s="7">
        <f t="shared" ref="D43:N43" si="1">$B43</f>
        <v>3</v>
      </c>
      <c r="E43" s="7">
        <f t="shared" si="1"/>
        <v>3</v>
      </c>
      <c r="F43" s="7">
        <f t="shared" si="1"/>
        <v>3</v>
      </c>
      <c r="G43" s="7">
        <f t="shared" si="1"/>
        <v>3</v>
      </c>
      <c r="H43" s="7">
        <f t="shared" si="1"/>
        <v>3</v>
      </c>
      <c r="I43" s="7">
        <f t="shared" si="1"/>
        <v>3</v>
      </c>
      <c r="J43" s="7">
        <f t="shared" si="1"/>
        <v>3</v>
      </c>
      <c r="K43" s="7">
        <f t="shared" si="1"/>
        <v>3</v>
      </c>
      <c r="L43" s="7">
        <f t="shared" si="1"/>
        <v>3</v>
      </c>
      <c r="M43" s="7">
        <f t="shared" si="1"/>
        <v>3</v>
      </c>
      <c r="N43" s="7">
        <f t="shared" si="1"/>
        <v>3</v>
      </c>
      <c r="O43" s="7"/>
    </row>
    <row r="44" spans="1:15">
      <c r="A44" t="s">
        <v>32</v>
      </c>
      <c r="B44" s="8"/>
      <c r="C44" s="8">
        <f t="shared" ref="C44:N44" si="2">C42*C43</f>
        <v>7800</v>
      </c>
      <c r="D44" s="8">
        <f t="shared" si="2"/>
        <v>8190</v>
      </c>
      <c r="E44" s="8">
        <f t="shared" si="2"/>
        <v>8599.5</v>
      </c>
      <c r="F44" s="8">
        <f t="shared" si="2"/>
        <v>9029.4749999999985</v>
      </c>
      <c r="G44" s="8">
        <f t="shared" si="2"/>
        <v>9480.9487499999996</v>
      </c>
      <c r="H44" s="8">
        <f t="shared" si="2"/>
        <v>9954.996187499999</v>
      </c>
      <c r="I44" s="8">
        <f t="shared" si="2"/>
        <v>10452.745996874999</v>
      </c>
      <c r="J44" s="8">
        <f t="shared" si="2"/>
        <v>10975.38329671875</v>
      </c>
      <c r="K44" s="8">
        <f t="shared" si="2"/>
        <v>11524.152461554688</v>
      </c>
      <c r="L44" s="8">
        <f t="shared" si="2"/>
        <v>12100.360084632423</v>
      </c>
      <c r="M44" s="8">
        <f t="shared" si="2"/>
        <v>12705.378088864043</v>
      </c>
      <c r="N44" s="8">
        <f t="shared" si="2"/>
        <v>13340.646993307246</v>
      </c>
      <c r="O44" s="8">
        <f>SUM(C44:N44)</f>
        <v>124153.58685945216</v>
      </c>
    </row>
    <row r="45" spans="1:1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18" t="s">
        <v>174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t="s">
        <v>33</v>
      </c>
      <c r="B47" s="8"/>
      <c r="C47" s="16">
        <f>IFERROR(C42/$B$28,"")</f>
        <v>100</v>
      </c>
      <c r="D47" s="16">
        <f t="shared" ref="D47:N47" si="3">IFERROR(D42/$B$28,"")</f>
        <v>105</v>
      </c>
      <c r="E47" s="16">
        <f t="shared" si="3"/>
        <v>110.25</v>
      </c>
      <c r="F47" s="16">
        <f t="shared" si="3"/>
        <v>115.76249999999999</v>
      </c>
      <c r="G47" s="16">
        <f t="shared" si="3"/>
        <v>121.550625</v>
      </c>
      <c r="H47" s="16">
        <f t="shared" si="3"/>
        <v>127.62815624999999</v>
      </c>
      <c r="I47" s="16">
        <f t="shared" si="3"/>
        <v>134.0095640625</v>
      </c>
      <c r="J47" s="16">
        <f t="shared" si="3"/>
        <v>140.71004226562499</v>
      </c>
      <c r="K47" s="16">
        <f t="shared" si="3"/>
        <v>147.74554437890626</v>
      </c>
      <c r="L47" s="16">
        <f t="shared" si="3"/>
        <v>155.13282159785155</v>
      </c>
      <c r="M47" s="16">
        <f t="shared" si="3"/>
        <v>162.88946267774415</v>
      </c>
      <c r="N47" s="16">
        <f t="shared" si="3"/>
        <v>171.03393581163135</v>
      </c>
      <c r="O47" s="8"/>
    </row>
    <row r="48" spans="1:15">
      <c r="A48" t="s">
        <v>7</v>
      </c>
      <c r="B48" s="8"/>
      <c r="C48" s="16">
        <f t="shared" ref="C48:N48" si="4">IFERROR(C47/$B$10,"")</f>
        <v>8.3333333333333339</v>
      </c>
      <c r="D48" s="16">
        <f t="shared" si="4"/>
        <v>8.75</v>
      </c>
      <c r="E48" s="16">
        <f t="shared" si="4"/>
        <v>9.1875</v>
      </c>
      <c r="F48" s="16">
        <f t="shared" si="4"/>
        <v>9.6468749999999996</v>
      </c>
      <c r="G48" s="16">
        <f t="shared" si="4"/>
        <v>10.12921875</v>
      </c>
      <c r="H48" s="16">
        <f t="shared" si="4"/>
        <v>10.6356796875</v>
      </c>
      <c r="I48" s="16">
        <f t="shared" si="4"/>
        <v>11.167463671875</v>
      </c>
      <c r="J48" s="16">
        <f t="shared" si="4"/>
        <v>11.725836855468749</v>
      </c>
      <c r="K48" s="16">
        <f t="shared" si="4"/>
        <v>12.312128698242189</v>
      </c>
      <c r="L48" s="16">
        <f t="shared" si="4"/>
        <v>12.927735133154295</v>
      </c>
      <c r="M48" s="16">
        <f t="shared" si="4"/>
        <v>13.574121889812012</v>
      </c>
      <c r="N48" s="16">
        <f t="shared" si="4"/>
        <v>14.252827984302613</v>
      </c>
      <c r="O48" s="8"/>
    </row>
    <row r="50" spans="1:1" s="92" customFormat="1">
      <c r="A50" s="92" t="s">
        <v>176</v>
      </c>
    </row>
    <row r="63" spans="1:1" s="96" customFormat="1" ht="18.3">
      <c r="A63" s="96" t="s">
        <v>39</v>
      </c>
    </row>
    <row r="65" spans="1:15" s="92" customFormat="1">
      <c r="A65" s="92" t="s">
        <v>178</v>
      </c>
    </row>
    <row r="66" spans="1:15" s="92" customFormat="1">
      <c r="A66" s="92" t="s">
        <v>179</v>
      </c>
    </row>
    <row r="67" spans="1:15" s="92" customFormat="1">
      <c r="A67" s="92" t="s">
        <v>180</v>
      </c>
    </row>
    <row r="69" spans="1:15">
      <c r="B69" s="19"/>
      <c r="C69" s="19" t="s">
        <v>17</v>
      </c>
      <c r="D69" s="19" t="s">
        <v>18</v>
      </c>
      <c r="E69" s="19" t="s">
        <v>19</v>
      </c>
      <c r="F69" s="19" t="s">
        <v>20</v>
      </c>
      <c r="G69" s="19" t="s">
        <v>21</v>
      </c>
      <c r="H69" s="19" t="s">
        <v>22</v>
      </c>
      <c r="I69" s="19" t="s">
        <v>23</v>
      </c>
      <c r="J69" s="19" t="s">
        <v>24</v>
      </c>
      <c r="K69" s="19" t="s">
        <v>25</v>
      </c>
      <c r="L69" s="19" t="s">
        <v>26</v>
      </c>
      <c r="M69" s="19" t="s">
        <v>27</v>
      </c>
      <c r="N69" s="19" t="s">
        <v>28</v>
      </c>
      <c r="O69" s="19" t="s">
        <v>5</v>
      </c>
    </row>
    <row r="70" spans="1:15">
      <c r="A70" t="s">
        <v>36</v>
      </c>
      <c r="C70" s="20">
        <v>0</v>
      </c>
      <c r="D70" s="20">
        <v>-0.1</v>
      </c>
      <c r="E70" s="20">
        <v>0</v>
      </c>
      <c r="F70" s="20">
        <v>0</v>
      </c>
      <c r="G70" s="20">
        <v>0</v>
      </c>
      <c r="H70" s="20">
        <v>0</v>
      </c>
      <c r="I70" s="20">
        <v>-0.1</v>
      </c>
      <c r="J70" s="20">
        <v>-0.1</v>
      </c>
      <c r="K70" s="20">
        <v>0</v>
      </c>
      <c r="L70" s="20">
        <v>0</v>
      </c>
      <c r="M70" s="20">
        <v>0.1</v>
      </c>
      <c r="N70" s="20">
        <v>0.1</v>
      </c>
    </row>
    <row r="71" spans="1:15">
      <c r="A71" t="s">
        <v>37</v>
      </c>
      <c r="B71" s="15"/>
      <c r="C71" s="8">
        <f t="shared" ref="C71:N71" si="5">C44</f>
        <v>7800</v>
      </c>
      <c r="D71" s="8">
        <f t="shared" si="5"/>
        <v>8190</v>
      </c>
      <c r="E71" s="8">
        <f t="shared" si="5"/>
        <v>8599.5</v>
      </c>
      <c r="F71" s="8">
        <f t="shared" si="5"/>
        <v>9029.4749999999985</v>
      </c>
      <c r="G71" s="8">
        <f t="shared" si="5"/>
        <v>9480.9487499999996</v>
      </c>
      <c r="H71" s="8">
        <f t="shared" si="5"/>
        <v>9954.996187499999</v>
      </c>
      <c r="I71" s="8">
        <f t="shared" si="5"/>
        <v>10452.745996874999</v>
      </c>
      <c r="J71" s="8">
        <f t="shared" si="5"/>
        <v>10975.38329671875</v>
      </c>
      <c r="K71" s="8">
        <f t="shared" si="5"/>
        <v>11524.152461554688</v>
      </c>
      <c r="L71" s="8">
        <f t="shared" si="5"/>
        <v>12100.360084632423</v>
      </c>
      <c r="M71" s="8">
        <f t="shared" si="5"/>
        <v>12705.378088864043</v>
      </c>
      <c r="N71" s="8">
        <f t="shared" si="5"/>
        <v>13340.646993307246</v>
      </c>
      <c r="O71" s="15"/>
    </row>
    <row r="72" spans="1:15">
      <c r="A72" t="s">
        <v>38</v>
      </c>
      <c r="C72" s="8">
        <f>C71+(C71*C70)</f>
        <v>7800</v>
      </c>
      <c r="D72" s="8">
        <f t="shared" ref="D72:N72" si="6">D71+(D71*D70)</f>
        <v>7371</v>
      </c>
      <c r="E72" s="8">
        <f t="shared" si="6"/>
        <v>8599.5</v>
      </c>
      <c r="F72" s="8">
        <f t="shared" si="6"/>
        <v>9029.4749999999985</v>
      </c>
      <c r="G72" s="8">
        <f t="shared" si="6"/>
        <v>9480.9487499999996</v>
      </c>
      <c r="H72" s="8">
        <f t="shared" si="6"/>
        <v>9954.996187499999</v>
      </c>
      <c r="I72" s="8">
        <f t="shared" si="6"/>
        <v>9407.471397187499</v>
      </c>
      <c r="J72" s="8">
        <f t="shared" si="6"/>
        <v>9877.8449670468744</v>
      </c>
      <c r="K72" s="8">
        <f t="shared" si="6"/>
        <v>11524.152461554688</v>
      </c>
      <c r="L72" s="8">
        <f t="shared" si="6"/>
        <v>12100.360084632423</v>
      </c>
      <c r="M72" s="8">
        <f t="shared" si="6"/>
        <v>13975.915897750448</v>
      </c>
      <c r="N72" s="8">
        <f t="shared" si="6"/>
        <v>14674.711692637971</v>
      </c>
      <c r="O72" s="8">
        <f>SUM(C72:N72)</f>
        <v>123796.3764383099</v>
      </c>
    </row>
    <row r="73" spans="1:15">
      <c r="O73" s="8"/>
    </row>
    <row r="74" spans="1:15" s="92" customFormat="1">
      <c r="A74" s="92" t="s">
        <v>182</v>
      </c>
    </row>
    <row r="87" spans="1:15" s="96" customFormat="1" ht="18.3">
      <c r="A87" s="96" t="s">
        <v>211</v>
      </c>
    </row>
    <row r="89" spans="1:15" s="92" customFormat="1">
      <c r="A89" s="92" t="s">
        <v>208</v>
      </c>
    </row>
    <row r="90" spans="1:15" s="92" customFormat="1">
      <c r="A90" s="92" t="s">
        <v>184</v>
      </c>
    </row>
    <row r="91" spans="1:15" s="92" customFormat="1">
      <c r="A91" s="92" t="s">
        <v>185</v>
      </c>
    </row>
    <row r="92" spans="1:15" s="92" customFormat="1">
      <c r="A92" s="92" t="s">
        <v>186</v>
      </c>
    </row>
    <row r="93" spans="1:15" s="92" customFormat="1">
      <c r="A93" s="92" t="s">
        <v>212</v>
      </c>
    </row>
    <row r="95" spans="1:15">
      <c r="B95" s="19"/>
      <c r="C95" s="19" t="s">
        <v>17</v>
      </c>
      <c r="D95" s="19" t="s">
        <v>18</v>
      </c>
      <c r="E95" s="19" t="s">
        <v>19</v>
      </c>
      <c r="F95" s="19" t="s">
        <v>20</v>
      </c>
      <c r="G95" s="19" t="s">
        <v>21</v>
      </c>
      <c r="H95" s="19" t="s">
        <v>22</v>
      </c>
      <c r="I95" s="19" t="s">
        <v>23</v>
      </c>
      <c r="J95" s="19" t="s">
        <v>24</v>
      </c>
      <c r="K95" s="19" t="s">
        <v>25</v>
      </c>
      <c r="L95" s="19" t="s">
        <v>26</v>
      </c>
      <c r="M95" s="19" t="s">
        <v>27</v>
      </c>
      <c r="N95" s="19" t="s">
        <v>28</v>
      </c>
      <c r="O95" s="19" t="s">
        <v>5</v>
      </c>
    </row>
    <row r="96" spans="1:15" s="78" customFormat="1">
      <c r="A96" s="78" t="s">
        <v>44</v>
      </c>
      <c r="C96" s="82">
        <v>0.35</v>
      </c>
      <c r="D96" s="82">
        <v>0.34</v>
      </c>
      <c r="E96" s="82">
        <v>0.33</v>
      </c>
      <c r="F96" s="82">
        <v>0.32</v>
      </c>
      <c r="G96" s="82">
        <v>0.31</v>
      </c>
      <c r="H96" s="82">
        <v>0.3</v>
      </c>
      <c r="I96" s="82">
        <v>0.3</v>
      </c>
      <c r="J96" s="82">
        <v>0.3</v>
      </c>
      <c r="K96" s="82">
        <v>0.3</v>
      </c>
      <c r="L96" s="82">
        <v>0.3</v>
      </c>
      <c r="M96" s="82">
        <v>0.3</v>
      </c>
      <c r="N96" s="82">
        <v>0.3</v>
      </c>
    </row>
    <row r="97" spans="1:15">
      <c r="A97" t="s">
        <v>43</v>
      </c>
      <c r="B97" s="15"/>
      <c r="C97" s="8">
        <f t="shared" ref="C97:N97" si="7">C72</f>
        <v>7800</v>
      </c>
      <c r="D97" s="8">
        <f t="shared" si="7"/>
        <v>7371</v>
      </c>
      <c r="E97" s="8">
        <f t="shared" si="7"/>
        <v>8599.5</v>
      </c>
      <c r="F97" s="8">
        <f t="shared" si="7"/>
        <v>9029.4749999999985</v>
      </c>
      <c r="G97" s="8">
        <f t="shared" si="7"/>
        <v>9480.9487499999996</v>
      </c>
      <c r="H97" s="8">
        <f t="shared" si="7"/>
        <v>9954.996187499999</v>
      </c>
      <c r="I97" s="8">
        <f t="shared" si="7"/>
        <v>9407.471397187499</v>
      </c>
      <c r="J97" s="8">
        <f t="shared" si="7"/>
        <v>9877.8449670468744</v>
      </c>
      <c r="K97" s="8">
        <f t="shared" si="7"/>
        <v>11524.152461554688</v>
      </c>
      <c r="L97" s="8">
        <f t="shared" si="7"/>
        <v>12100.360084632423</v>
      </c>
      <c r="M97" s="8">
        <f t="shared" si="7"/>
        <v>13975.915897750448</v>
      </c>
      <c r="N97" s="8">
        <f t="shared" si="7"/>
        <v>14674.711692637971</v>
      </c>
      <c r="O97" s="8">
        <f>SUM(C97:N97)</f>
        <v>123796.3764383099</v>
      </c>
    </row>
    <row r="98" spans="1:15" ht="14.25" customHeight="1">
      <c r="A98" t="s">
        <v>42</v>
      </c>
      <c r="C98" s="8">
        <f>C97*C96</f>
        <v>2730</v>
      </c>
      <c r="D98" s="8">
        <f t="shared" ref="D98:N98" si="8">D97*D96</f>
        <v>2506.1400000000003</v>
      </c>
      <c r="E98" s="8">
        <f t="shared" si="8"/>
        <v>2837.835</v>
      </c>
      <c r="F98" s="8">
        <f t="shared" si="8"/>
        <v>2889.4319999999998</v>
      </c>
      <c r="G98" s="8">
        <f t="shared" si="8"/>
        <v>2939.0941124999999</v>
      </c>
      <c r="H98" s="8">
        <f t="shared" si="8"/>
        <v>2986.4988562499998</v>
      </c>
      <c r="I98" s="8">
        <f t="shared" si="8"/>
        <v>2822.2414191562498</v>
      </c>
      <c r="J98" s="8">
        <f t="shared" si="8"/>
        <v>2963.3534901140624</v>
      </c>
      <c r="K98" s="8">
        <f t="shared" si="8"/>
        <v>3457.2457384664062</v>
      </c>
      <c r="L98" s="8">
        <f t="shared" si="8"/>
        <v>3630.1080253897267</v>
      </c>
      <c r="M98" s="8">
        <f t="shared" si="8"/>
        <v>4192.774769325134</v>
      </c>
      <c r="N98" s="8">
        <f t="shared" si="8"/>
        <v>4402.4135077913916</v>
      </c>
      <c r="O98" s="8">
        <f>SUM(C98:N98)</f>
        <v>38357.136918992968</v>
      </c>
    </row>
    <row r="99" spans="1:15" s="44" customFormat="1">
      <c r="A99" s="44" t="s">
        <v>45</v>
      </c>
      <c r="C99" s="97">
        <f>C97-C98</f>
        <v>5070</v>
      </c>
      <c r="D99" s="97">
        <f t="shared" ref="D99:O99" si="9">D97-D98</f>
        <v>4864.8599999999997</v>
      </c>
      <c r="E99" s="97">
        <f t="shared" si="9"/>
        <v>5761.665</v>
      </c>
      <c r="F99" s="97">
        <f t="shared" si="9"/>
        <v>6140.0429999999988</v>
      </c>
      <c r="G99" s="97">
        <f t="shared" si="9"/>
        <v>6541.8546374999996</v>
      </c>
      <c r="H99" s="97">
        <f t="shared" si="9"/>
        <v>6968.4973312499988</v>
      </c>
      <c r="I99" s="97">
        <f t="shared" si="9"/>
        <v>6585.2299780312496</v>
      </c>
      <c r="J99" s="97">
        <f t="shared" si="9"/>
        <v>6914.4914769328116</v>
      </c>
      <c r="K99" s="97">
        <f t="shared" si="9"/>
        <v>8066.9067230882811</v>
      </c>
      <c r="L99" s="97">
        <f t="shared" si="9"/>
        <v>8470.2520592426954</v>
      </c>
      <c r="M99" s="97">
        <f t="shared" si="9"/>
        <v>9783.1411284253154</v>
      </c>
      <c r="N99" s="97">
        <f t="shared" si="9"/>
        <v>10272.298184846579</v>
      </c>
      <c r="O99" s="97">
        <f t="shared" si="9"/>
        <v>85439.239519316936</v>
      </c>
    </row>
    <row r="100" spans="1:15" s="80" customFormat="1">
      <c r="A100" s="80" t="s">
        <v>131</v>
      </c>
      <c r="C100" s="81">
        <f>IFERROR(C99/C97,"")</f>
        <v>0.65</v>
      </c>
      <c r="D100" s="81">
        <f t="shared" ref="D100:O100" si="10">IFERROR(D99/D97,"")</f>
        <v>0.65999999999999992</v>
      </c>
      <c r="E100" s="81">
        <f t="shared" si="10"/>
        <v>0.67</v>
      </c>
      <c r="F100" s="81">
        <f t="shared" si="10"/>
        <v>0.67999999999999994</v>
      </c>
      <c r="G100" s="81">
        <f t="shared" si="10"/>
        <v>0.69</v>
      </c>
      <c r="H100" s="81">
        <f t="shared" si="10"/>
        <v>0.7</v>
      </c>
      <c r="I100" s="81">
        <f t="shared" si="10"/>
        <v>0.70000000000000007</v>
      </c>
      <c r="J100" s="81">
        <f t="shared" si="10"/>
        <v>0.7</v>
      </c>
      <c r="K100" s="81">
        <f t="shared" si="10"/>
        <v>0.7</v>
      </c>
      <c r="L100" s="81">
        <f t="shared" si="10"/>
        <v>0.7</v>
      </c>
      <c r="M100" s="81">
        <f t="shared" si="10"/>
        <v>0.70000000000000007</v>
      </c>
      <c r="N100" s="81">
        <f t="shared" si="10"/>
        <v>0.7</v>
      </c>
      <c r="O100" s="81">
        <f t="shared" si="10"/>
        <v>0.69015945359186615</v>
      </c>
    </row>
    <row r="102" spans="1:15" s="98" customFormat="1" ht="18.3">
      <c r="A102" s="98" t="s">
        <v>187</v>
      </c>
    </row>
    <row r="104" spans="1:15">
      <c r="A104" t="s">
        <v>248</v>
      </c>
    </row>
    <row r="105" spans="1:15">
      <c r="A105" t="s">
        <v>188</v>
      </c>
    </row>
    <row r="106" spans="1:15">
      <c r="A106" t="s">
        <v>189</v>
      </c>
    </row>
    <row r="107" spans="1:15">
      <c r="A107" s="91" t="s">
        <v>40</v>
      </c>
    </row>
    <row r="109" spans="1:15">
      <c r="A109" t="s">
        <v>213</v>
      </c>
    </row>
    <row r="110" spans="1:15">
      <c r="A110" s="91" t="s">
        <v>46</v>
      </c>
    </row>
  </sheetData>
  <hyperlinks>
    <hyperlink ref="A107" location="'12 month PL'!A1" display="12 Month Profit and Loss" xr:uid="{00000000-0004-0000-0100-000000000000}"/>
    <hyperlink ref="A110" location="Labor!A1" display="Labor" xr:uid="{00000000-0004-0000-0100-000001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P83"/>
  <sheetViews>
    <sheetView workbookViewId="0">
      <selection activeCell="G27" sqref="G27"/>
    </sheetView>
  </sheetViews>
  <sheetFormatPr defaultRowHeight="14.4"/>
  <cols>
    <col min="1" max="1" width="35" customWidth="1"/>
    <col min="2" max="2" width="10.83984375" customWidth="1"/>
    <col min="3" max="8" width="9" customWidth="1"/>
    <col min="11" max="11" width="10.578125" customWidth="1"/>
    <col min="12" max="13" width="9.26171875" bestFit="1" customWidth="1"/>
    <col min="14" max="14" width="10.68359375" customWidth="1"/>
    <col min="15" max="15" width="10.578125" bestFit="1" customWidth="1"/>
    <col min="16" max="16" width="9.26171875" bestFit="1" customWidth="1"/>
  </cols>
  <sheetData>
    <row r="1" spans="1:14" s="1" customFormat="1" ht="18.3">
      <c r="A1" s="1" t="str">
        <f>'READ ME'!A20</f>
        <v>Retail Worker Cooperative, Inc</v>
      </c>
    </row>
    <row r="2" spans="1:14" s="3" customFormat="1" ht="18.3">
      <c r="A2" s="2" t="s">
        <v>46</v>
      </c>
    </row>
    <row r="4" spans="1:14" s="99" customFormat="1" ht="18.3">
      <c r="A4" s="99" t="s">
        <v>204</v>
      </c>
    </row>
    <row r="6" spans="1:14" s="92" customFormat="1">
      <c r="A6" s="92" t="s">
        <v>195</v>
      </c>
    </row>
    <row r="7" spans="1:14" s="92" customFormat="1">
      <c r="A7" s="92" t="s">
        <v>190</v>
      </c>
    </row>
    <row r="8" spans="1:14" s="92" customFormat="1">
      <c r="A8" s="92" t="s">
        <v>194</v>
      </c>
    </row>
    <row r="10" spans="1:14">
      <c r="A10" s="53" t="s">
        <v>48</v>
      </c>
      <c r="B10" t="s">
        <v>57</v>
      </c>
      <c r="C10" s="19" t="s">
        <v>49</v>
      </c>
      <c r="D10" s="19" t="s">
        <v>50</v>
      </c>
      <c r="E10" s="19" t="s">
        <v>51</v>
      </c>
      <c r="F10" s="19" t="s">
        <v>52</v>
      </c>
      <c r="G10" s="19" t="s">
        <v>53</v>
      </c>
      <c r="H10" s="19" t="s">
        <v>54</v>
      </c>
      <c r="I10" s="19" t="s">
        <v>55</v>
      </c>
      <c r="J10" s="19" t="s">
        <v>56</v>
      </c>
      <c r="K10" s="19" t="s">
        <v>58</v>
      </c>
      <c r="L10" t="s">
        <v>203</v>
      </c>
      <c r="M10" t="s">
        <v>59</v>
      </c>
      <c r="N10" t="s">
        <v>60</v>
      </c>
    </row>
    <row r="11" spans="1:14">
      <c r="A11" s="10" t="s">
        <v>191</v>
      </c>
      <c r="B11" s="17">
        <v>12</v>
      </c>
      <c r="C11" s="13">
        <v>24</v>
      </c>
      <c r="D11" s="13">
        <v>24</v>
      </c>
      <c r="E11" s="13">
        <v>24</v>
      </c>
      <c r="F11" s="13">
        <v>24</v>
      </c>
      <c r="G11" s="13">
        <v>24</v>
      </c>
      <c r="H11" s="13">
        <v>24</v>
      </c>
      <c r="I11" s="13">
        <v>24</v>
      </c>
      <c r="J11" s="15">
        <f>SUM(C11:I11)</f>
        <v>168</v>
      </c>
      <c r="K11" s="8">
        <f t="shared" ref="K11:K18" si="0">J11*B11</f>
        <v>2016</v>
      </c>
      <c r="L11" s="103">
        <f>K11*C$28</f>
        <v>162.83076923076925</v>
      </c>
      <c r="M11" s="9">
        <f t="shared" ref="M11:M18" si="1">SUM(K11:L11)</f>
        <v>2178.8307692307694</v>
      </c>
      <c r="N11" s="7">
        <f t="shared" ref="N11:N19" si="2">IFERROR(M11/J11,0)</f>
        <v>12.969230769230771</v>
      </c>
    </row>
    <row r="12" spans="1:14">
      <c r="A12" s="10" t="s">
        <v>192</v>
      </c>
      <c r="B12" s="17">
        <v>15</v>
      </c>
      <c r="C12" s="13"/>
      <c r="D12" s="13">
        <v>8</v>
      </c>
      <c r="E12" s="13">
        <v>8</v>
      </c>
      <c r="F12" s="13">
        <v>8</v>
      </c>
      <c r="G12" s="13">
        <v>8</v>
      </c>
      <c r="H12" s="13">
        <v>8</v>
      </c>
      <c r="I12" s="13"/>
      <c r="J12" s="15">
        <f t="shared" ref="J12:J18" si="3">SUM(C12:I12)</f>
        <v>40</v>
      </c>
      <c r="K12" s="8">
        <f t="shared" si="0"/>
        <v>600</v>
      </c>
      <c r="L12" s="103">
        <f t="shared" ref="L12:L18" si="4">K12*C$28</f>
        <v>48.461538461538467</v>
      </c>
      <c r="M12" s="9">
        <f t="shared" si="1"/>
        <v>648.46153846153845</v>
      </c>
      <c r="N12" s="7">
        <f t="shared" si="2"/>
        <v>16.21153846153846</v>
      </c>
    </row>
    <row r="13" spans="1:14">
      <c r="A13" s="10" t="s">
        <v>193</v>
      </c>
      <c r="B13" s="17">
        <v>11</v>
      </c>
      <c r="C13" s="13">
        <v>6</v>
      </c>
      <c r="D13" s="13"/>
      <c r="E13" s="13"/>
      <c r="F13" s="13"/>
      <c r="G13" s="13"/>
      <c r="H13" s="13"/>
      <c r="I13" s="13">
        <v>6</v>
      </c>
      <c r="J13" s="15">
        <f t="shared" si="3"/>
        <v>12</v>
      </c>
      <c r="K13" s="8">
        <f t="shared" si="0"/>
        <v>132</v>
      </c>
      <c r="L13" s="103">
        <f t="shared" si="4"/>
        <v>10.661538461538463</v>
      </c>
      <c r="M13" s="9">
        <f t="shared" si="1"/>
        <v>142.66153846153847</v>
      </c>
      <c r="N13" s="7">
        <f t="shared" si="2"/>
        <v>11.88846153846154</v>
      </c>
    </row>
    <row r="14" spans="1:14">
      <c r="A14" s="10" t="s">
        <v>196</v>
      </c>
      <c r="B14" s="17"/>
      <c r="C14" s="13"/>
      <c r="D14" s="13"/>
      <c r="E14" s="13"/>
      <c r="F14" s="13"/>
      <c r="G14" s="13"/>
      <c r="H14" s="13"/>
      <c r="I14" s="13"/>
      <c r="J14" s="15">
        <f t="shared" si="3"/>
        <v>0</v>
      </c>
      <c r="K14" s="8">
        <f t="shared" si="0"/>
        <v>0</v>
      </c>
      <c r="L14" s="103">
        <f t="shared" si="4"/>
        <v>0</v>
      </c>
      <c r="M14" s="9">
        <f t="shared" si="1"/>
        <v>0</v>
      </c>
      <c r="N14" s="7">
        <f t="shared" si="2"/>
        <v>0</v>
      </c>
    </row>
    <row r="15" spans="1:14">
      <c r="A15" s="10" t="s">
        <v>196</v>
      </c>
      <c r="B15" s="17"/>
      <c r="C15" s="13"/>
      <c r="D15" s="13"/>
      <c r="E15" s="13"/>
      <c r="F15" s="13"/>
      <c r="G15" s="13"/>
      <c r="H15" s="13"/>
      <c r="I15" s="13"/>
      <c r="J15" s="15">
        <f t="shared" si="3"/>
        <v>0</v>
      </c>
      <c r="K15" s="8">
        <f t="shared" si="0"/>
        <v>0</v>
      </c>
      <c r="L15" s="103">
        <f t="shared" si="4"/>
        <v>0</v>
      </c>
      <c r="M15" s="9">
        <f t="shared" si="1"/>
        <v>0</v>
      </c>
      <c r="N15" s="7">
        <f t="shared" si="2"/>
        <v>0</v>
      </c>
    </row>
    <row r="16" spans="1:14">
      <c r="A16" s="10" t="s">
        <v>196</v>
      </c>
      <c r="B16" s="17"/>
      <c r="C16" s="13"/>
      <c r="D16" s="13"/>
      <c r="E16" s="13"/>
      <c r="F16" s="13"/>
      <c r="G16" s="13"/>
      <c r="H16" s="13"/>
      <c r="I16" s="13"/>
      <c r="J16" s="15">
        <f t="shared" si="3"/>
        <v>0</v>
      </c>
      <c r="K16" s="8">
        <f t="shared" si="0"/>
        <v>0</v>
      </c>
      <c r="L16" s="103">
        <f t="shared" si="4"/>
        <v>0</v>
      </c>
      <c r="M16" s="9">
        <f t="shared" si="1"/>
        <v>0</v>
      </c>
      <c r="N16" s="7">
        <f t="shared" si="2"/>
        <v>0</v>
      </c>
    </row>
    <row r="17" spans="1:14">
      <c r="A17" s="10" t="s">
        <v>196</v>
      </c>
      <c r="B17" s="17"/>
      <c r="C17" s="13"/>
      <c r="D17" s="13"/>
      <c r="E17" s="13"/>
      <c r="F17" s="13"/>
      <c r="G17" s="13"/>
      <c r="H17" s="13"/>
      <c r="I17" s="13"/>
      <c r="J17" s="15">
        <f t="shared" si="3"/>
        <v>0</v>
      </c>
      <c r="K17" s="8">
        <f t="shared" si="0"/>
        <v>0</v>
      </c>
      <c r="L17" s="103">
        <f t="shared" si="4"/>
        <v>0</v>
      </c>
      <c r="M17" s="9">
        <f t="shared" si="1"/>
        <v>0</v>
      </c>
      <c r="N17" s="7">
        <f t="shared" si="2"/>
        <v>0</v>
      </c>
    </row>
    <row r="18" spans="1:14">
      <c r="A18" s="41" t="s">
        <v>196</v>
      </c>
      <c r="B18" s="43"/>
      <c r="C18" s="42"/>
      <c r="D18" s="42"/>
      <c r="E18" s="42"/>
      <c r="F18" s="42"/>
      <c r="G18" s="42"/>
      <c r="H18" s="42"/>
      <c r="I18" s="42"/>
      <c r="J18" s="15">
        <f t="shared" si="3"/>
        <v>0</v>
      </c>
      <c r="K18" s="8">
        <f t="shared" si="0"/>
        <v>0</v>
      </c>
      <c r="L18" s="103">
        <f t="shared" si="4"/>
        <v>0</v>
      </c>
      <c r="M18" s="9">
        <f t="shared" si="1"/>
        <v>0</v>
      </c>
      <c r="N18" s="7">
        <f t="shared" si="2"/>
        <v>0</v>
      </c>
    </row>
    <row r="19" spans="1:14" s="22" customFormat="1">
      <c r="A19" s="44"/>
      <c r="C19" s="45">
        <f t="shared" ref="C19:I19" si="5">SUM(C11:C18)</f>
        <v>30</v>
      </c>
      <c r="D19" s="45">
        <f t="shared" si="5"/>
        <v>32</v>
      </c>
      <c r="E19" s="45">
        <f t="shared" si="5"/>
        <v>32</v>
      </c>
      <c r="F19" s="45">
        <f t="shared" si="5"/>
        <v>32</v>
      </c>
      <c r="G19" s="45">
        <f t="shared" si="5"/>
        <v>32</v>
      </c>
      <c r="H19" s="45">
        <f t="shared" si="5"/>
        <v>32</v>
      </c>
      <c r="I19" s="45">
        <f t="shared" si="5"/>
        <v>30</v>
      </c>
      <c r="J19" s="45">
        <f>SUM(J11:J18)</f>
        <v>220</v>
      </c>
      <c r="K19" s="23">
        <f t="shared" ref="K19:M19" si="6">SUM(K11:K18)</f>
        <v>2748</v>
      </c>
      <c r="L19" s="23">
        <f>SUM(L11:L18)</f>
        <v>221.95384615384617</v>
      </c>
      <c r="M19" s="23">
        <f t="shared" si="6"/>
        <v>2969.9538461538464</v>
      </c>
      <c r="N19" s="46">
        <f t="shared" si="2"/>
        <v>13.499790209790211</v>
      </c>
    </row>
    <row r="21" spans="1:14" s="92" customFormat="1">
      <c r="A21" s="92" t="s">
        <v>200</v>
      </c>
    </row>
    <row r="22" spans="1:14" s="92" customFormat="1">
      <c r="A22" s="92" t="s">
        <v>201</v>
      </c>
    </row>
    <row r="24" spans="1:14">
      <c r="B24" t="s">
        <v>202</v>
      </c>
      <c r="C24" t="s">
        <v>203</v>
      </c>
    </row>
    <row r="25" spans="1:14">
      <c r="A25" s="100" t="s">
        <v>197</v>
      </c>
      <c r="B25" s="13">
        <v>10</v>
      </c>
      <c r="C25" s="101">
        <f>B25/((52*40)/8)</f>
        <v>3.8461538461538464E-2</v>
      </c>
    </row>
    <row r="26" spans="1:14">
      <c r="A26" s="100" t="s">
        <v>198</v>
      </c>
      <c r="B26" s="13">
        <v>6</v>
      </c>
      <c r="C26" s="101">
        <f>B26/((52*40)/8)</f>
        <v>2.3076923076923078E-2</v>
      </c>
    </row>
    <row r="27" spans="1:14">
      <c r="A27" s="100" t="s">
        <v>199</v>
      </c>
      <c r="B27" s="42">
        <v>5</v>
      </c>
      <c r="C27" s="101">
        <f>B27/((52*40)/8)</f>
        <v>1.9230769230769232E-2</v>
      </c>
    </row>
    <row r="28" spans="1:14" s="22" customFormat="1">
      <c r="B28" s="45">
        <f>SUM(B25:B27)</f>
        <v>21</v>
      </c>
      <c r="C28" s="102">
        <f>SUM(C25:C27)</f>
        <v>8.0769230769230774E-2</v>
      </c>
    </row>
    <row r="30" spans="1:14">
      <c r="A30" t="s">
        <v>62</v>
      </c>
      <c r="B30" s="9">
        <f>M19</f>
        <v>2969.9538461538464</v>
      </c>
    </row>
    <row r="31" spans="1:14">
      <c r="A31" t="s">
        <v>35</v>
      </c>
      <c r="B31" s="14">
        <f>52/12</f>
        <v>4.333333333333333</v>
      </c>
    </row>
    <row r="32" spans="1:14">
      <c r="A32" t="s">
        <v>63</v>
      </c>
      <c r="B32" s="9">
        <f>B30*B31</f>
        <v>12869.8</v>
      </c>
    </row>
    <row r="34" spans="1:16" s="99" customFormat="1" ht="18.3">
      <c r="A34" s="99" t="s">
        <v>69</v>
      </c>
    </row>
    <row r="36" spans="1:16" s="92" customFormat="1">
      <c r="A36" s="92" t="s">
        <v>205</v>
      </c>
    </row>
    <row r="37" spans="1:16" s="92" customFormat="1">
      <c r="A37" s="92" t="s">
        <v>206</v>
      </c>
    </row>
    <row r="38" spans="1:16" s="92" customFormat="1">
      <c r="A38" s="92" t="s">
        <v>207</v>
      </c>
    </row>
    <row r="40" spans="1:16">
      <c r="B40" s="19"/>
      <c r="C40" s="19" t="s">
        <v>17</v>
      </c>
      <c r="D40" s="19" t="s">
        <v>18</v>
      </c>
      <c r="E40" s="19" t="s">
        <v>19</v>
      </c>
      <c r="F40" s="19" t="s">
        <v>20</v>
      </c>
      <c r="G40" s="19" t="s">
        <v>21</v>
      </c>
      <c r="H40" s="19" t="s">
        <v>22</v>
      </c>
      <c r="I40" s="19" t="s">
        <v>23</v>
      </c>
      <c r="J40" s="19" t="s">
        <v>24</v>
      </c>
      <c r="K40" s="19" t="s">
        <v>25</v>
      </c>
      <c r="L40" s="19" t="s">
        <v>26</v>
      </c>
      <c r="M40" s="19" t="s">
        <v>27</v>
      </c>
      <c r="N40" s="19" t="s">
        <v>28</v>
      </c>
      <c r="O40" s="19" t="s">
        <v>5</v>
      </c>
    </row>
    <row r="41" spans="1:16">
      <c r="A41" t="s">
        <v>67</v>
      </c>
      <c r="C41" s="8">
        <f t="shared" ref="C41:N41" si="7">$B32</f>
        <v>12869.8</v>
      </c>
      <c r="D41" s="8">
        <f t="shared" si="7"/>
        <v>12869.8</v>
      </c>
      <c r="E41" s="8">
        <f t="shared" si="7"/>
        <v>12869.8</v>
      </c>
      <c r="F41" s="8">
        <f t="shared" si="7"/>
        <v>12869.8</v>
      </c>
      <c r="G41" s="8">
        <f t="shared" si="7"/>
        <v>12869.8</v>
      </c>
      <c r="H41" s="8">
        <f t="shared" si="7"/>
        <v>12869.8</v>
      </c>
      <c r="I41" s="8">
        <f t="shared" si="7"/>
        <v>12869.8</v>
      </c>
      <c r="J41" s="8">
        <f t="shared" si="7"/>
        <v>12869.8</v>
      </c>
      <c r="K41" s="8">
        <f t="shared" si="7"/>
        <v>12869.8</v>
      </c>
      <c r="L41" s="8">
        <f t="shared" si="7"/>
        <v>12869.8</v>
      </c>
      <c r="M41" s="8">
        <f t="shared" si="7"/>
        <v>12869.8</v>
      </c>
      <c r="N41" s="8">
        <f t="shared" si="7"/>
        <v>12869.8</v>
      </c>
      <c r="O41" s="8">
        <f>SUM(C41:N41)</f>
        <v>154437.6</v>
      </c>
    </row>
    <row r="42" spans="1:16">
      <c r="A42" t="s">
        <v>64</v>
      </c>
      <c r="B42" s="47">
        <v>1000</v>
      </c>
      <c r="C42" s="8">
        <f>$B42</f>
        <v>1000</v>
      </c>
      <c r="D42" s="8">
        <f t="shared" ref="D42:N44" si="8">$B42</f>
        <v>1000</v>
      </c>
      <c r="E42" s="8">
        <f t="shared" si="8"/>
        <v>1000</v>
      </c>
      <c r="F42" s="8">
        <f t="shared" si="8"/>
        <v>1000</v>
      </c>
      <c r="G42" s="8">
        <f t="shared" si="8"/>
        <v>1000</v>
      </c>
      <c r="H42" s="8">
        <f t="shared" si="8"/>
        <v>1000</v>
      </c>
      <c r="I42" s="8">
        <f t="shared" si="8"/>
        <v>1000</v>
      </c>
      <c r="J42" s="8">
        <f t="shared" si="8"/>
        <v>1000</v>
      </c>
      <c r="K42" s="8">
        <f t="shared" si="8"/>
        <v>1000</v>
      </c>
      <c r="L42" s="8">
        <f t="shared" si="8"/>
        <v>1000</v>
      </c>
      <c r="M42" s="8">
        <f t="shared" si="8"/>
        <v>1000</v>
      </c>
      <c r="N42" s="8">
        <f t="shared" si="8"/>
        <v>1000</v>
      </c>
      <c r="O42" s="8">
        <f>SUM(C42:N42)</f>
        <v>12000</v>
      </c>
    </row>
    <row r="43" spans="1:16">
      <c r="A43" t="s">
        <v>65</v>
      </c>
      <c r="B43" s="47">
        <v>500</v>
      </c>
      <c r="C43" s="8">
        <f>$B43</f>
        <v>500</v>
      </c>
      <c r="D43" s="8">
        <f t="shared" si="8"/>
        <v>500</v>
      </c>
      <c r="E43" s="8">
        <f t="shared" si="8"/>
        <v>500</v>
      </c>
      <c r="F43" s="8">
        <f t="shared" si="8"/>
        <v>500</v>
      </c>
      <c r="G43" s="8">
        <f t="shared" si="8"/>
        <v>500</v>
      </c>
      <c r="H43" s="8">
        <f t="shared" si="8"/>
        <v>500</v>
      </c>
      <c r="I43" s="8">
        <f t="shared" si="8"/>
        <v>500</v>
      </c>
      <c r="J43" s="8">
        <f t="shared" si="8"/>
        <v>500</v>
      </c>
      <c r="K43" s="8">
        <f t="shared" si="8"/>
        <v>500</v>
      </c>
      <c r="L43" s="8">
        <f t="shared" si="8"/>
        <v>500</v>
      </c>
      <c r="M43" s="8">
        <f t="shared" si="8"/>
        <v>500</v>
      </c>
      <c r="N43" s="8">
        <f t="shared" si="8"/>
        <v>500</v>
      </c>
      <c r="O43" s="8">
        <f>SUM(C43:N43)</f>
        <v>6000</v>
      </c>
    </row>
    <row r="44" spans="1:16">
      <c r="A44" t="s">
        <v>66</v>
      </c>
      <c r="B44" s="47">
        <v>250</v>
      </c>
      <c r="C44" s="8">
        <f>$B44</f>
        <v>250</v>
      </c>
      <c r="D44" s="8">
        <f t="shared" si="8"/>
        <v>250</v>
      </c>
      <c r="E44" s="8">
        <f t="shared" si="8"/>
        <v>250</v>
      </c>
      <c r="F44" s="8">
        <f t="shared" si="8"/>
        <v>250</v>
      </c>
      <c r="G44" s="8">
        <f t="shared" si="8"/>
        <v>250</v>
      </c>
      <c r="H44" s="8">
        <f t="shared" si="8"/>
        <v>250</v>
      </c>
      <c r="I44" s="8">
        <f t="shared" si="8"/>
        <v>250</v>
      </c>
      <c r="J44" s="8">
        <f t="shared" si="8"/>
        <v>250</v>
      </c>
      <c r="K44" s="8">
        <f t="shared" si="8"/>
        <v>250</v>
      </c>
      <c r="L44" s="8">
        <f t="shared" si="8"/>
        <v>250</v>
      </c>
      <c r="M44" s="8">
        <f t="shared" si="8"/>
        <v>250</v>
      </c>
      <c r="N44" s="8">
        <f t="shared" si="8"/>
        <v>250</v>
      </c>
      <c r="O44" s="8">
        <f>SUM(C44:N44)</f>
        <v>3000</v>
      </c>
    </row>
    <row r="45" spans="1:16" s="22" customFormat="1">
      <c r="A45" s="48" t="s">
        <v>46</v>
      </c>
      <c r="B45" s="45"/>
      <c r="C45" s="45">
        <f>SUM(C41:C44)</f>
        <v>14619.8</v>
      </c>
      <c r="D45" s="45">
        <f t="shared" ref="D45:O45" si="9">SUM(D41:D44)</f>
        <v>14619.8</v>
      </c>
      <c r="E45" s="45">
        <f t="shared" si="9"/>
        <v>14619.8</v>
      </c>
      <c r="F45" s="45">
        <f t="shared" si="9"/>
        <v>14619.8</v>
      </c>
      <c r="G45" s="45">
        <f t="shared" si="9"/>
        <v>14619.8</v>
      </c>
      <c r="H45" s="45">
        <f t="shared" si="9"/>
        <v>14619.8</v>
      </c>
      <c r="I45" s="45">
        <f t="shared" si="9"/>
        <v>14619.8</v>
      </c>
      <c r="J45" s="45">
        <f t="shared" si="9"/>
        <v>14619.8</v>
      </c>
      <c r="K45" s="45">
        <f t="shared" si="9"/>
        <v>14619.8</v>
      </c>
      <c r="L45" s="45">
        <f t="shared" si="9"/>
        <v>14619.8</v>
      </c>
      <c r="M45" s="45">
        <f t="shared" si="9"/>
        <v>14619.8</v>
      </c>
      <c r="N45" s="45">
        <f t="shared" si="9"/>
        <v>14619.8</v>
      </c>
      <c r="O45" s="45">
        <f t="shared" si="9"/>
        <v>175437.6</v>
      </c>
      <c r="P45" s="46"/>
    </row>
    <row r="47" spans="1:16" s="99" customFormat="1" ht="18.3">
      <c r="A47" s="99" t="s">
        <v>61</v>
      </c>
    </row>
    <row r="49" spans="1:15" s="92" customFormat="1">
      <c r="A49" s="92" t="s">
        <v>209</v>
      </c>
    </row>
    <row r="50" spans="1:15" s="92" customFormat="1">
      <c r="A50" s="92" t="s">
        <v>234</v>
      </c>
    </row>
    <row r="51" spans="1:15" s="92" customFormat="1">
      <c r="A51" s="92" t="s">
        <v>210</v>
      </c>
    </row>
    <row r="53" spans="1:15">
      <c r="C53" s="19" t="s">
        <v>17</v>
      </c>
      <c r="D53" s="19" t="s">
        <v>18</v>
      </c>
      <c r="E53" s="19" t="s">
        <v>19</v>
      </c>
      <c r="F53" s="19" t="s">
        <v>20</v>
      </c>
      <c r="G53" s="19" t="s">
        <v>21</v>
      </c>
      <c r="H53" s="19" t="s">
        <v>22</v>
      </c>
      <c r="I53" s="19" t="s">
        <v>23</v>
      </c>
      <c r="J53" s="19" t="s">
        <v>24</v>
      </c>
      <c r="K53" s="19" t="s">
        <v>25</v>
      </c>
      <c r="L53" s="19" t="s">
        <v>26</v>
      </c>
      <c r="M53" s="19" t="s">
        <v>27</v>
      </c>
      <c r="N53" s="19" t="s">
        <v>28</v>
      </c>
      <c r="O53" s="19" t="s">
        <v>5</v>
      </c>
    </row>
    <row r="54" spans="1:15">
      <c r="A54" t="s">
        <v>130</v>
      </c>
      <c r="C54" s="8">
        <f>Income!C72</f>
        <v>7800</v>
      </c>
      <c r="D54" s="8">
        <f>Income!D72</f>
        <v>7371</v>
      </c>
      <c r="E54" s="8">
        <f>Income!E72</f>
        <v>8599.5</v>
      </c>
      <c r="F54" s="8">
        <f>Income!F72</f>
        <v>9029.4749999999985</v>
      </c>
      <c r="G54" s="8">
        <f>Income!G72</f>
        <v>9480.9487499999996</v>
      </c>
      <c r="H54" s="8">
        <f>Income!H72</f>
        <v>9954.996187499999</v>
      </c>
      <c r="I54" s="8">
        <f>Income!I72</f>
        <v>9407.471397187499</v>
      </c>
      <c r="J54" s="8">
        <f>Income!J72</f>
        <v>9877.8449670468744</v>
      </c>
      <c r="K54" s="8">
        <f>Income!K72</f>
        <v>11524.152461554688</v>
      </c>
      <c r="L54" s="8">
        <f>Income!L72</f>
        <v>12100.360084632423</v>
      </c>
      <c r="M54" s="8">
        <f>Income!M72</f>
        <v>13975.915897750448</v>
      </c>
      <c r="N54" s="8">
        <f>Income!N72</f>
        <v>14674.711692637971</v>
      </c>
      <c r="O54" s="8">
        <f>Income!O72</f>
        <v>123796.3764383099</v>
      </c>
    </row>
    <row r="55" spans="1:15">
      <c r="A55" t="s">
        <v>128</v>
      </c>
      <c r="C55" s="8">
        <f>C45</f>
        <v>14619.8</v>
      </c>
      <c r="D55" s="8">
        <f t="shared" ref="D55:O55" si="10">D45</f>
        <v>14619.8</v>
      </c>
      <c r="E55" s="8">
        <f t="shared" si="10"/>
        <v>14619.8</v>
      </c>
      <c r="F55" s="8">
        <f t="shared" si="10"/>
        <v>14619.8</v>
      </c>
      <c r="G55" s="8">
        <f t="shared" si="10"/>
        <v>14619.8</v>
      </c>
      <c r="H55" s="8">
        <f t="shared" si="10"/>
        <v>14619.8</v>
      </c>
      <c r="I55" s="8">
        <f t="shared" si="10"/>
        <v>14619.8</v>
      </c>
      <c r="J55" s="8">
        <f t="shared" si="10"/>
        <v>14619.8</v>
      </c>
      <c r="K55" s="8">
        <f t="shared" si="10"/>
        <v>14619.8</v>
      </c>
      <c r="L55" s="8">
        <f t="shared" si="10"/>
        <v>14619.8</v>
      </c>
      <c r="M55" s="8">
        <f t="shared" si="10"/>
        <v>14619.8</v>
      </c>
      <c r="N55" s="8">
        <f t="shared" si="10"/>
        <v>14619.8</v>
      </c>
      <c r="O55" s="8">
        <f t="shared" si="10"/>
        <v>175437.6</v>
      </c>
    </row>
    <row r="56" spans="1:15" s="80" customFormat="1">
      <c r="A56" s="80" t="s">
        <v>131</v>
      </c>
      <c r="C56" s="81">
        <f>IFERROR(C55/C54,"")</f>
        <v>1.8743333333333332</v>
      </c>
      <c r="D56" s="81">
        <f t="shared" ref="D56:O56" si="11">IFERROR(D55/D54,"")</f>
        <v>1.9834215167548499</v>
      </c>
      <c r="E56" s="81">
        <f t="shared" si="11"/>
        <v>1.7000755857898715</v>
      </c>
      <c r="F56" s="81">
        <f t="shared" si="11"/>
        <v>1.6191196055141635</v>
      </c>
      <c r="G56" s="81">
        <f t="shared" si="11"/>
        <v>1.5420186719182507</v>
      </c>
      <c r="H56" s="81">
        <f t="shared" si="11"/>
        <v>1.4685892113507151</v>
      </c>
      <c r="I56" s="81">
        <f t="shared" si="11"/>
        <v>1.5540626575139842</v>
      </c>
      <c r="J56" s="81">
        <f t="shared" si="11"/>
        <v>1.480059673822842</v>
      </c>
      <c r="K56" s="81">
        <f t="shared" si="11"/>
        <v>1.268622577562436</v>
      </c>
      <c r="L56" s="81">
        <f t="shared" si="11"/>
        <v>1.2082119786308914</v>
      </c>
      <c r="M56" s="81">
        <f t="shared" si="11"/>
        <v>1.0460709771696028</v>
      </c>
      <c r="N56" s="81">
        <f t="shared" si="11"/>
        <v>0.99625807349485984</v>
      </c>
      <c r="O56" s="81">
        <f t="shared" si="11"/>
        <v>1.4171464872190658</v>
      </c>
    </row>
    <row r="58" spans="1:15" s="92" customFormat="1">
      <c r="A58" s="92" t="s">
        <v>215</v>
      </c>
    </row>
    <row r="75" spans="1:1" s="98" customFormat="1" ht="18.3">
      <c r="A75" s="98" t="s">
        <v>187</v>
      </c>
    </row>
    <row r="77" spans="1:1">
      <c r="A77" t="s">
        <v>247</v>
      </c>
    </row>
    <row r="78" spans="1:1">
      <c r="A78" t="s">
        <v>188</v>
      </c>
    </row>
    <row r="79" spans="1:1">
      <c r="A79" t="s">
        <v>189</v>
      </c>
    </row>
    <row r="80" spans="1:1">
      <c r="A80" s="91" t="s">
        <v>40</v>
      </c>
    </row>
    <row r="82" spans="1:1">
      <c r="A82" t="s">
        <v>214</v>
      </c>
    </row>
    <row r="83" spans="1:1">
      <c r="A83" s="91" t="s">
        <v>47</v>
      </c>
    </row>
  </sheetData>
  <hyperlinks>
    <hyperlink ref="A80" location="'12 month PL'!A1" display="12 Month Profit and Loss" xr:uid="{00000000-0004-0000-0200-000000000000}"/>
    <hyperlink ref="A83" location="Expenses!A1" display="Expenses" xr:uid="{00000000-0004-0000-0200-000001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P131"/>
  <sheetViews>
    <sheetView workbookViewId="0">
      <selection activeCell="G6" sqref="G6"/>
    </sheetView>
  </sheetViews>
  <sheetFormatPr defaultRowHeight="14.4"/>
  <cols>
    <col min="1" max="1" width="35" customWidth="1"/>
    <col min="2" max="2" width="10.83984375" customWidth="1"/>
    <col min="3" max="15" width="10.26171875" customWidth="1"/>
    <col min="16" max="16" width="9.26171875" bestFit="1" customWidth="1"/>
  </cols>
  <sheetData>
    <row r="1" spans="1:2" s="1" customFormat="1" ht="18.3">
      <c r="A1" s="1" t="str">
        <f>'READ ME'!A20</f>
        <v>Retail Worker Cooperative, Inc</v>
      </c>
    </row>
    <row r="2" spans="1:2" s="3" customFormat="1" ht="18.3">
      <c r="A2" s="2" t="s">
        <v>47</v>
      </c>
    </row>
    <row r="4" spans="1:2" s="92" customFormat="1">
      <c r="A4" s="92" t="s">
        <v>207</v>
      </c>
    </row>
    <row r="5" spans="1:2" s="92" customFormat="1">
      <c r="A5" s="92" t="s">
        <v>216</v>
      </c>
    </row>
    <row r="6" spans="1:2" s="92" customFormat="1">
      <c r="A6" s="92" t="s">
        <v>283</v>
      </c>
    </row>
    <row r="7" spans="1:2" s="92" customFormat="1">
      <c r="A7" s="92" t="s">
        <v>217</v>
      </c>
    </row>
    <row r="8" spans="1:2" s="92" customFormat="1">
      <c r="A8" s="92" t="s">
        <v>218</v>
      </c>
    </row>
    <row r="10" spans="1:2" s="104" customFormat="1" ht="18.3">
      <c r="A10" s="104" t="s">
        <v>223</v>
      </c>
    </row>
    <row r="12" spans="1:2" s="92" customFormat="1">
      <c r="A12" s="92" t="s">
        <v>219</v>
      </c>
    </row>
    <row r="14" spans="1:2">
      <c r="A14" s="18" t="s">
        <v>70</v>
      </c>
    </row>
    <row r="15" spans="1:2">
      <c r="A15" t="s">
        <v>0</v>
      </c>
      <c r="B15" s="4">
        <v>2000</v>
      </c>
    </row>
    <row r="16" spans="1:2">
      <c r="A16" t="s">
        <v>1</v>
      </c>
      <c r="B16" s="6">
        <v>20</v>
      </c>
    </row>
    <row r="17" spans="1:16">
      <c r="A17" t="s">
        <v>2</v>
      </c>
      <c r="B17" s="5">
        <f>B16/12</f>
        <v>1.6666666666666667</v>
      </c>
    </row>
    <row r="18" spans="1:16">
      <c r="A18" t="s">
        <v>3</v>
      </c>
      <c r="B18" s="8">
        <f>B15*B16</f>
        <v>40000</v>
      </c>
    </row>
    <row r="19" spans="1:16">
      <c r="A19" t="s">
        <v>4</v>
      </c>
      <c r="B19" s="9">
        <f>B18/12</f>
        <v>3333.3333333333335</v>
      </c>
    </row>
    <row r="21" spans="1:16" s="92" customFormat="1">
      <c r="A21" s="92" t="s">
        <v>220</v>
      </c>
    </row>
    <row r="23" spans="1:16">
      <c r="B23" s="19" t="s">
        <v>79</v>
      </c>
    </row>
    <row r="24" spans="1:16">
      <c r="A24" t="s">
        <v>70</v>
      </c>
      <c r="B24" s="8">
        <f>B19</f>
        <v>3333.3333333333335</v>
      </c>
      <c r="C24" s="8">
        <f>$B24</f>
        <v>3333.3333333333335</v>
      </c>
      <c r="D24" s="8">
        <f t="shared" ref="D24:N28" si="0">$B24</f>
        <v>3333.3333333333335</v>
      </c>
      <c r="E24" s="8">
        <f t="shared" si="0"/>
        <v>3333.3333333333335</v>
      </c>
      <c r="F24" s="8">
        <f t="shared" si="0"/>
        <v>3333.3333333333335</v>
      </c>
      <c r="G24" s="8">
        <f t="shared" si="0"/>
        <v>3333.3333333333335</v>
      </c>
      <c r="H24" s="8">
        <f t="shared" si="0"/>
        <v>3333.3333333333335</v>
      </c>
      <c r="I24" s="8">
        <f t="shared" si="0"/>
        <v>3333.3333333333335</v>
      </c>
      <c r="J24" s="8">
        <f t="shared" si="0"/>
        <v>3333.3333333333335</v>
      </c>
      <c r="K24" s="8">
        <f t="shared" si="0"/>
        <v>3333.3333333333335</v>
      </c>
      <c r="L24" s="8">
        <f t="shared" si="0"/>
        <v>3333.3333333333335</v>
      </c>
      <c r="M24" s="8">
        <f t="shared" si="0"/>
        <v>3333.3333333333335</v>
      </c>
      <c r="N24" s="8">
        <f t="shared" si="0"/>
        <v>3333.3333333333335</v>
      </c>
      <c r="O24" s="8">
        <f>SUM(C24:N24)</f>
        <v>40000</v>
      </c>
    </row>
    <row r="25" spans="1:16">
      <c r="A25" t="s">
        <v>74</v>
      </c>
      <c r="B25" s="47">
        <v>500</v>
      </c>
      <c r="C25" s="8">
        <f>$B25</f>
        <v>500</v>
      </c>
      <c r="D25" s="8">
        <f t="shared" si="0"/>
        <v>500</v>
      </c>
      <c r="E25" s="8">
        <f t="shared" si="0"/>
        <v>500</v>
      </c>
      <c r="F25" s="8">
        <f t="shared" si="0"/>
        <v>500</v>
      </c>
      <c r="G25" s="8">
        <f t="shared" si="0"/>
        <v>500</v>
      </c>
      <c r="H25" s="8">
        <f t="shared" si="0"/>
        <v>500</v>
      </c>
      <c r="I25" s="8">
        <f t="shared" si="0"/>
        <v>500</v>
      </c>
      <c r="J25" s="8">
        <f t="shared" si="0"/>
        <v>500</v>
      </c>
      <c r="K25" s="8">
        <f t="shared" si="0"/>
        <v>500</v>
      </c>
      <c r="L25" s="8">
        <f t="shared" si="0"/>
        <v>500</v>
      </c>
      <c r="M25" s="8">
        <f t="shared" si="0"/>
        <v>500</v>
      </c>
      <c r="N25" s="8">
        <f t="shared" si="0"/>
        <v>500</v>
      </c>
      <c r="O25" s="8">
        <f>SUM(C25:N25)</f>
        <v>6000</v>
      </c>
    </row>
    <row r="26" spans="1:16">
      <c r="A26" t="s">
        <v>75</v>
      </c>
      <c r="B26" s="47">
        <v>500</v>
      </c>
      <c r="C26" s="8">
        <f>$B26</f>
        <v>500</v>
      </c>
      <c r="D26" s="8">
        <f t="shared" si="0"/>
        <v>500</v>
      </c>
      <c r="E26" s="8">
        <f t="shared" si="0"/>
        <v>500</v>
      </c>
      <c r="F26" s="8">
        <f t="shared" si="0"/>
        <v>500</v>
      </c>
      <c r="G26" s="8">
        <f t="shared" si="0"/>
        <v>500</v>
      </c>
      <c r="H26" s="8">
        <f t="shared" si="0"/>
        <v>500</v>
      </c>
      <c r="I26" s="8">
        <f t="shared" si="0"/>
        <v>500</v>
      </c>
      <c r="J26" s="8">
        <f t="shared" si="0"/>
        <v>500</v>
      </c>
      <c r="K26" s="8">
        <f t="shared" si="0"/>
        <v>500</v>
      </c>
      <c r="L26" s="8">
        <f t="shared" si="0"/>
        <v>500</v>
      </c>
      <c r="M26" s="8">
        <f t="shared" si="0"/>
        <v>500</v>
      </c>
      <c r="N26" s="8">
        <f t="shared" si="0"/>
        <v>500</v>
      </c>
      <c r="O26" s="8">
        <f>SUM(C26:N26)</f>
        <v>6000</v>
      </c>
    </row>
    <row r="27" spans="1:16">
      <c r="A27" t="s">
        <v>81</v>
      </c>
      <c r="B27" s="47">
        <v>500</v>
      </c>
      <c r="C27" s="8">
        <f>$B27</f>
        <v>500</v>
      </c>
      <c r="D27" s="8">
        <f t="shared" si="0"/>
        <v>500</v>
      </c>
      <c r="E27" s="8">
        <f t="shared" si="0"/>
        <v>500</v>
      </c>
      <c r="F27" s="8">
        <f t="shared" si="0"/>
        <v>500</v>
      </c>
      <c r="G27" s="8">
        <f t="shared" si="0"/>
        <v>500</v>
      </c>
      <c r="H27" s="8">
        <f t="shared" si="0"/>
        <v>500</v>
      </c>
      <c r="I27" s="8">
        <f t="shared" si="0"/>
        <v>500</v>
      </c>
      <c r="J27" s="8">
        <f t="shared" si="0"/>
        <v>500</v>
      </c>
      <c r="K27" s="8">
        <f t="shared" si="0"/>
        <v>500</v>
      </c>
      <c r="L27" s="8">
        <f t="shared" si="0"/>
        <v>500</v>
      </c>
      <c r="M27" s="8">
        <f t="shared" si="0"/>
        <v>500</v>
      </c>
      <c r="N27" s="8">
        <f t="shared" si="0"/>
        <v>500</v>
      </c>
      <c r="O27" s="8">
        <f>SUM(C27:N27)</f>
        <v>6000</v>
      </c>
    </row>
    <row r="28" spans="1:16">
      <c r="A28" t="s">
        <v>78</v>
      </c>
      <c r="B28" s="47">
        <v>500</v>
      </c>
      <c r="C28" s="8">
        <f>$B28</f>
        <v>500</v>
      </c>
      <c r="D28" s="8">
        <f t="shared" si="0"/>
        <v>500</v>
      </c>
      <c r="E28" s="8">
        <f t="shared" si="0"/>
        <v>500</v>
      </c>
      <c r="F28" s="8">
        <f t="shared" si="0"/>
        <v>500</v>
      </c>
      <c r="G28" s="8">
        <f t="shared" si="0"/>
        <v>500</v>
      </c>
      <c r="H28" s="8">
        <f t="shared" si="0"/>
        <v>500</v>
      </c>
      <c r="I28" s="8">
        <f t="shared" si="0"/>
        <v>500</v>
      </c>
      <c r="J28" s="8">
        <f t="shared" si="0"/>
        <v>500</v>
      </c>
      <c r="K28" s="8">
        <f t="shared" si="0"/>
        <v>500</v>
      </c>
      <c r="L28" s="8">
        <f t="shared" si="0"/>
        <v>500</v>
      </c>
      <c r="M28" s="8">
        <f t="shared" si="0"/>
        <v>500</v>
      </c>
      <c r="N28" s="8">
        <f t="shared" si="0"/>
        <v>500</v>
      </c>
      <c r="O28" s="8">
        <f>SUM(C28:N28)</f>
        <v>6000</v>
      </c>
    </row>
    <row r="29" spans="1:16" s="22" customFormat="1">
      <c r="A29" s="48" t="str">
        <f>A10</f>
        <v>Overhead (Fixed Expenses)</v>
      </c>
      <c r="B29" s="45"/>
      <c r="C29" s="45">
        <f>SUM(C24:C28)</f>
        <v>5333.3333333333339</v>
      </c>
      <c r="D29" s="45">
        <f t="shared" ref="D29:O29" si="1">SUM(D24:D28)</f>
        <v>5333.3333333333339</v>
      </c>
      <c r="E29" s="45">
        <f t="shared" si="1"/>
        <v>5333.3333333333339</v>
      </c>
      <c r="F29" s="45">
        <f t="shared" si="1"/>
        <v>5333.3333333333339</v>
      </c>
      <c r="G29" s="45">
        <f t="shared" si="1"/>
        <v>5333.3333333333339</v>
      </c>
      <c r="H29" s="45">
        <f t="shared" si="1"/>
        <v>5333.3333333333339</v>
      </c>
      <c r="I29" s="45">
        <f t="shared" si="1"/>
        <v>5333.3333333333339</v>
      </c>
      <c r="J29" s="45">
        <f t="shared" si="1"/>
        <v>5333.3333333333339</v>
      </c>
      <c r="K29" s="45">
        <f t="shared" si="1"/>
        <v>5333.3333333333339</v>
      </c>
      <c r="L29" s="45">
        <f t="shared" si="1"/>
        <v>5333.3333333333339</v>
      </c>
      <c r="M29" s="45">
        <f t="shared" si="1"/>
        <v>5333.3333333333339</v>
      </c>
      <c r="N29" s="45">
        <f t="shared" si="1"/>
        <v>5333.3333333333339</v>
      </c>
      <c r="O29" s="45">
        <f t="shared" si="1"/>
        <v>64000</v>
      </c>
      <c r="P29" s="46"/>
    </row>
    <row r="31" spans="1:16" s="104" customFormat="1" ht="18.3">
      <c r="A31" s="104" t="s">
        <v>224</v>
      </c>
    </row>
    <row r="33" spans="1:16" s="92" customFormat="1">
      <c r="A33" s="92" t="s">
        <v>221</v>
      </c>
    </row>
    <row r="34" spans="1:16" s="92" customFormat="1">
      <c r="A34" s="92" t="s">
        <v>222</v>
      </c>
    </row>
    <row r="36" spans="1:16" s="105" customFormat="1">
      <c r="A36" s="105" t="s">
        <v>6</v>
      </c>
      <c r="C36" s="106">
        <f>Income!C72</f>
        <v>7800</v>
      </c>
      <c r="D36" s="106">
        <f>Income!D72</f>
        <v>7371</v>
      </c>
      <c r="E36" s="106">
        <f>Income!E72</f>
        <v>8599.5</v>
      </c>
      <c r="F36" s="106">
        <f>Income!F72</f>
        <v>9029.4749999999985</v>
      </c>
      <c r="G36" s="106">
        <f>Income!G72</f>
        <v>9480.9487499999996</v>
      </c>
      <c r="H36" s="106">
        <f>Income!H72</f>
        <v>9954.996187499999</v>
      </c>
      <c r="I36" s="106">
        <f>Income!I72</f>
        <v>9407.471397187499</v>
      </c>
      <c r="J36" s="106">
        <f>Income!J72</f>
        <v>9877.8449670468744</v>
      </c>
      <c r="K36" s="106">
        <f>Income!K72</f>
        <v>11524.152461554688</v>
      </c>
      <c r="L36" s="106">
        <f>Income!L72</f>
        <v>12100.360084632423</v>
      </c>
      <c r="M36" s="106">
        <f>Income!M72</f>
        <v>13975.915897750448</v>
      </c>
      <c r="N36" s="106">
        <f>Income!N72</f>
        <v>14674.711692637971</v>
      </c>
      <c r="O36" s="106">
        <f>Income!O72</f>
        <v>123796.3764383099</v>
      </c>
    </row>
    <row r="38" spans="1:16">
      <c r="B38" s="19" t="s">
        <v>80</v>
      </c>
      <c r="C38" s="19" t="s">
        <v>17</v>
      </c>
      <c r="D38" s="19" t="s">
        <v>18</v>
      </c>
      <c r="E38" s="19" t="s">
        <v>19</v>
      </c>
      <c r="F38" s="19" t="s">
        <v>20</v>
      </c>
      <c r="G38" s="19" t="s">
        <v>21</v>
      </c>
      <c r="H38" s="19" t="s">
        <v>22</v>
      </c>
      <c r="I38" s="19" t="s">
        <v>23</v>
      </c>
      <c r="J38" s="19" t="s">
        <v>24</v>
      </c>
      <c r="K38" s="19" t="s">
        <v>25</v>
      </c>
      <c r="L38" s="19" t="s">
        <v>26</v>
      </c>
      <c r="M38" s="19" t="s">
        <v>27</v>
      </c>
      <c r="N38" s="19" t="s">
        <v>28</v>
      </c>
      <c r="O38" s="19" t="s">
        <v>5</v>
      </c>
    </row>
    <row r="39" spans="1:16">
      <c r="A39" t="s">
        <v>77</v>
      </c>
      <c r="B39" s="49">
        <v>0.03</v>
      </c>
      <c r="C39" s="8">
        <f>$B39*C$36</f>
        <v>234</v>
      </c>
      <c r="D39" s="8">
        <f t="shared" ref="D39:N43" si="2">$B39*D$36</f>
        <v>221.13</v>
      </c>
      <c r="E39" s="8">
        <f t="shared" si="2"/>
        <v>257.98500000000001</v>
      </c>
      <c r="F39" s="8">
        <f t="shared" si="2"/>
        <v>270.88424999999995</v>
      </c>
      <c r="G39" s="8">
        <f t="shared" si="2"/>
        <v>284.42846249999997</v>
      </c>
      <c r="H39" s="8">
        <f t="shared" si="2"/>
        <v>298.64988562499997</v>
      </c>
      <c r="I39" s="8">
        <f t="shared" si="2"/>
        <v>282.22414191562495</v>
      </c>
      <c r="J39" s="8">
        <f t="shared" si="2"/>
        <v>296.33534901140621</v>
      </c>
      <c r="K39" s="8">
        <f t="shared" si="2"/>
        <v>345.72457384664062</v>
      </c>
      <c r="L39" s="8">
        <f t="shared" si="2"/>
        <v>363.01080253897265</v>
      </c>
      <c r="M39" s="8">
        <f t="shared" si="2"/>
        <v>419.27747693251342</v>
      </c>
      <c r="N39" s="8">
        <f t="shared" si="2"/>
        <v>440.24135077913911</v>
      </c>
      <c r="O39" s="8">
        <f>SUM(C39:N39)</f>
        <v>3713.8912931492969</v>
      </c>
    </row>
    <row r="40" spans="1:16">
      <c r="A40" t="s">
        <v>76</v>
      </c>
      <c r="B40" s="49">
        <v>0.01</v>
      </c>
      <c r="C40" s="8">
        <f t="shared" ref="C40:C43" si="3">$B40*C$36</f>
        <v>78</v>
      </c>
      <c r="D40" s="8">
        <f t="shared" si="2"/>
        <v>73.710000000000008</v>
      </c>
      <c r="E40" s="8">
        <f t="shared" si="2"/>
        <v>85.995000000000005</v>
      </c>
      <c r="F40" s="8">
        <f t="shared" si="2"/>
        <v>90.294749999999993</v>
      </c>
      <c r="G40" s="8">
        <f t="shared" si="2"/>
        <v>94.809487500000003</v>
      </c>
      <c r="H40" s="8">
        <f t="shared" si="2"/>
        <v>99.549961874999994</v>
      </c>
      <c r="I40" s="8">
        <f t="shared" si="2"/>
        <v>94.074713971874985</v>
      </c>
      <c r="J40" s="8">
        <f t="shared" si="2"/>
        <v>98.778449670468746</v>
      </c>
      <c r="K40" s="8">
        <f t="shared" si="2"/>
        <v>115.24152461554688</v>
      </c>
      <c r="L40" s="8">
        <f t="shared" si="2"/>
        <v>121.00360084632423</v>
      </c>
      <c r="M40" s="8">
        <f t="shared" si="2"/>
        <v>139.75915897750448</v>
      </c>
      <c r="N40" s="8">
        <f t="shared" si="2"/>
        <v>146.7471169263797</v>
      </c>
      <c r="O40" s="8">
        <f>SUM(C40:N40)</f>
        <v>1237.963764383099</v>
      </c>
    </row>
    <row r="41" spans="1:16">
      <c r="B41" s="49"/>
      <c r="C41" s="8">
        <f t="shared" si="3"/>
        <v>0</v>
      </c>
      <c r="D41" s="8">
        <f t="shared" si="2"/>
        <v>0</v>
      </c>
      <c r="E41" s="8">
        <f t="shared" si="2"/>
        <v>0</v>
      </c>
      <c r="F41" s="8">
        <f t="shared" si="2"/>
        <v>0</v>
      </c>
      <c r="G41" s="8">
        <f t="shared" si="2"/>
        <v>0</v>
      </c>
      <c r="H41" s="8">
        <f t="shared" si="2"/>
        <v>0</v>
      </c>
      <c r="I41" s="8">
        <f t="shared" si="2"/>
        <v>0</v>
      </c>
      <c r="J41" s="8">
        <f t="shared" si="2"/>
        <v>0</v>
      </c>
      <c r="K41" s="8">
        <f t="shared" si="2"/>
        <v>0</v>
      </c>
      <c r="L41" s="8">
        <f t="shared" si="2"/>
        <v>0</v>
      </c>
      <c r="M41" s="8">
        <f t="shared" si="2"/>
        <v>0</v>
      </c>
      <c r="N41" s="8">
        <f t="shared" si="2"/>
        <v>0</v>
      </c>
      <c r="O41" s="8">
        <f>SUM(C41:N41)</f>
        <v>0</v>
      </c>
    </row>
    <row r="42" spans="1:16">
      <c r="B42" s="49"/>
      <c r="C42" s="8">
        <f t="shared" si="3"/>
        <v>0</v>
      </c>
      <c r="D42" s="8">
        <f t="shared" si="2"/>
        <v>0</v>
      </c>
      <c r="E42" s="8">
        <f t="shared" si="2"/>
        <v>0</v>
      </c>
      <c r="F42" s="8">
        <f t="shared" si="2"/>
        <v>0</v>
      </c>
      <c r="G42" s="8">
        <f t="shared" si="2"/>
        <v>0</v>
      </c>
      <c r="H42" s="8">
        <f t="shared" si="2"/>
        <v>0</v>
      </c>
      <c r="I42" s="8">
        <f t="shared" si="2"/>
        <v>0</v>
      </c>
      <c r="J42" s="8">
        <f t="shared" si="2"/>
        <v>0</v>
      </c>
      <c r="K42" s="8">
        <f t="shared" si="2"/>
        <v>0</v>
      </c>
      <c r="L42" s="8">
        <f t="shared" si="2"/>
        <v>0</v>
      </c>
      <c r="M42" s="8">
        <f t="shared" si="2"/>
        <v>0</v>
      </c>
      <c r="N42" s="8">
        <f t="shared" si="2"/>
        <v>0</v>
      </c>
      <c r="O42" s="8">
        <f>SUM(C42:N42)</f>
        <v>0</v>
      </c>
    </row>
    <row r="43" spans="1:16">
      <c r="B43" s="49"/>
      <c r="C43" s="8">
        <f t="shared" si="3"/>
        <v>0</v>
      </c>
      <c r="D43" s="8">
        <f t="shared" si="2"/>
        <v>0</v>
      </c>
      <c r="E43" s="8">
        <f t="shared" si="2"/>
        <v>0</v>
      </c>
      <c r="F43" s="8">
        <f t="shared" si="2"/>
        <v>0</v>
      </c>
      <c r="G43" s="8">
        <f t="shared" si="2"/>
        <v>0</v>
      </c>
      <c r="H43" s="8">
        <f t="shared" si="2"/>
        <v>0</v>
      </c>
      <c r="I43" s="8">
        <f t="shared" si="2"/>
        <v>0</v>
      </c>
      <c r="J43" s="8">
        <f t="shared" si="2"/>
        <v>0</v>
      </c>
      <c r="K43" s="8">
        <f t="shared" si="2"/>
        <v>0</v>
      </c>
      <c r="L43" s="8">
        <f t="shared" si="2"/>
        <v>0</v>
      </c>
      <c r="M43" s="8">
        <f t="shared" si="2"/>
        <v>0</v>
      </c>
      <c r="N43" s="8">
        <f t="shared" si="2"/>
        <v>0</v>
      </c>
      <c r="O43" s="8">
        <f>SUM(C43:N43)</f>
        <v>0</v>
      </c>
    </row>
    <row r="44" spans="1:16" s="22" customFormat="1">
      <c r="A44" s="48" t="str">
        <f>A31</f>
        <v>Operations (% of Sales Expenses)</v>
      </c>
      <c r="B44" s="45"/>
      <c r="C44" s="45">
        <f>SUM(C39:C43)</f>
        <v>312</v>
      </c>
      <c r="D44" s="45">
        <f t="shared" ref="D44" si="4">SUM(D39:D43)</f>
        <v>294.84000000000003</v>
      </c>
      <c r="E44" s="45">
        <f t="shared" ref="E44" si="5">SUM(E39:E43)</f>
        <v>343.98</v>
      </c>
      <c r="F44" s="45">
        <f t="shared" ref="F44" si="6">SUM(F39:F43)</f>
        <v>361.17899999999997</v>
      </c>
      <c r="G44" s="45">
        <f t="shared" ref="G44" si="7">SUM(G39:G43)</f>
        <v>379.23794999999996</v>
      </c>
      <c r="H44" s="45">
        <f t="shared" ref="H44" si="8">SUM(H39:H43)</f>
        <v>398.19984749999998</v>
      </c>
      <c r="I44" s="45">
        <f t="shared" ref="I44" si="9">SUM(I39:I43)</f>
        <v>376.29885588749994</v>
      </c>
      <c r="J44" s="45">
        <f t="shared" ref="J44" si="10">SUM(J39:J43)</f>
        <v>395.11379868187498</v>
      </c>
      <c r="K44" s="45">
        <f t="shared" ref="K44" si="11">SUM(K39:K43)</f>
        <v>460.96609846218752</v>
      </c>
      <c r="L44" s="45">
        <f t="shared" ref="L44" si="12">SUM(L39:L43)</f>
        <v>484.01440338529687</v>
      </c>
      <c r="M44" s="45">
        <f t="shared" ref="M44" si="13">SUM(M39:M43)</f>
        <v>559.03663591001794</v>
      </c>
      <c r="N44" s="45">
        <f t="shared" ref="N44" si="14">SUM(N39:N43)</f>
        <v>586.98846770551881</v>
      </c>
      <c r="O44" s="45">
        <f t="shared" ref="O44" si="15">SUM(O39:O43)</f>
        <v>4951.8550575323961</v>
      </c>
      <c r="P44" s="46"/>
    </row>
    <row r="46" spans="1:16" s="104" customFormat="1" ht="18.3">
      <c r="A46" s="104" t="s">
        <v>225</v>
      </c>
    </row>
    <row r="48" spans="1:16" s="92" customFormat="1">
      <c r="A48" s="92" t="s">
        <v>229</v>
      </c>
    </row>
    <row r="49" spans="1:16" s="92" customFormat="1">
      <c r="A49" s="92" t="s">
        <v>226</v>
      </c>
    </row>
    <row r="50" spans="1:16" s="92" customFormat="1">
      <c r="A50" s="92" t="s">
        <v>228</v>
      </c>
    </row>
    <row r="52" spans="1:16">
      <c r="B52" s="19"/>
      <c r="C52" s="19" t="s">
        <v>17</v>
      </c>
      <c r="D52" s="19" t="s">
        <v>18</v>
      </c>
      <c r="E52" s="19" t="s">
        <v>19</v>
      </c>
      <c r="F52" s="19" t="s">
        <v>20</v>
      </c>
      <c r="G52" s="19" t="s">
        <v>21</v>
      </c>
      <c r="H52" s="19" t="s">
        <v>22</v>
      </c>
      <c r="I52" s="19" t="s">
        <v>23</v>
      </c>
      <c r="J52" s="19" t="s">
        <v>24</v>
      </c>
      <c r="K52" s="19" t="s">
        <v>25</v>
      </c>
      <c r="L52" s="19" t="s">
        <v>26</v>
      </c>
      <c r="M52" s="19" t="s">
        <v>27</v>
      </c>
      <c r="N52" s="19" t="s">
        <v>28</v>
      </c>
      <c r="O52" s="19" t="s">
        <v>5</v>
      </c>
    </row>
    <row r="53" spans="1:16">
      <c r="A53" t="s">
        <v>82</v>
      </c>
      <c r="C53" s="47"/>
      <c r="D53" s="47"/>
      <c r="E53" s="47">
        <v>300</v>
      </c>
      <c r="F53" s="47"/>
      <c r="G53" s="47"/>
      <c r="H53" s="47"/>
      <c r="I53" s="47"/>
      <c r="J53" s="47"/>
      <c r="K53" s="47"/>
      <c r="L53" s="47"/>
      <c r="M53" s="47"/>
      <c r="N53" s="47"/>
      <c r="O53" s="8">
        <f>SUM(C53:N53)</f>
        <v>300</v>
      </c>
    </row>
    <row r="54" spans="1:16">
      <c r="A54" t="s">
        <v>83</v>
      </c>
      <c r="C54" s="47">
        <v>1500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8">
        <f>SUM(C54:N54)</f>
        <v>1500</v>
      </c>
    </row>
    <row r="55" spans="1:16">
      <c r="A55" t="s">
        <v>227</v>
      </c>
      <c r="C55" s="47"/>
      <c r="D55" s="47"/>
      <c r="E55" s="47"/>
      <c r="F55" s="47"/>
      <c r="G55" s="47"/>
      <c r="H55" s="47"/>
      <c r="I55" s="47"/>
      <c r="J55" s="47"/>
      <c r="K55" s="47"/>
      <c r="L55" s="47">
        <v>1000</v>
      </c>
      <c r="M55" s="47"/>
      <c r="N55" s="47">
        <v>1000</v>
      </c>
      <c r="O55" s="8">
        <f>SUM(C55:N55)</f>
        <v>2000</v>
      </c>
    </row>
    <row r="56" spans="1:16"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8">
        <f>SUM(C56:N56)</f>
        <v>0</v>
      </c>
    </row>
    <row r="57" spans="1:16"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8">
        <f>SUM(C57:N57)</f>
        <v>0</v>
      </c>
    </row>
    <row r="58" spans="1:16" s="22" customFormat="1">
      <c r="A58" s="48" t="str">
        <f>A46</f>
        <v>Marketing (Irregular Expenses)</v>
      </c>
      <c r="B58" s="45"/>
      <c r="C58" s="45">
        <f>SUM(C53:C57)</f>
        <v>1500</v>
      </c>
      <c r="D58" s="45">
        <f t="shared" ref="D58" si="16">SUM(D53:D57)</f>
        <v>0</v>
      </c>
      <c r="E58" s="45">
        <f t="shared" ref="E58" si="17">SUM(E53:E57)</f>
        <v>300</v>
      </c>
      <c r="F58" s="45">
        <f t="shared" ref="F58" si="18">SUM(F53:F57)</f>
        <v>0</v>
      </c>
      <c r="G58" s="45">
        <f t="shared" ref="G58" si="19">SUM(G53:G57)</f>
        <v>0</v>
      </c>
      <c r="H58" s="45">
        <f t="shared" ref="H58" si="20">SUM(H53:H57)</f>
        <v>0</v>
      </c>
      <c r="I58" s="45">
        <f t="shared" ref="I58" si="21">SUM(I53:I57)</f>
        <v>0</v>
      </c>
      <c r="J58" s="45">
        <f t="shared" ref="J58" si="22">SUM(J53:J57)</f>
        <v>0</v>
      </c>
      <c r="K58" s="45">
        <f t="shared" ref="K58" si="23">SUM(K53:K57)</f>
        <v>0</v>
      </c>
      <c r="L58" s="45">
        <f t="shared" ref="L58" si="24">SUM(L53:L57)</f>
        <v>1000</v>
      </c>
      <c r="M58" s="45">
        <f t="shared" ref="M58" si="25">SUM(M53:M57)</f>
        <v>0</v>
      </c>
      <c r="N58" s="45">
        <f t="shared" ref="N58" si="26">SUM(N53:N57)</f>
        <v>1000</v>
      </c>
      <c r="O58" s="45">
        <f t="shared" ref="O58" si="27">SUM(O53:O57)</f>
        <v>3800</v>
      </c>
      <c r="P58" s="46"/>
    </row>
    <row r="60" spans="1:16" s="104" customFormat="1" ht="18.3">
      <c r="A60" s="104" t="s">
        <v>73</v>
      </c>
    </row>
    <row r="62" spans="1:16" s="92" customFormat="1">
      <c r="A62" s="92" t="s">
        <v>230</v>
      </c>
    </row>
    <row r="63" spans="1:16" s="92" customFormat="1">
      <c r="A63" s="92" t="s">
        <v>231</v>
      </c>
    </row>
    <row r="65" spans="1:16">
      <c r="A65" t="s">
        <v>126</v>
      </c>
      <c r="B65" s="13">
        <v>30</v>
      </c>
    </row>
    <row r="66" spans="1:16">
      <c r="A66" t="s">
        <v>127</v>
      </c>
      <c r="B66" s="13">
        <v>10</v>
      </c>
    </row>
    <row r="68" spans="1:16">
      <c r="B68" s="19"/>
      <c r="C68" s="19" t="s">
        <v>17</v>
      </c>
      <c r="D68" s="19" t="s">
        <v>18</v>
      </c>
      <c r="E68" s="19" t="s">
        <v>19</v>
      </c>
      <c r="F68" s="19" t="s">
        <v>20</v>
      </c>
      <c r="G68" s="19" t="s">
        <v>21</v>
      </c>
      <c r="H68" s="19" t="s">
        <v>22</v>
      </c>
      <c r="I68" s="19" t="s">
        <v>23</v>
      </c>
      <c r="J68" s="19" t="s">
        <v>24</v>
      </c>
      <c r="K68" s="19" t="s">
        <v>25</v>
      </c>
      <c r="L68" s="19" t="s">
        <v>26</v>
      </c>
      <c r="M68" s="19" t="s">
        <v>27</v>
      </c>
      <c r="N68" s="19" t="s">
        <v>28</v>
      </c>
      <c r="O68" s="19" t="s">
        <v>5</v>
      </c>
    </row>
    <row r="69" spans="1:16">
      <c r="A69" t="s">
        <v>125</v>
      </c>
      <c r="B69" s="8">
        <f>'Sources and Uses'!B11</f>
        <v>100000</v>
      </c>
      <c r="C69" s="8">
        <f>$B69/($B65*12)</f>
        <v>277.77777777777777</v>
      </c>
      <c r="D69" s="8">
        <f t="shared" ref="D69:N69" si="28">$B69/($B65*12)</f>
        <v>277.77777777777777</v>
      </c>
      <c r="E69" s="8">
        <f t="shared" si="28"/>
        <v>277.77777777777777</v>
      </c>
      <c r="F69" s="8">
        <f t="shared" si="28"/>
        <v>277.77777777777777</v>
      </c>
      <c r="G69" s="8">
        <f t="shared" si="28"/>
        <v>277.77777777777777</v>
      </c>
      <c r="H69" s="8">
        <f t="shared" si="28"/>
        <v>277.77777777777777</v>
      </c>
      <c r="I69" s="8">
        <f t="shared" si="28"/>
        <v>277.77777777777777</v>
      </c>
      <c r="J69" s="8">
        <f t="shared" si="28"/>
        <v>277.77777777777777</v>
      </c>
      <c r="K69" s="8">
        <f t="shared" si="28"/>
        <v>277.77777777777777</v>
      </c>
      <c r="L69" s="8">
        <f t="shared" si="28"/>
        <v>277.77777777777777</v>
      </c>
      <c r="M69" s="8">
        <f t="shared" si="28"/>
        <v>277.77777777777777</v>
      </c>
      <c r="N69" s="8">
        <f t="shared" si="28"/>
        <v>277.77777777777777</v>
      </c>
      <c r="O69" s="8">
        <f>SUM(C69:N69)</f>
        <v>3333.3333333333335</v>
      </c>
    </row>
    <row r="70" spans="1:16">
      <c r="A70" t="s">
        <v>97</v>
      </c>
      <c r="B70" s="8">
        <f>'Sources and Uses'!B12</f>
        <v>50000</v>
      </c>
      <c r="C70" s="8">
        <f>$B70/($B66*12)</f>
        <v>416.66666666666669</v>
      </c>
      <c r="D70" s="8">
        <f t="shared" ref="D70:N70" si="29">$B70/($B66*12)</f>
        <v>416.66666666666669</v>
      </c>
      <c r="E70" s="8">
        <f t="shared" si="29"/>
        <v>416.66666666666669</v>
      </c>
      <c r="F70" s="8">
        <f t="shared" si="29"/>
        <v>416.66666666666669</v>
      </c>
      <c r="G70" s="8">
        <f t="shared" si="29"/>
        <v>416.66666666666669</v>
      </c>
      <c r="H70" s="8">
        <f t="shared" si="29"/>
        <v>416.66666666666669</v>
      </c>
      <c r="I70" s="8">
        <f t="shared" si="29"/>
        <v>416.66666666666669</v>
      </c>
      <c r="J70" s="8">
        <f t="shared" si="29"/>
        <v>416.66666666666669</v>
      </c>
      <c r="K70" s="8">
        <f t="shared" si="29"/>
        <v>416.66666666666669</v>
      </c>
      <c r="L70" s="8">
        <f t="shared" si="29"/>
        <v>416.66666666666669</v>
      </c>
      <c r="M70" s="8">
        <f t="shared" si="29"/>
        <v>416.66666666666669</v>
      </c>
      <c r="N70" s="8">
        <f t="shared" si="29"/>
        <v>416.66666666666669</v>
      </c>
      <c r="O70" s="8">
        <f>SUM(C70:N70)</f>
        <v>5000</v>
      </c>
    </row>
    <row r="71" spans="1:16" s="22" customFormat="1">
      <c r="A71" s="48" t="str">
        <f>A60</f>
        <v>Depreciation</v>
      </c>
      <c r="B71" s="45"/>
      <c r="C71" s="45">
        <f t="shared" ref="C71:N71" si="30">SUM(C69:C70)</f>
        <v>694.44444444444446</v>
      </c>
      <c r="D71" s="45">
        <f t="shared" si="30"/>
        <v>694.44444444444446</v>
      </c>
      <c r="E71" s="45">
        <f t="shared" si="30"/>
        <v>694.44444444444446</v>
      </c>
      <c r="F71" s="45">
        <f t="shared" si="30"/>
        <v>694.44444444444446</v>
      </c>
      <c r="G71" s="45">
        <f t="shared" si="30"/>
        <v>694.44444444444446</v>
      </c>
      <c r="H71" s="45">
        <f t="shared" si="30"/>
        <v>694.44444444444446</v>
      </c>
      <c r="I71" s="45">
        <f t="shared" si="30"/>
        <v>694.44444444444446</v>
      </c>
      <c r="J71" s="45">
        <f t="shared" si="30"/>
        <v>694.44444444444446</v>
      </c>
      <c r="K71" s="45">
        <f t="shared" si="30"/>
        <v>694.44444444444446</v>
      </c>
      <c r="L71" s="45">
        <f t="shared" si="30"/>
        <v>694.44444444444446</v>
      </c>
      <c r="M71" s="45">
        <f t="shared" si="30"/>
        <v>694.44444444444446</v>
      </c>
      <c r="N71" s="45">
        <f t="shared" si="30"/>
        <v>694.44444444444446</v>
      </c>
      <c r="O71" s="45">
        <f t="shared" ref="O71" si="31">SUM(O65:O70)</f>
        <v>8333.3333333333339</v>
      </c>
      <c r="P71" s="46"/>
    </row>
    <row r="73" spans="1:16" s="104" customFormat="1" ht="18.3">
      <c r="A73" s="104" t="s">
        <v>129</v>
      </c>
    </row>
    <row r="75" spans="1:16" s="92" customFormat="1">
      <c r="A75" s="92" t="s">
        <v>233</v>
      </c>
    </row>
    <row r="76" spans="1:16" s="92" customFormat="1">
      <c r="A76" s="92" t="s">
        <v>235</v>
      </c>
    </row>
    <row r="77" spans="1:16" s="92" customFormat="1">
      <c r="A77" s="92" t="s">
        <v>210</v>
      </c>
    </row>
    <row r="80" spans="1:16" s="105" customFormat="1">
      <c r="A80" t="s">
        <v>130</v>
      </c>
      <c r="C80" s="106">
        <f>Income!C72</f>
        <v>7800</v>
      </c>
      <c r="D80" s="106">
        <f>Income!D72</f>
        <v>7371</v>
      </c>
      <c r="E80" s="106">
        <f>Income!E72</f>
        <v>8599.5</v>
      </c>
      <c r="F80" s="106">
        <f>Income!F72</f>
        <v>9029.4749999999985</v>
      </c>
      <c r="G80" s="106">
        <f>Income!G72</f>
        <v>9480.9487499999996</v>
      </c>
      <c r="H80" s="106">
        <f>Income!H72</f>
        <v>9954.996187499999</v>
      </c>
      <c r="I80" s="106">
        <f>Income!I72</f>
        <v>9407.471397187499</v>
      </c>
      <c r="J80" s="106">
        <f>Income!J72</f>
        <v>9877.8449670468744</v>
      </c>
      <c r="K80" s="106">
        <f>Income!K72</f>
        <v>11524.152461554688</v>
      </c>
      <c r="L80" s="106">
        <f>Income!L72</f>
        <v>12100.360084632423</v>
      </c>
      <c r="M80" s="106">
        <f>Income!M72</f>
        <v>13975.915897750448</v>
      </c>
      <c r="N80" s="106">
        <f>Income!N72</f>
        <v>14674.711692637971</v>
      </c>
      <c r="O80" s="106">
        <f>Income!O72</f>
        <v>123796.3764383099</v>
      </c>
    </row>
    <row r="82" spans="1:15">
      <c r="B82" s="19"/>
      <c r="C82" s="19" t="s">
        <v>17</v>
      </c>
      <c r="D82" s="19" t="s">
        <v>18</v>
      </c>
      <c r="E82" s="19" t="s">
        <v>19</v>
      </c>
      <c r="F82" s="19" t="s">
        <v>20</v>
      </c>
      <c r="G82" s="19" t="s">
        <v>21</v>
      </c>
      <c r="H82" s="19" t="s">
        <v>22</v>
      </c>
      <c r="I82" s="19" t="s">
        <v>23</v>
      </c>
      <c r="J82" s="19" t="s">
        <v>24</v>
      </c>
      <c r="K82" s="19" t="s">
        <v>25</v>
      </c>
      <c r="L82" s="19" t="s">
        <v>26</v>
      </c>
      <c r="M82" s="19" t="s">
        <v>27</v>
      </c>
      <c r="N82" s="19" t="s">
        <v>28</v>
      </c>
      <c r="O82" s="19" t="s">
        <v>5</v>
      </c>
    </row>
    <row r="83" spans="1:15">
      <c r="A83" t="s">
        <v>84</v>
      </c>
      <c r="C83" s="15">
        <f t="shared" ref="C83:O83" si="32">C29</f>
        <v>5333.3333333333339</v>
      </c>
      <c r="D83" s="15">
        <f t="shared" si="32"/>
        <v>5333.3333333333339</v>
      </c>
      <c r="E83" s="15">
        <f t="shared" si="32"/>
        <v>5333.3333333333339</v>
      </c>
      <c r="F83" s="15">
        <f t="shared" si="32"/>
        <v>5333.3333333333339</v>
      </c>
      <c r="G83" s="15">
        <f t="shared" si="32"/>
        <v>5333.3333333333339</v>
      </c>
      <c r="H83" s="15">
        <f t="shared" si="32"/>
        <v>5333.3333333333339</v>
      </c>
      <c r="I83" s="15">
        <f t="shared" si="32"/>
        <v>5333.3333333333339</v>
      </c>
      <c r="J83" s="15">
        <f t="shared" si="32"/>
        <v>5333.3333333333339</v>
      </c>
      <c r="K83" s="15">
        <f t="shared" si="32"/>
        <v>5333.3333333333339</v>
      </c>
      <c r="L83" s="15">
        <f t="shared" si="32"/>
        <v>5333.3333333333339</v>
      </c>
      <c r="M83" s="15">
        <f t="shared" si="32"/>
        <v>5333.3333333333339</v>
      </c>
      <c r="N83" s="15">
        <f t="shared" si="32"/>
        <v>5333.3333333333339</v>
      </c>
      <c r="O83" s="15">
        <f t="shared" si="32"/>
        <v>64000</v>
      </c>
    </row>
    <row r="84" spans="1:15">
      <c r="A84" t="s">
        <v>71</v>
      </c>
      <c r="C84" s="15">
        <f t="shared" ref="C84:O84" si="33">C44</f>
        <v>312</v>
      </c>
      <c r="D84" s="15">
        <f t="shared" si="33"/>
        <v>294.84000000000003</v>
      </c>
      <c r="E84" s="15">
        <f t="shared" si="33"/>
        <v>343.98</v>
      </c>
      <c r="F84" s="15">
        <f t="shared" si="33"/>
        <v>361.17899999999997</v>
      </c>
      <c r="G84" s="15">
        <f t="shared" si="33"/>
        <v>379.23794999999996</v>
      </c>
      <c r="H84" s="15">
        <f t="shared" si="33"/>
        <v>398.19984749999998</v>
      </c>
      <c r="I84" s="15">
        <f t="shared" si="33"/>
        <v>376.29885588749994</v>
      </c>
      <c r="J84" s="15">
        <f t="shared" si="33"/>
        <v>395.11379868187498</v>
      </c>
      <c r="K84" s="15">
        <f t="shared" si="33"/>
        <v>460.96609846218752</v>
      </c>
      <c r="L84" s="15">
        <f t="shared" si="33"/>
        <v>484.01440338529687</v>
      </c>
      <c r="M84" s="15">
        <f t="shared" si="33"/>
        <v>559.03663591001794</v>
      </c>
      <c r="N84" s="15">
        <f t="shared" si="33"/>
        <v>586.98846770551881</v>
      </c>
      <c r="O84" s="15">
        <f t="shared" si="33"/>
        <v>4951.8550575323961</v>
      </c>
    </row>
    <row r="85" spans="1:15">
      <c r="A85" t="s">
        <v>72</v>
      </c>
      <c r="C85" s="15">
        <f t="shared" ref="C85:O85" si="34">C58</f>
        <v>1500</v>
      </c>
      <c r="D85" s="15">
        <f t="shared" si="34"/>
        <v>0</v>
      </c>
      <c r="E85" s="15">
        <f t="shared" si="34"/>
        <v>300</v>
      </c>
      <c r="F85" s="15">
        <f t="shared" si="34"/>
        <v>0</v>
      </c>
      <c r="G85" s="15">
        <f t="shared" si="34"/>
        <v>0</v>
      </c>
      <c r="H85" s="15">
        <f t="shared" si="34"/>
        <v>0</v>
      </c>
      <c r="I85" s="15">
        <f t="shared" si="34"/>
        <v>0</v>
      </c>
      <c r="J85" s="15">
        <f t="shared" si="34"/>
        <v>0</v>
      </c>
      <c r="K85" s="15">
        <f t="shared" si="34"/>
        <v>0</v>
      </c>
      <c r="L85" s="15">
        <f t="shared" si="34"/>
        <v>1000</v>
      </c>
      <c r="M85" s="15">
        <f t="shared" si="34"/>
        <v>0</v>
      </c>
      <c r="N85" s="15">
        <f t="shared" si="34"/>
        <v>1000</v>
      </c>
      <c r="O85" s="15">
        <f t="shared" si="34"/>
        <v>3800</v>
      </c>
    </row>
    <row r="86" spans="1:15">
      <c r="A86" t="s">
        <v>73</v>
      </c>
      <c r="C86" s="15">
        <f t="shared" ref="C86:O86" si="35">C71</f>
        <v>694.44444444444446</v>
      </c>
      <c r="D86" s="15">
        <f t="shared" si="35"/>
        <v>694.44444444444446</v>
      </c>
      <c r="E86" s="15">
        <f t="shared" si="35"/>
        <v>694.44444444444446</v>
      </c>
      <c r="F86" s="15">
        <f t="shared" si="35"/>
        <v>694.44444444444446</v>
      </c>
      <c r="G86" s="15">
        <f t="shared" si="35"/>
        <v>694.44444444444446</v>
      </c>
      <c r="H86" s="15">
        <f t="shared" si="35"/>
        <v>694.44444444444446</v>
      </c>
      <c r="I86" s="15">
        <f t="shared" si="35"/>
        <v>694.44444444444446</v>
      </c>
      <c r="J86" s="15">
        <f t="shared" si="35"/>
        <v>694.44444444444446</v>
      </c>
      <c r="K86" s="15">
        <f t="shared" si="35"/>
        <v>694.44444444444446</v>
      </c>
      <c r="L86" s="15">
        <f t="shared" si="35"/>
        <v>694.44444444444446</v>
      </c>
      <c r="M86" s="15">
        <f t="shared" si="35"/>
        <v>694.44444444444446</v>
      </c>
      <c r="N86" s="15">
        <f t="shared" si="35"/>
        <v>694.44444444444446</v>
      </c>
      <c r="O86" s="15">
        <f t="shared" si="35"/>
        <v>8333.3333333333339</v>
      </c>
    </row>
    <row r="87" spans="1:15" s="22" customFormat="1">
      <c r="A87" s="22" t="s">
        <v>47</v>
      </c>
      <c r="C87" s="45">
        <f>SUM(C83:C86)</f>
        <v>7839.7777777777783</v>
      </c>
      <c r="D87" s="45">
        <f t="shared" ref="D87:O87" si="36">SUM(D83:D86)</f>
        <v>6322.6177777777784</v>
      </c>
      <c r="E87" s="45">
        <f t="shared" si="36"/>
        <v>6671.7577777777778</v>
      </c>
      <c r="F87" s="45">
        <f t="shared" si="36"/>
        <v>6388.9567777777784</v>
      </c>
      <c r="G87" s="45">
        <f t="shared" si="36"/>
        <v>6407.015727777778</v>
      </c>
      <c r="H87" s="45">
        <f t="shared" si="36"/>
        <v>6425.9776252777783</v>
      </c>
      <c r="I87" s="45">
        <f t="shared" si="36"/>
        <v>6404.0766336652787</v>
      </c>
      <c r="J87" s="45">
        <f t="shared" si="36"/>
        <v>6422.8915764596532</v>
      </c>
      <c r="K87" s="45">
        <f t="shared" si="36"/>
        <v>6488.7438762399661</v>
      </c>
      <c r="L87" s="45">
        <f t="shared" si="36"/>
        <v>7511.7921811630749</v>
      </c>
      <c r="M87" s="45">
        <f t="shared" si="36"/>
        <v>6586.8144136877963</v>
      </c>
      <c r="N87" s="45">
        <f t="shared" si="36"/>
        <v>7614.7662454832971</v>
      </c>
      <c r="O87" s="45">
        <f t="shared" si="36"/>
        <v>81085.188390865718</v>
      </c>
    </row>
    <row r="88" spans="1:15" s="80" customFormat="1">
      <c r="A88" s="80" t="s">
        <v>131</v>
      </c>
      <c r="C88" s="81">
        <f>IFERROR(C87/C80,"")</f>
        <v>1.0050997150997152</v>
      </c>
      <c r="D88" s="81">
        <f t="shared" ref="D88:O88" si="37">IFERROR(D87/D80,"")</f>
        <v>0.8577693362878549</v>
      </c>
      <c r="E88" s="81">
        <f t="shared" si="37"/>
        <v>0.77583089456105325</v>
      </c>
      <c r="F88" s="81">
        <f t="shared" si="37"/>
        <v>0.7075668051329429</v>
      </c>
      <c r="G88" s="81">
        <f t="shared" si="37"/>
        <v>0.67577790965042173</v>
      </c>
      <c r="H88" s="81">
        <f t="shared" si="37"/>
        <v>0.6455027710956398</v>
      </c>
      <c r="I88" s="81">
        <f t="shared" si="37"/>
        <v>0.68074367311707917</v>
      </c>
      <c r="J88" s="81">
        <f t="shared" si="37"/>
        <v>0.65023206963531344</v>
      </c>
      <c r="K88" s="81">
        <f t="shared" si="37"/>
        <v>0.56305605968741146</v>
      </c>
      <c r="L88" s="81">
        <f t="shared" si="37"/>
        <v>0.62079079701959661</v>
      </c>
      <c r="M88" s="81">
        <f t="shared" si="37"/>
        <v>0.47129751365690492</v>
      </c>
      <c r="N88" s="81">
        <f t="shared" si="37"/>
        <v>0.51890397610356342</v>
      </c>
      <c r="O88" s="81">
        <f t="shared" si="37"/>
        <v>0.65498838272759963</v>
      </c>
    </row>
    <row r="90" spans="1:15" s="92" customFormat="1">
      <c r="A90" s="92" t="s">
        <v>236</v>
      </c>
    </row>
    <row r="106" spans="1:1" s="92" customFormat="1">
      <c r="A106" s="92" t="s">
        <v>232</v>
      </c>
    </row>
    <row r="123" spans="1:1" s="98" customFormat="1" ht="18.3">
      <c r="A123" s="98" t="s">
        <v>187</v>
      </c>
    </row>
    <row r="125" spans="1:1">
      <c r="A125" t="s">
        <v>249</v>
      </c>
    </row>
    <row r="126" spans="1:1">
      <c r="A126" t="s">
        <v>188</v>
      </c>
    </row>
    <row r="127" spans="1:1">
      <c r="A127" t="s">
        <v>189</v>
      </c>
    </row>
    <row r="128" spans="1:1">
      <c r="A128" s="91" t="s">
        <v>40</v>
      </c>
    </row>
    <row r="130" spans="1:1">
      <c r="A130" t="s">
        <v>250</v>
      </c>
    </row>
    <row r="131" spans="1:1">
      <c r="A131" s="91" t="s">
        <v>96</v>
      </c>
    </row>
  </sheetData>
  <hyperlinks>
    <hyperlink ref="A128" location="'12 month PL'!A1" display="12 Month Profit and Loss" xr:uid="{00000000-0004-0000-0300-000000000000}"/>
    <hyperlink ref="A131" location="'Sources and Uses'!A1" display="Sources and Uses" xr:uid="{00000000-0004-0000-0300-000001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E66"/>
  <sheetViews>
    <sheetView topLeftCell="A28" workbookViewId="0">
      <selection activeCell="A39" sqref="A39"/>
    </sheetView>
  </sheetViews>
  <sheetFormatPr defaultRowHeight="14.4"/>
  <cols>
    <col min="1" max="1" width="37.15625" customWidth="1"/>
    <col min="2" max="2" width="11.578125" bestFit="1" customWidth="1"/>
    <col min="3" max="3" width="10" bestFit="1" customWidth="1"/>
  </cols>
  <sheetData>
    <row r="1" spans="1:4" s="1" customFormat="1" ht="18.3">
      <c r="A1" s="1" t="str">
        <f>'READ ME'!A20</f>
        <v>Retail Worker Cooperative, Inc</v>
      </c>
    </row>
    <row r="2" spans="1:4" s="3" customFormat="1" ht="18.3">
      <c r="A2" s="2" t="s">
        <v>96</v>
      </c>
    </row>
    <row r="4" spans="1:4" s="109" customFormat="1" ht="18.3">
      <c r="A4" s="107" t="s">
        <v>86</v>
      </c>
      <c r="B4" s="108"/>
    </row>
    <row r="6" spans="1:4" s="92" customFormat="1">
      <c r="A6" s="92" t="s">
        <v>239</v>
      </c>
    </row>
    <row r="7" spans="1:4" s="92" customFormat="1">
      <c r="A7" s="92" t="s">
        <v>240</v>
      </c>
    </row>
    <row r="8" spans="1:4" s="92" customFormat="1">
      <c r="A8" s="92" t="s">
        <v>241</v>
      </c>
    </row>
    <row r="9" spans="1:4">
      <c r="A9" s="50"/>
      <c r="B9" s="51"/>
      <c r="C9" s="52"/>
      <c r="D9" s="52"/>
    </row>
    <row r="10" spans="1:4">
      <c r="A10" s="18" t="s">
        <v>87</v>
      </c>
      <c r="B10" s="8"/>
      <c r="D10" s="52"/>
    </row>
    <row r="11" spans="1:4">
      <c r="A11" s="68" t="s">
        <v>284</v>
      </c>
      <c r="B11" s="70">
        <v>100000</v>
      </c>
      <c r="D11" s="52"/>
    </row>
    <row r="12" spans="1:4">
      <c r="A12" s="68" t="s">
        <v>97</v>
      </c>
      <c r="B12" s="70">
        <v>50000</v>
      </c>
      <c r="D12" s="52"/>
    </row>
    <row r="13" spans="1:4">
      <c r="A13" s="69" t="s">
        <v>88</v>
      </c>
      <c r="B13" s="70">
        <v>25000</v>
      </c>
      <c r="D13" s="52"/>
    </row>
    <row r="14" spans="1:4">
      <c r="A14" s="69"/>
      <c r="B14" s="70"/>
      <c r="D14" s="52"/>
    </row>
    <row r="15" spans="1:4">
      <c r="A15" s="69"/>
      <c r="B15" s="70"/>
      <c r="D15" s="52"/>
    </row>
    <row r="16" spans="1:4">
      <c r="A16" s="54" t="s">
        <v>89</v>
      </c>
      <c r="B16" s="23">
        <f>SUM(B11:B15)</f>
        <v>175000</v>
      </c>
      <c r="C16" s="55"/>
      <c r="D16" s="55"/>
    </row>
    <row r="17" spans="1:4">
      <c r="A17" s="50"/>
      <c r="B17" s="51"/>
      <c r="C17" s="52"/>
      <c r="D17" s="52"/>
    </row>
    <row r="18" spans="1:4" s="92" customFormat="1">
      <c r="A18" s="92" t="s">
        <v>259</v>
      </c>
    </row>
    <row r="19" spans="1:4" s="92" customFormat="1"/>
    <row r="20" spans="1:4">
      <c r="A20" s="50"/>
      <c r="B20" s="51"/>
      <c r="C20" s="52"/>
      <c r="D20" s="52"/>
    </row>
    <row r="21" spans="1:4">
      <c r="A21" s="18" t="s">
        <v>47</v>
      </c>
      <c r="B21" s="8"/>
      <c r="D21" s="52"/>
    </row>
    <row r="22" spans="1:4">
      <c r="A22" s="68" t="s">
        <v>98</v>
      </c>
      <c r="B22" s="70">
        <v>20000</v>
      </c>
      <c r="D22" s="52"/>
    </row>
    <row r="23" spans="1:4">
      <c r="A23" s="68" t="s">
        <v>99</v>
      </c>
      <c r="B23" s="70">
        <v>10000</v>
      </c>
      <c r="D23" s="52"/>
    </row>
    <row r="24" spans="1:4">
      <c r="A24" s="69" t="s">
        <v>90</v>
      </c>
      <c r="B24" s="70">
        <v>10000</v>
      </c>
      <c r="D24" s="52"/>
    </row>
    <row r="25" spans="1:4">
      <c r="A25" s="69"/>
      <c r="B25" s="70"/>
      <c r="D25" s="52"/>
    </row>
    <row r="26" spans="1:4">
      <c r="A26" s="69"/>
      <c r="B26" s="70"/>
      <c r="D26" s="52"/>
    </row>
    <row r="27" spans="1:4">
      <c r="A27" s="54" t="s">
        <v>91</v>
      </c>
      <c r="B27" s="23">
        <f>SUM(B22:B26)</f>
        <v>40000</v>
      </c>
      <c r="C27" s="55"/>
      <c r="D27" s="55"/>
    </row>
    <row r="28" spans="1:4">
      <c r="A28" s="59"/>
      <c r="B28" s="57"/>
      <c r="C28" s="59"/>
      <c r="D28" s="55"/>
    </row>
    <row r="29" spans="1:4">
      <c r="A29" s="60" t="s">
        <v>92</v>
      </c>
      <c r="B29" s="61">
        <f>SUM(B16,B27)</f>
        <v>215000</v>
      </c>
      <c r="C29" s="55"/>
      <c r="D29" s="55"/>
    </row>
    <row r="30" spans="1:4">
      <c r="A30" s="50"/>
      <c r="B30" s="51"/>
      <c r="C30" s="52"/>
      <c r="D30" s="52"/>
    </row>
    <row r="31" spans="1:4" s="92" customFormat="1">
      <c r="A31" s="92" t="s">
        <v>259</v>
      </c>
    </row>
    <row r="32" spans="1:4" s="92" customFormat="1">
      <c r="A32" s="92" t="s">
        <v>261</v>
      </c>
    </row>
    <row r="33" spans="1:5" s="92" customFormat="1">
      <c r="A33" s="113">
        <f>MIN('12 month Cash'!C17:N17)</f>
        <v>-225243.0922381909</v>
      </c>
    </row>
    <row r="34" spans="1:5" s="92" customFormat="1">
      <c r="A34" s="92" t="s">
        <v>285</v>
      </c>
    </row>
    <row r="35" spans="1:5" s="105" customFormat="1">
      <c r="A35" s="117" t="s">
        <v>260</v>
      </c>
    </row>
    <row r="37" spans="1:5" s="92" customFormat="1">
      <c r="A37" s="92" t="s">
        <v>242</v>
      </c>
    </row>
    <row r="38" spans="1:5" s="92" customFormat="1">
      <c r="A38" s="92" t="s">
        <v>243</v>
      </c>
    </row>
    <row r="39" spans="1:5">
      <c r="A39" s="50"/>
      <c r="B39" s="51"/>
      <c r="C39" s="52"/>
      <c r="D39" s="52"/>
    </row>
    <row r="40" spans="1:5">
      <c r="A40" s="50" t="s">
        <v>244</v>
      </c>
      <c r="B40" s="62">
        <v>0.1</v>
      </c>
      <c r="C40" s="52"/>
      <c r="D40" s="52"/>
    </row>
    <row r="41" spans="1:5">
      <c r="A41" s="50" t="s">
        <v>93</v>
      </c>
      <c r="B41" s="58">
        <f>B29*B40</f>
        <v>21500</v>
      </c>
      <c r="E41" s="56"/>
    </row>
    <row r="42" spans="1:5">
      <c r="A42" s="50"/>
      <c r="B42" s="51"/>
      <c r="D42" s="52"/>
      <c r="E42" s="52"/>
    </row>
    <row r="43" spans="1:5">
      <c r="A43" s="63" t="s">
        <v>94</v>
      </c>
      <c r="B43" s="64">
        <f>SUM(B29,B41)</f>
        <v>236500</v>
      </c>
      <c r="C43" s="53"/>
      <c r="D43" s="53"/>
    </row>
    <row r="44" spans="1:5">
      <c r="A44" s="53"/>
      <c r="B44" s="65"/>
      <c r="C44" s="53"/>
      <c r="D44" s="53"/>
    </row>
    <row r="45" spans="1:5" s="112" customFormat="1" ht="18.3">
      <c r="A45" s="110" t="s">
        <v>95</v>
      </c>
      <c r="B45" s="111"/>
    </row>
    <row r="47" spans="1:5" s="92" customFormat="1">
      <c r="A47" s="92" t="s">
        <v>246</v>
      </c>
    </row>
    <row r="48" spans="1:5" s="92" customFormat="1">
      <c r="A48" s="92" t="s">
        <v>245</v>
      </c>
    </row>
    <row r="49" spans="1:4" s="92" customFormat="1">
      <c r="A49" s="92" t="s">
        <v>286</v>
      </c>
    </row>
    <row r="50" spans="1:4">
      <c r="A50" s="50"/>
      <c r="B50" s="51"/>
      <c r="C50" s="52"/>
      <c r="D50" s="52"/>
    </row>
    <row r="51" spans="1:4">
      <c r="A51" s="50" t="s">
        <v>103</v>
      </c>
      <c r="B51" s="67">
        <v>10</v>
      </c>
      <c r="D51" s="52"/>
    </row>
    <row r="52" spans="1:4">
      <c r="A52" s="50" t="s">
        <v>104</v>
      </c>
      <c r="B52" s="66">
        <v>1000</v>
      </c>
      <c r="D52" s="52"/>
    </row>
    <row r="54" spans="1:4">
      <c r="A54" s="50" t="s">
        <v>105</v>
      </c>
      <c r="B54" s="51">
        <f>B51*B52</f>
        <v>10000</v>
      </c>
      <c r="C54" s="12">
        <f>B54/B57</f>
        <v>4.2283298097251586E-2</v>
      </c>
    </row>
    <row r="55" spans="1:4">
      <c r="A55" s="71" t="s">
        <v>101</v>
      </c>
      <c r="B55" s="58">
        <f>B43-B54</f>
        <v>226500</v>
      </c>
      <c r="C55" s="12">
        <f>B55/B57</f>
        <v>0.95771670190274838</v>
      </c>
    </row>
    <row r="56" spans="1:4">
      <c r="A56" s="50"/>
      <c r="B56" s="51"/>
    </row>
    <row r="57" spans="1:4">
      <c r="A57" s="63" t="s">
        <v>102</v>
      </c>
      <c r="B57" s="64">
        <f>SUM(B54:B56)</f>
        <v>236500</v>
      </c>
    </row>
    <row r="59" spans="1:4" s="98" customFormat="1" ht="18.3">
      <c r="A59" s="98" t="s">
        <v>187</v>
      </c>
    </row>
    <row r="61" spans="1:4">
      <c r="A61" t="s">
        <v>256</v>
      </c>
    </row>
    <row r="62" spans="1:4">
      <c r="A62" t="s">
        <v>258</v>
      </c>
    </row>
    <row r="63" spans="1:4">
      <c r="A63" s="91" t="s">
        <v>47</v>
      </c>
    </row>
    <row r="65" spans="1:1">
      <c r="A65" t="s">
        <v>257</v>
      </c>
    </row>
    <row r="66" spans="1:1">
      <c r="A66" s="91" t="s">
        <v>100</v>
      </c>
    </row>
  </sheetData>
  <hyperlinks>
    <hyperlink ref="A66" location="Debt!A1" display="Debt" xr:uid="{00000000-0004-0000-0400-000000000000}"/>
    <hyperlink ref="A63" location="Expenses!A60" display="Expenses" xr:uid="{00000000-0004-0000-0400-000001000000}"/>
    <hyperlink ref="A35" location="'12 month PL'!A40" display="12 Month Profit and Loss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N45"/>
  <sheetViews>
    <sheetView workbookViewId="0">
      <selection activeCell="F44" sqref="F44"/>
    </sheetView>
  </sheetViews>
  <sheetFormatPr defaultRowHeight="14.4"/>
  <cols>
    <col min="1" max="1" width="21.15625" customWidth="1"/>
    <col min="2" max="2" width="10.83984375" customWidth="1"/>
    <col min="3" max="3" width="14.68359375" customWidth="1"/>
    <col min="4" max="13" width="10.83984375" customWidth="1"/>
    <col min="14" max="14" width="11.578125" customWidth="1"/>
  </cols>
  <sheetData>
    <row r="1" spans="1:2" s="1" customFormat="1" ht="18.3">
      <c r="A1" s="1" t="str">
        <f>'READ ME'!A20</f>
        <v>Retail Worker Cooperative, Inc</v>
      </c>
    </row>
    <row r="2" spans="1:2" s="3" customFormat="1" ht="18.3">
      <c r="A2" s="2" t="s">
        <v>100</v>
      </c>
    </row>
    <row r="4" spans="1:2" s="92" customFormat="1">
      <c r="A4" s="92" t="s">
        <v>251</v>
      </c>
    </row>
    <row r="5" spans="1:2" s="92" customFormat="1">
      <c r="A5" s="92" t="s">
        <v>252</v>
      </c>
    </row>
    <row r="6" spans="1:2" s="92" customFormat="1">
      <c r="A6" s="113">
        <f>'Sources and Uses'!B55</f>
        <v>226500</v>
      </c>
    </row>
    <row r="7" spans="1:2" s="92" customFormat="1">
      <c r="A7" s="92" t="s">
        <v>253</v>
      </c>
    </row>
    <row r="9" spans="1:2" s="116" customFormat="1" ht="18.3">
      <c r="A9" s="114" t="s">
        <v>112</v>
      </c>
      <c r="B9" s="115"/>
    </row>
    <row r="11" spans="1:2" s="92" customFormat="1">
      <c r="A11" s="92" t="s">
        <v>254</v>
      </c>
    </row>
    <row r="12" spans="1:2" s="92" customFormat="1">
      <c r="A12" s="92" t="s">
        <v>255</v>
      </c>
    </row>
    <row r="14" spans="1:2">
      <c r="A14" t="s">
        <v>106</v>
      </c>
      <c r="B14" s="72">
        <v>230000</v>
      </c>
    </row>
    <row r="15" spans="1:2">
      <c r="A15" t="s">
        <v>107</v>
      </c>
      <c r="B15" s="11">
        <v>7.0000000000000007E-2</v>
      </c>
    </row>
    <row r="16" spans="1:2">
      <c r="A16" t="s">
        <v>108</v>
      </c>
      <c r="B16" s="68">
        <v>5</v>
      </c>
    </row>
    <row r="17" spans="1:14">
      <c r="A17" t="s">
        <v>124</v>
      </c>
      <c r="B17" s="68">
        <v>12</v>
      </c>
    </row>
    <row r="18" spans="1:14">
      <c r="A18" t="s">
        <v>109</v>
      </c>
      <c r="B18">
        <f>B16*B17</f>
        <v>60</v>
      </c>
    </row>
    <row r="19" spans="1:14">
      <c r="A19" s="73" t="s">
        <v>110</v>
      </c>
      <c r="B19" s="74">
        <f>-PMT(B15/B17,B16*B17,B14)</f>
        <v>4554.2756642803934</v>
      </c>
    </row>
    <row r="20" spans="1:14">
      <c r="A20" s="73" t="s">
        <v>111</v>
      </c>
      <c r="B20" s="74">
        <f>-CUMIPMT(B15/B17,B18,B14,1,B18,0)</f>
        <v>43256.539856823598</v>
      </c>
    </row>
    <row r="22" spans="1:14" s="116" customFormat="1" ht="18.3">
      <c r="A22" s="114" t="s">
        <v>114</v>
      </c>
      <c r="B22" s="115"/>
    </row>
    <row r="24" spans="1:14" s="92" customFormat="1">
      <c r="A24" s="92" t="s">
        <v>263</v>
      </c>
    </row>
    <row r="25" spans="1:14" s="92" customFormat="1">
      <c r="A25" s="92" t="s">
        <v>264</v>
      </c>
    </row>
    <row r="27" spans="1:14">
      <c r="A27" s="40" t="s">
        <v>116</v>
      </c>
      <c r="C27" s="53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9" spans="1:14">
      <c r="A29" t="s">
        <v>118</v>
      </c>
      <c r="C29" s="9">
        <f>B14</f>
        <v>230000</v>
      </c>
      <c r="D29" s="9">
        <f>C35</f>
        <v>228665.7243357196</v>
      </c>
      <c r="E29" s="9">
        <f t="shared" ref="E29:N29" si="0">D35</f>
        <v>227296.84924501326</v>
      </c>
      <c r="F29" s="9">
        <f t="shared" si="0"/>
        <v>225892.89033591101</v>
      </c>
      <c r="G29" s="9">
        <f t="shared" si="0"/>
        <v>224453.35643495532</v>
      </c>
      <c r="H29" s="9">
        <f t="shared" si="0"/>
        <v>222977.74949226025</v>
      </c>
      <c r="I29" s="9">
        <f t="shared" si="0"/>
        <v>221465.56448524143</v>
      </c>
      <c r="J29" s="9">
        <f t="shared" si="0"/>
        <v>219916.28932099833</v>
      </c>
      <c r="K29" s="9">
        <f t="shared" si="0"/>
        <v>218329.40473732981</v>
      </c>
      <c r="L29" s="9">
        <f t="shared" si="0"/>
        <v>216704.3842023639</v>
      </c>
      <c r="M29" s="9">
        <f t="shared" si="0"/>
        <v>215040.69381278247</v>
      </c>
      <c r="N29" s="9">
        <f t="shared" si="0"/>
        <v>213337.79219062088</v>
      </c>
    </row>
    <row r="31" spans="1:14">
      <c r="A31" s="40" t="s">
        <v>115</v>
      </c>
      <c r="C31" s="75">
        <f>C33-C32</f>
        <v>1334.2756642803929</v>
      </c>
      <c r="D31" s="75">
        <f>D33-D32</f>
        <v>1368.8750907063336</v>
      </c>
      <c r="E31" s="75">
        <f t="shared" ref="E31:N31" si="1">E33-E32</f>
        <v>1403.9589091022385</v>
      </c>
      <c r="F31" s="75">
        <f t="shared" si="1"/>
        <v>1439.5339009556847</v>
      </c>
      <c r="G31" s="75">
        <f t="shared" si="1"/>
        <v>1475.6069426950803</v>
      </c>
      <c r="H31" s="75">
        <f t="shared" si="1"/>
        <v>1512.1850070188266</v>
      </c>
      <c r="I31" s="75">
        <f t="shared" si="1"/>
        <v>1549.2751642431049</v>
      </c>
      <c r="J31" s="75">
        <f t="shared" si="1"/>
        <v>1586.884583668525</v>
      </c>
      <c r="K31" s="75">
        <f t="shared" si="1"/>
        <v>1625.0205349659</v>
      </c>
      <c r="L31" s="75">
        <f t="shared" si="1"/>
        <v>1663.6903895814376</v>
      </c>
      <c r="M31" s="75">
        <f t="shared" si="1"/>
        <v>1702.9016221615934</v>
      </c>
      <c r="N31" s="75">
        <f t="shared" si="1"/>
        <v>1742.6618119978716</v>
      </c>
    </row>
    <row r="32" spans="1:14">
      <c r="A32" s="40" t="s">
        <v>117</v>
      </c>
      <c r="C32" s="75">
        <f>-IPMT($B15/$B16,C27,$B18,$B14)</f>
        <v>3220.0000000000005</v>
      </c>
      <c r="D32" s="75">
        <f>-IPMT($B15/$B16,D27,$B18,$B14)</f>
        <v>3185.4005735740598</v>
      </c>
      <c r="E32" s="75">
        <f t="shared" ref="E32:N32" si="2">-IPMT($B15/$B16,E27,$B18,$B14)</f>
        <v>3150.3167551781548</v>
      </c>
      <c r="F32" s="75">
        <f t="shared" si="2"/>
        <v>3114.7417633247087</v>
      </c>
      <c r="G32" s="75">
        <f t="shared" si="2"/>
        <v>3078.6687215853131</v>
      </c>
      <c r="H32" s="75">
        <f t="shared" si="2"/>
        <v>3042.0906572615668</v>
      </c>
      <c r="I32" s="75">
        <f t="shared" si="2"/>
        <v>3005.0005000372885</v>
      </c>
      <c r="J32" s="75">
        <f t="shared" si="2"/>
        <v>2967.3910806118683</v>
      </c>
      <c r="K32" s="75">
        <f t="shared" si="2"/>
        <v>2929.2551293144934</v>
      </c>
      <c r="L32" s="75">
        <f t="shared" si="2"/>
        <v>2890.5852746989558</v>
      </c>
      <c r="M32" s="75">
        <f t="shared" si="2"/>
        <v>2851.3740421187999</v>
      </c>
      <c r="N32" s="75">
        <f t="shared" si="2"/>
        <v>2811.6138522825217</v>
      </c>
    </row>
    <row r="33" spans="1:14" s="22" customFormat="1">
      <c r="A33" s="76" t="s">
        <v>113</v>
      </c>
      <c r="C33" s="77">
        <f>-PMT($B15/$B17,$B18,$B14)</f>
        <v>4554.2756642803934</v>
      </c>
      <c r="D33" s="77">
        <f t="shared" ref="D33:N33" si="3">-PMT($B15/$B17,$B18,$B14)</f>
        <v>4554.2756642803934</v>
      </c>
      <c r="E33" s="77">
        <f t="shared" si="3"/>
        <v>4554.2756642803934</v>
      </c>
      <c r="F33" s="77">
        <f t="shared" si="3"/>
        <v>4554.2756642803934</v>
      </c>
      <c r="G33" s="77">
        <f t="shared" si="3"/>
        <v>4554.2756642803934</v>
      </c>
      <c r="H33" s="77">
        <f t="shared" si="3"/>
        <v>4554.2756642803934</v>
      </c>
      <c r="I33" s="77">
        <f t="shared" si="3"/>
        <v>4554.2756642803934</v>
      </c>
      <c r="J33" s="77">
        <f t="shared" si="3"/>
        <v>4554.2756642803934</v>
      </c>
      <c r="K33" s="77">
        <f t="shared" si="3"/>
        <v>4554.2756642803934</v>
      </c>
      <c r="L33" s="77">
        <f t="shared" si="3"/>
        <v>4554.2756642803934</v>
      </c>
      <c r="M33" s="77">
        <f t="shared" si="3"/>
        <v>4554.2756642803934</v>
      </c>
      <c r="N33" s="77">
        <f t="shared" si="3"/>
        <v>4554.2756642803934</v>
      </c>
    </row>
    <row r="35" spans="1:14">
      <c r="A35" t="s">
        <v>119</v>
      </c>
      <c r="C35" s="9">
        <f>C29-C31</f>
        <v>228665.7243357196</v>
      </c>
      <c r="D35" s="9">
        <f>D29-D31</f>
        <v>227296.84924501326</v>
      </c>
      <c r="E35" s="9">
        <f t="shared" ref="E35:N35" si="4">E29-E31</f>
        <v>225892.89033591101</v>
      </c>
      <c r="F35" s="9">
        <f t="shared" si="4"/>
        <v>224453.35643495532</v>
      </c>
      <c r="G35" s="9">
        <f t="shared" si="4"/>
        <v>222977.74949226025</v>
      </c>
      <c r="H35" s="9">
        <f t="shared" si="4"/>
        <v>221465.56448524143</v>
      </c>
      <c r="I35" s="9">
        <f t="shared" si="4"/>
        <v>219916.28932099833</v>
      </c>
      <c r="J35" s="9">
        <f t="shared" si="4"/>
        <v>218329.40473732981</v>
      </c>
      <c r="K35" s="9">
        <f t="shared" si="4"/>
        <v>216704.3842023639</v>
      </c>
      <c r="L35" s="9">
        <f t="shared" si="4"/>
        <v>215040.69381278247</v>
      </c>
      <c r="M35" s="9">
        <f t="shared" si="4"/>
        <v>213337.79219062088</v>
      </c>
      <c r="N35" s="9">
        <f t="shared" si="4"/>
        <v>211595.130378623</v>
      </c>
    </row>
    <row r="37" spans="1:14" s="98" customFormat="1" ht="18.3">
      <c r="A37" s="98" t="s">
        <v>187</v>
      </c>
    </row>
    <row r="39" spans="1:14">
      <c r="A39" t="s">
        <v>265</v>
      </c>
    </row>
    <row r="42" spans="1:14">
      <c r="A42" s="91"/>
    </row>
    <row r="45" spans="1:14">
      <c r="A45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99"/>
  </sheetPr>
  <dimension ref="A1:O45"/>
  <sheetViews>
    <sheetView zoomScaleNormal="100" workbookViewId="0">
      <selection activeCell="C20" sqref="C20:O20"/>
    </sheetView>
  </sheetViews>
  <sheetFormatPr defaultRowHeight="14.4"/>
  <cols>
    <col min="1" max="1" width="21.26171875" customWidth="1"/>
    <col min="2" max="2" width="10" style="19" customWidth="1"/>
    <col min="3" max="12" width="9.83984375" customWidth="1"/>
    <col min="13" max="13" width="10.68359375" customWidth="1"/>
    <col min="14" max="14" width="11.15625" customWidth="1"/>
    <col min="15" max="15" width="11.41796875" customWidth="1"/>
  </cols>
  <sheetData>
    <row r="1" spans="1:15" s="1" customFormat="1" ht="18.3">
      <c r="A1" s="1" t="str">
        <f>'READ ME'!A20</f>
        <v>Retail Worker Cooperative, Inc</v>
      </c>
      <c r="B1" s="25"/>
    </row>
    <row r="2" spans="1:15" s="3" customFormat="1" ht="18.3">
      <c r="A2" s="2" t="s">
        <v>40</v>
      </c>
      <c r="B2" s="26"/>
    </row>
    <row r="3" spans="1:15">
      <c r="B3"/>
    </row>
    <row r="4" spans="1:15" s="92" customFormat="1">
      <c r="A4" s="92" t="s">
        <v>262</v>
      </c>
    </row>
    <row r="6" spans="1:15">
      <c r="C6" s="19" t="s">
        <v>17</v>
      </c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5</v>
      </c>
    </row>
    <row r="8" spans="1:15" s="36" customFormat="1">
      <c r="A8" s="36" t="s">
        <v>41</v>
      </c>
      <c r="B8" s="37"/>
    </row>
    <row r="10" spans="1:15">
      <c r="A10" t="s">
        <v>6</v>
      </c>
      <c r="C10" s="8">
        <f>Income!C72</f>
        <v>7800</v>
      </c>
      <c r="D10" s="8">
        <f>Income!D72</f>
        <v>7371</v>
      </c>
      <c r="E10" s="8">
        <f>Income!E72</f>
        <v>8599.5</v>
      </c>
      <c r="F10" s="8">
        <f>Income!F72</f>
        <v>9029.4749999999985</v>
      </c>
      <c r="G10" s="8">
        <f>Income!G72</f>
        <v>9480.9487499999996</v>
      </c>
      <c r="H10" s="8">
        <f>Income!H72</f>
        <v>9954.996187499999</v>
      </c>
      <c r="I10" s="8">
        <f>Income!I72</f>
        <v>9407.471397187499</v>
      </c>
      <c r="J10" s="8">
        <f>Income!J72</f>
        <v>9877.8449670468744</v>
      </c>
      <c r="K10" s="8">
        <f>Income!K72</f>
        <v>11524.152461554688</v>
      </c>
      <c r="L10" s="8">
        <f>Income!L72</f>
        <v>12100.360084632423</v>
      </c>
      <c r="M10" s="8">
        <f>Income!M72</f>
        <v>13975.915897750448</v>
      </c>
      <c r="N10" s="8">
        <f>Income!N72</f>
        <v>14674.711692637971</v>
      </c>
      <c r="O10" s="8">
        <f>SUM(C10:N10)</f>
        <v>123796.3764383099</v>
      </c>
    </row>
    <row r="11" spans="1:15">
      <c r="A11" t="s">
        <v>42</v>
      </c>
      <c r="B11" s="27">
        <f>O11/O$10</f>
        <v>0.30984054640813385</v>
      </c>
      <c r="C11" s="8">
        <f>Income!C98</f>
        <v>2730</v>
      </c>
      <c r="D11" s="8">
        <f>Income!D98</f>
        <v>2506.1400000000003</v>
      </c>
      <c r="E11" s="8">
        <f>Income!E98</f>
        <v>2837.835</v>
      </c>
      <c r="F11" s="8">
        <f>Income!F98</f>
        <v>2889.4319999999998</v>
      </c>
      <c r="G11" s="8">
        <f>Income!G98</f>
        <v>2939.0941124999999</v>
      </c>
      <c r="H11" s="8">
        <f>Income!H98</f>
        <v>2986.4988562499998</v>
      </c>
      <c r="I11" s="8">
        <f>Income!I98</f>
        <v>2822.2414191562498</v>
      </c>
      <c r="J11" s="8">
        <f>Income!J98</f>
        <v>2963.3534901140624</v>
      </c>
      <c r="K11" s="8">
        <f>Income!K98</f>
        <v>3457.2457384664062</v>
      </c>
      <c r="L11" s="8">
        <f>Income!L98</f>
        <v>3630.1080253897267</v>
      </c>
      <c r="M11" s="8">
        <f>Income!M98</f>
        <v>4192.774769325134</v>
      </c>
      <c r="N11" s="8">
        <f>Income!N98</f>
        <v>4402.4135077913916</v>
      </c>
      <c r="O11" s="8">
        <f>SUM(C11:N11)</f>
        <v>38357.136918992968</v>
      </c>
    </row>
    <row r="12" spans="1:15" s="22" customFormat="1">
      <c r="A12" s="22" t="s">
        <v>45</v>
      </c>
      <c r="B12" s="29">
        <f>O12/O$10</f>
        <v>0.69015945359186615</v>
      </c>
      <c r="C12" s="24">
        <f t="shared" ref="C12:O12" si="0">C10-C11</f>
        <v>5070</v>
      </c>
      <c r="D12" s="24">
        <f t="shared" si="0"/>
        <v>4864.8599999999997</v>
      </c>
      <c r="E12" s="24">
        <f t="shared" si="0"/>
        <v>5761.665</v>
      </c>
      <c r="F12" s="24">
        <f t="shared" si="0"/>
        <v>6140.0429999999988</v>
      </c>
      <c r="G12" s="24">
        <f t="shared" si="0"/>
        <v>6541.8546374999996</v>
      </c>
      <c r="H12" s="24">
        <f t="shared" si="0"/>
        <v>6968.4973312499988</v>
      </c>
      <c r="I12" s="24">
        <f t="shared" si="0"/>
        <v>6585.2299780312496</v>
      </c>
      <c r="J12" s="24">
        <f t="shared" si="0"/>
        <v>6914.4914769328116</v>
      </c>
      <c r="K12" s="24">
        <f t="shared" si="0"/>
        <v>8066.9067230882811</v>
      </c>
      <c r="L12" s="24">
        <f t="shared" si="0"/>
        <v>8470.2520592426954</v>
      </c>
      <c r="M12" s="24">
        <f t="shared" si="0"/>
        <v>9783.1411284253154</v>
      </c>
      <c r="N12" s="24">
        <f t="shared" si="0"/>
        <v>10272.298184846579</v>
      </c>
      <c r="O12" s="24">
        <f t="shared" si="0"/>
        <v>85439.239519316936</v>
      </c>
    </row>
    <row r="14" spans="1:15" s="32" customFormat="1">
      <c r="A14" s="32" t="s">
        <v>46</v>
      </c>
      <c r="B14" s="33"/>
    </row>
    <row r="16" spans="1:15">
      <c r="A16" t="s">
        <v>67</v>
      </c>
      <c r="B16" s="27">
        <f>O16/O$10</f>
        <v>1.2475130891812427</v>
      </c>
      <c r="C16" s="8">
        <f>Labor!C41</f>
        <v>12869.8</v>
      </c>
      <c r="D16" s="8">
        <f>Labor!D41</f>
        <v>12869.8</v>
      </c>
      <c r="E16" s="8">
        <f>Labor!E41</f>
        <v>12869.8</v>
      </c>
      <c r="F16" s="8">
        <f>Labor!F41</f>
        <v>12869.8</v>
      </c>
      <c r="G16" s="8">
        <f>Labor!G41</f>
        <v>12869.8</v>
      </c>
      <c r="H16" s="8">
        <f>Labor!H41</f>
        <v>12869.8</v>
      </c>
      <c r="I16" s="8">
        <f>Labor!I41</f>
        <v>12869.8</v>
      </c>
      <c r="J16" s="8">
        <f>Labor!J41</f>
        <v>12869.8</v>
      </c>
      <c r="K16" s="8">
        <f>Labor!K41</f>
        <v>12869.8</v>
      </c>
      <c r="L16" s="8">
        <f>Labor!L41</f>
        <v>12869.8</v>
      </c>
      <c r="M16" s="8">
        <f>Labor!M41</f>
        <v>12869.8</v>
      </c>
      <c r="N16" s="8">
        <f>Labor!N41</f>
        <v>12869.8</v>
      </c>
      <c r="O16" s="8">
        <f>SUM(C16:N16)</f>
        <v>154437.6</v>
      </c>
    </row>
    <row r="17" spans="1:15">
      <c r="A17" t="s">
        <v>64</v>
      </c>
      <c r="B17" s="27">
        <f>O17/O$10</f>
        <v>9.6933370307327446E-2</v>
      </c>
      <c r="C17" s="8">
        <f>Labor!C42</f>
        <v>1000</v>
      </c>
      <c r="D17" s="8">
        <f>Labor!D42</f>
        <v>1000</v>
      </c>
      <c r="E17" s="8">
        <f>Labor!E42</f>
        <v>1000</v>
      </c>
      <c r="F17" s="8">
        <f>Labor!F42</f>
        <v>1000</v>
      </c>
      <c r="G17" s="8">
        <f>Labor!G42</f>
        <v>1000</v>
      </c>
      <c r="H17" s="8">
        <f>Labor!H42</f>
        <v>1000</v>
      </c>
      <c r="I17" s="8">
        <f>Labor!I42</f>
        <v>1000</v>
      </c>
      <c r="J17" s="8">
        <f>Labor!J42</f>
        <v>1000</v>
      </c>
      <c r="K17" s="8">
        <f>Labor!K42</f>
        <v>1000</v>
      </c>
      <c r="L17" s="8">
        <f>Labor!L42</f>
        <v>1000</v>
      </c>
      <c r="M17" s="8">
        <f>Labor!M42</f>
        <v>1000</v>
      </c>
      <c r="N17" s="8">
        <f>Labor!N42</f>
        <v>1000</v>
      </c>
      <c r="O17" s="8">
        <f>SUM(C17:N17)</f>
        <v>12000</v>
      </c>
    </row>
    <row r="18" spans="1:15">
      <c r="A18" t="s">
        <v>65</v>
      </c>
      <c r="B18" s="27">
        <f>O18/O$10</f>
        <v>4.8466685153663723E-2</v>
      </c>
      <c r="C18" s="8">
        <f>Labor!C43</f>
        <v>500</v>
      </c>
      <c r="D18" s="8">
        <f>Labor!D43</f>
        <v>500</v>
      </c>
      <c r="E18" s="8">
        <f>Labor!E43</f>
        <v>500</v>
      </c>
      <c r="F18" s="8">
        <f>Labor!F43</f>
        <v>500</v>
      </c>
      <c r="G18" s="8">
        <f>Labor!G43</f>
        <v>500</v>
      </c>
      <c r="H18" s="8">
        <f>Labor!H43</f>
        <v>500</v>
      </c>
      <c r="I18" s="8">
        <f>Labor!I43</f>
        <v>500</v>
      </c>
      <c r="J18" s="8">
        <f>Labor!J43</f>
        <v>500</v>
      </c>
      <c r="K18" s="8">
        <f>Labor!K43</f>
        <v>500</v>
      </c>
      <c r="L18" s="8">
        <f>Labor!L43</f>
        <v>500</v>
      </c>
      <c r="M18" s="8">
        <f>Labor!M43</f>
        <v>500</v>
      </c>
      <c r="N18" s="8">
        <f>Labor!N43</f>
        <v>500</v>
      </c>
      <c r="O18" s="8">
        <f>SUM(C18:N18)</f>
        <v>6000</v>
      </c>
    </row>
    <row r="19" spans="1:15">
      <c r="A19" t="s">
        <v>66</v>
      </c>
      <c r="B19" s="27">
        <f>O19/O$10</f>
        <v>2.4233342576831862E-2</v>
      </c>
      <c r="C19" s="8">
        <f>Labor!C44</f>
        <v>250</v>
      </c>
      <c r="D19" s="8">
        <f>Labor!D44</f>
        <v>250</v>
      </c>
      <c r="E19" s="8">
        <f>Labor!E44</f>
        <v>250</v>
      </c>
      <c r="F19" s="8">
        <f>Labor!F44</f>
        <v>250</v>
      </c>
      <c r="G19" s="8">
        <f>Labor!G44</f>
        <v>250</v>
      </c>
      <c r="H19" s="8">
        <f>Labor!H44</f>
        <v>250</v>
      </c>
      <c r="I19" s="8">
        <f>Labor!I44</f>
        <v>250</v>
      </c>
      <c r="J19" s="8">
        <f>Labor!J44</f>
        <v>250</v>
      </c>
      <c r="K19" s="8">
        <f>Labor!K44</f>
        <v>250</v>
      </c>
      <c r="L19" s="8">
        <f>Labor!L44</f>
        <v>250</v>
      </c>
      <c r="M19" s="8">
        <f>Labor!M44</f>
        <v>250</v>
      </c>
      <c r="N19" s="8">
        <f>Labor!N44</f>
        <v>250</v>
      </c>
      <c r="O19" s="8">
        <f>SUM(C19:N19)</f>
        <v>3000</v>
      </c>
    </row>
    <row r="20" spans="1:15" s="22" customFormat="1">
      <c r="A20" s="22" t="s">
        <v>46</v>
      </c>
      <c r="B20" s="29">
        <f>O20/O$10</f>
        <v>1.4171464872190658</v>
      </c>
      <c r="C20" s="24">
        <f>SUM(C16:C19)</f>
        <v>14619.8</v>
      </c>
      <c r="D20" s="24">
        <f t="shared" ref="D20:O20" si="1">SUM(D16:D19)</f>
        <v>14619.8</v>
      </c>
      <c r="E20" s="24">
        <f t="shared" si="1"/>
        <v>14619.8</v>
      </c>
      <c r="F20" s="24">
        <f t="shared" si="1"/>
        <v>14619.8</v>
      </c>
      <c r="G20" s="24">
        <f t="shared" si="1"/>
        <v>14619.8</v>
      </c>
      <c r="H20" s="24">
        <f t="shared" si="1"/>
        <v>14619.8</v>
      </c>
      <c r="I20" s="24">
        <f t="shared" si="1"/>
        <v>14619.8</v>
      </c>
      <c r="J20" s="24">
        <f t="shared" si="1"/>
        <v>14619.8</v>
      </c>
      <c r="K20" s="24">
        <f t="shared" si="1"/>
        <v>14619.8</v>
      </c>
      <c r="L20" s="24">
        <f t="shared" si="1"/>
        <v>14619.8</v>
      </c>
      <c r="M20" s="24">
        <f t="shared" si="1"/>
        <v>14619.8</v>
      </c>
      <c r="N20" s="24">
        <f t="shared" si="1"/>
        <v>14619.8</v>
      </c>
      <c r="O20" s="24">
        <f t="shared" si="1"/>
        <v>175437.6</v>
      </c>
    </row>
    <row r="22" spans="1:15" s="34" customFormat="1">
      <c r="A22" s="34" t="s">
        <v>47</v>
      </c>
      <c r="B22" s="35"/>
    </row>
    <row r="24" spans="1:15">
      <c r="A24" t="s">
        <v>84</v>
      </c>
      <c r="B24" s="27">
        <f>O24/O$10</f>
        <v>0.51697797497241316</v>
      </c>
      <c r="C24" s="8">
        <f>Expenses!C29</f>
        <v>5333.3333333333339</v>
      </c>
      <c r="D24" s="8">
        <f>Expenses!D29</f>
        <v>5333.3333333333339</v>
      </c>
      <c r="E24" s="8">
        <f>Expenses!E29</f>
        <v>5333.3333333333339</v>
      </c>
      <c r="F24" s="8">
        <f>Expenses!F29</f>
        <v>5333.3333333333339</v>
      </c>
      <c r="G24" s="8">
        <f>Expenses!G29</f>
        <v>5333.3333333333339</v>
      </c>
      <c r="H24" s="8">
        <f>Expenses!H29</f>
        <v>5333.3333333333339</v>
      </c>
      <c r="I24" s="8">
        <f>Expenses!I29</f>
        <v>5333.3333333333339</v>
      </c>
      <c r="J24" s="8">
        <f>Expenses!J29</f>
        <v>5333.3333333333339</v>
      </c>
      <c r="K24" s="8">
        <f>Expenses!K29</f>
        <v>5333.3333333333339</v>
      </c>
      <c r="L24" s="8">
        <f>Expenses!L29</f>
        <v>5333.3333333333339</v>
      </c>
      <c r="M24" s="8">
        <f>Expenses!M29</f>
        <v>5333.3333333333339</v>
      </c>
      <c r="N24" s="8">
        <f>Expenses!N29</f>
        <v>5333.3333333333339</v>
      </c>
      <c r="O24" s="8">
        <f>SUM(C24:N24)</f>
        <v>64000.000000000022</v>
      </c>
    </row>
    <row r="25" spans="1:15">
      <c r="A25" t="s">
        <v>71</v>
      </c>
      <c r="B25" s="27">
        <f>O25/O$10</f>
        <v>0.04</v>
      </c>
      <c r="C25" s="8">
        <f>Expenses!C44</f>
        <v>312</v>
      </c>
      <c r="D25" s="8">
        <f>Expenses!D44</f>
        <v>294.84000000000003</v>
      </c>
      <c r="E25" s="8">
        <f>Expenses!E44</f>
        <v>343.98</v>
      </c>
      <c r="F25" s="8">
        <f>Expenses!F44</f>
        <v>361.17899999999997</v>
      </c>
      <c r="G25" s="8">
        <f>Expenses!G44</f>
        <v>379.23794999999996</v>
      </c>
      <c r="H25" s="8">
        <f>Expenses!H44</f>
        <v>398.19984749999998</v>
      </c>
      <c r="I25" s="8">
        <f>Expenses!I44</f>
        <v>376.29885588749994</v>
      </c>
      <c r="J25" s="8">
        <f>Expenses!J44</f>
        <v>395.11379868187498</v>
      </c>
      <c r="K25" s="8">
        <f>Expenses!K44</f>
        <v>460.96609846218752</v>
      </c>
      <c r="L25" s="8">
        <f>Expenses!L44</f>
        <v>484.01440338529687</v>
      </c>
      <c r="M25" s="8">
        <f>Expenses!M44</f>
        <v>559.03663591001794</v>
      </c>
      <c r="N25" s="8">
        <f>Expenses!N44</f>
        <v>586.98846770551881</v>
      </c>
      <c r="O25" s="8">
        <f>SUM(C25:N25)</f>
        <v>4951.8550575323961</v>
      </c>
    </row>
    <row r="26" spans="1:15">
      <c r="A26" t="s">
        <v>72</v>
      </c>
      <c r="B26" s="27">
        <f>O26/O$10</f>
        <v>3.0695567263987023E-2</v>
      </c>
      <c r="C26" s="8">
        <f>Expenses!C58</f>
        <v>1500</v>
      </c>
      <c r="D26" s="8">
        <f>Expenses!D58</f>
        <v>0</v>
      </c>
      <c r="E26" s="8">
        <f>Expenses!E58</f>
        <v>300</v>
      </c>
      <c r="F26" s="8">
        <f>Expenses!F58</f>
        <v>0</v>
      </c>
      <c r="G26" s="8">
        <f>Expenses!G58</f>
        <v>0</v>
      </c>
      <c r="H26" s="8">
        <f>Expenses!H58</f>
        <v>0</v>
      </c>
      <c r="I26" s="8">
        <f>Expenses!I58</f>
        <v>0</v>
      </c>
      <c r="J26" s="8">
        <f>Expenses!J58</f>
        <v>0</v>
      </c>
      <c r="K26" s="8">
        <f>Expenses!K58</f>
        <v>0</v>
      </c>
      <c r="L26" s="8">
        <f>Expenses!L58</f>
        <v>1000</v>
      </c>
      <c r="M26" s="8">
        <f>Expenses!M58</f>
        <v>0</v>
      </c>
      <c r="N26" s="8">
        <f>Expenses!N58</f>
        <v>1000</v>
      </c>
      <c r="O26" s="8">
        <f>SUM(C26:N26)</f>
        <v>3800</v>
      </c>
    </row>
    <row r="27" spans="1:15">
      <c r="A27" t="s">
        <v>73</v>
      </c>
      <c r="B27" s="27">
        <f>O27/O$10</f>
        <v>6.7314840491199623E-2</v>
      </c>
      <c r="C27" s="8">
        <f>Expenses!C71</f>
        <v>694.44444444444446</v>
      </c>
      <c r="D27" s="8">
        <f>Expenses!D71</f>
        <v>694.44444444444446</v>
      </c>
      <c r="E27" s="8">
        <f>Expenses!E71</f>
        <v>694.44444444444446</v>
      </c>
      <c r="F27" s="8">
        <f>Expenses!F71</f>
        <v>694.44444444444446</v>
      </c>
      <c r="G27" s="8">
        <f>Expenses!G71</f>
        <v>694.44444444444446</v>
      </c>
      <c r="H27" s="8">
        <f>Expenses!H71</f>
        <v>694.44444444444446</v>
      </c>
      <c r="I27" s="8">
        <f>Expenses!I71</f>
        <v>694.44444444444446</v>
      </c>
      <c r="J27" s="8">
        <f>Expenses!J71</f>
        <v>694.44444444444446</v>
      </c>
      <c r="K27" s="8">
        <f>Expenses!K71</f>
        <v>694.44444444444446</v>
      </c>
      <c r="L27" s="8">
        <f>Expenses!L71</f>
        <v>694.44444444444446</v>
      </c>
      <c r="M27" s="8">
        <f>Expenses!M71</f>
        <v>694.44444444444446</v>
      </c>
      <c r="N27" s="8">
        <f>Expenses!N71</f>
        <v>694.44444444444446</v>
      </c>
      <c r="O27" s="8">
        <f>Expenses!O71</f>
        <v>8333.3333333333339</v>
      </c>
    </row>
    <row r="28" spans="1:15" s="22" customFormat="1">
      <c r="A28" s="22" t="s">
        <v>46</v>
      </c>
      <c r="B28" s="29">
        <f>O28/O$10</f>
        <v>0.65498838272759985</v>
      </c>
      <c r="C28" s="24">
        <f t="shared" ref="C28:O28" si="2">SUM(C24:C27)</f>
        <v>7839.7777777777783</v>
      </c>
      <c r="D28" s="24">
        <f t="shared" si="2"/>
        <v>6322.6177777777784</v>
      </c>
      <c r="E28" s="24">
        <f t="shared" si="2"/>
        <v>6671.7577777777778</v>
      </c>
      <c r="F28" s="24">
        <f t="shared" si="2"/>
        <v>6388.9567777777784</v>
      </c>
      <c r="G28" s="24">
        <f t="shared" si="2"/>
        <v>6407.015727777778</v>
      </c>
      <c r="H28" s="24">
        <f t="shared" si="2"/>
        <v>6425.9776252777783</v>
      </c>
      <c r="I28" s="24">
        <f t="shared" si="2"/>
        <v>6404.0766336652787</v>
      </c>
      <c r="J28" s="24">
        <f t="shared" si="2"/>
        <v>6422.8915764596532</v>
      </c>
      <c r="K28" s="24">
        <f t="shared" si="2"/>
        <v>6488.7438762399661</v>
      </c>
      <c r="L28" s="24">
        <f t="shared" si="2"/>
        <v>7511.7921811630749</v>
      </c>
      <c r="M28" s="24">
        <f t="shared" si="2"/>
        <v>6586.8144136877963</v>
      </c>
      <c r="N28" s="24">
        <f t="shared" si="2"/>
        <v>7614.7662454832971</v>
      </c>
      <c r="O28" s="24">
        <f t="shared" si="2"/>
        <v>81085.188390865747</v>
      </c>
    </row>
    <row r="30" spans="1:15" s="22" customFormat="1">
      <c r="A30" s="22" t="s">
        <v>121</v>
      </c>
      <c r="B30" s="29">
        <f>O30/O$10</f>
        <v>-1.3819754163547995</v>
      </c>
      <c r="C30" s="24">
        <f t="shared" ref="C30:O30" si="3">C12-C20-C28</f>
        <v>-17389.577777777777</v>
      </c>
      <c r="D30" s="24">
        <f t="shared" si="3"/>
        <v>-16077.557777777776</v>
      </c>
      <c r="E30" s="24">
        <f t="shared" si="3"/>
        <v>-15529.892777777775</v>
      </c>
      <c r="F30" s="24">
        <f t="shared" si="3"/>
        <v>-14868.713777777779</v>
      </c>
      <c r="G30" s="24">
        <f t="shared" si="3"/>
        <v>-14484.961090277779</v>
      </c>
      <c r="H30" s="24">
        <f t="shared" si="3"/>
        <v>-14077.28029402778</v>
      </c>
      <c r="I30" s="24">
        <f t="shared" si="3"/>
        <v>-14438.646655634027</v>
      </c>
      <c r="J30" s="24">
        <f t="shared" si="3"/>
        <v>-14128.200099526841</v>
      </c>
      <c r="K30" s="24">
        <f t="shared" si="3"/>
        <v>-13041.637153151685</v>
      </c>
      <c r="L30" s="24">
        <f t="shared" si="3"/>
        <v>-13661.340121920379</v>
      </c>
      <c r="M30" s="24">
        <f t="shared" si="3"/>
        <v>-11423.47328526248</v>
      </c>
      <c r="N30" s="24">
        <f t="shared" si="3"/>
        <v>-11962.268060636718</v>
      </c>
      <c r="O30" s="24">
        <f t="shared" si="3"/>
        <v>-171083.54887154882</v>
      </c>
    </row>
    <row r="32" spans="1:15" s="38" customFormat="1">
      <c r="A32" s="38" t="s">
        <v>120</v>
      </c>
      <c r="B32" s="39"/>
    </row>
    <row r="34" spans="1:15">
      <c r="A34" t="s">
        <v>123</v>
      </c>
      <c r="C34" s="8"/>
    </row>
    <row r="35" spans="1:15">
      <c r="A35" t="s">
        <v>122</v>
      </c>
      <c r="B35" s="27">
        <f>O35/O$10</f>
        <v>0.29279078590842295</v>
      </c>
      <c r="C35" s="8">
        <f>Debt!C32</f>
        <v>3220.0000000000005</v>
      </c>
      <c r="D35" s="8">
        <f>Debt!D32</f>
        <v>3185.4005735740598</v>
      </c>
      <c r="E35" s="8">
        <f>Debt!E32</f>
        <v>3150.3167551781548</v>
      </c>
      <c r="F35" s="8">
        <f>Debt!F32</f>
        <v>3114.7417633247087</v>
      </c>
      <c r="G35" s="8">
        <f>Debt!G32</f>
        <v>3078.6687215853131</v>
      </c>
      <c r="H35" s="8">
        <f>Debt!H32</f>
        <v>3042.0906572615668</v>
      </c>
      <c r="I35" s="8">
        <f>Debt!I32</f>
        <v>3005.0005000372885</v>
      </c>
      <c r="J35" s="8">
        <f>Debt!J32</f>
        <v>2967.3910806118683</v>
      </c>
      <c r="K35" s="8">
        <f>Debt!K32</f>
        <v>2929.2551293144934</v>
      </c>
      <c r="L35" s="8">
        <f>Debt!L32</f>
        <v>2890.5852746989558</v>
      </c>
      <c r="M35" s="8">
        <f>Debt!M32</f>
        <v>2851.3740421187999</v>
      </c>
      <c r="N35" s="8">
        <f>Debt!N32</f>
        <v>2811.6138522825217</v>
      </c>
      <c r="O35" s="8">
        <f>SUM(C35:N35)</f>
        <v>36246.438349987729</v>
      </c>
    </row>
    <row r="36" spans="1:15" s="22" customFormat="1">
      <c r="A36" s="22" t="s">
        <v>120</v>
      </c>
      <c r="B36" s="29">
        <f>O36/O$10</f>
        <v>-0.29279078590842295</v>
      </c>
      <c r="C36" s="24">
        <f t="shared" ref="C36:O36" si="4">C34-C35</f>
        <v>-3220.0000000000005</v>
      </c>
      <c r="D36" s="24">
        <f t="shared" si="4"/>
        <v>-3185.4005735740598</v>
      </c>
      <c r="E36" s="24">
        <f t="shared" si="4"/>
        <v>-3150.3167551781548</v>
      </c>
      <c r="F36" s="24">
        <f t="shared" si="4"/>
        <v>-3114.7417633247087</v>
      </c>
      <c r="G36" s="24">
        <f t="shared" si="4"/>
        <v>-3078.6687215853131</v>
      </c>
      <c r="H36" s="24">
        <f t="shared" si="4"/>
        <v>-3042.0906572615668</v>
      </c>
      <c r="I36" s="24">
        <f t="shared" si="4"/>
        <v>-3005.0005000372885</v>
      </c>
      <c r="J36" s="24">
        <f t="shared" si="4"/>
        <v>-2967.3910806118683</v>
      </c>
      <c r="K36" s="24">
        <f t="shared" si="4"/>
        <v>-2929.2551293144934</v>
      </c>
      <c r="L36" s="24">
        <f t="shared" si="4"/>
        <v>-2890.5852746989558</v>
      </c>
      <c r="M36" s="24">
        <f t="shared" si="4"/>
        <v>-2851.3740421187999</v>
      </c>
      <c r="N36" s="24">
        <f t="shared" si="4"/>
        <v>-2811.6138522825217</v>
      </c>
      <c r="O36" s="24">
        <f t="shared" si="4"/>
        <v>-36246.438349987729</v>
      </c>
    </row>
    <row r="38" spans="1:15" s="22" customFormat="1">
      <c r="A38" s="22" t="s">
        <v>68</v>
      </c>
      <c r="B38" s="29">
        <f>O38/O$10</f>
        <v>-1.6747662022632224</v>
      </c>
      <c r="C38" s="24">
        <f t="shared" ref="C38:O38" si="5">SUM(C30,C36)</f>
        <v>-20609.577777777777</v>
      </c>
      <c r="D38" s="24">
        <f t="shared" si="5"/>
        <v>-19262.958351351837</v>
      </c>
      <c r="E38" s="24">
        <f t="shared" si="5"/>
        <v>-18680.209532955931</v>
      </c>
      <c r="F38" s="24">
        <f t="shared" si="5"/>
        <v>-17983.455541102488</v>
      </c>
      <c r="G38" s="24">
        <f t="shared" si="5"/>
        <v>-17563.629811863091</v>
      </c>
      <c r="H38" s="24">
        <f t="shared" si="5"/>
        <v>-17119.370951289347</v>
      </c>
      <c r="I38" s="24">
        <f t="shared" si="5"/>
        <v>-17443.647155671315</v>
      </c>
      <c r="J38" s="24">
        <f t="shared" si="5"/>
        <v>-17095.591180138708</v>
      </c>
      <c r="K38" s="24">
        <f t="shared" si="5"/>
        <v>-15970.892282466179</v>
      </c>
      <c r="L38" s="24">
        <f t="shared" si="5"/>
        <v>-16551.925396619336</v>
      </c>
      <c r="M38" s="24">
        <f t="shared" si="5"/>
        <v>-14274.84732738128</v>
      </c>
      <c r="N38" s="24">
        <f t="shared" si="5"/>
        <v>-14773.88191291924</v>
      </c>
      <c r="O38" s="24">
        <f t="shared" si="5"/>
        <v>-207329.98722153655</v>
      </c>
    </row>
    <row r="40" spans="1:15" s="92" customFormat="1">
      <c r="A40" s="92" t="s">
        <v>266</v>
      </c>
    </row>
    <row r="41" spans="1:15" s="92" customFormat="1">
      <c r="A41" s="92" t="s">
        <v>272</v>
      </c>
    </row>
    <row r="42" spans="1:15" s="92" customFormat="1">
      <c r="A42" s="118">
        <f>O38</f>
        <v>-207329.98722153655</v>
      </c>
    </row>
    <row r="43" spans="1:15" s="92" customFormat="1">
      <c r="A43" s="92" t="s">
        <v>271</v>
      </c>
    </row>
    <row r="44" spans="1:15" s="92" customFormat="1">
      <c r="A44" s="118">
        <f>MAX(C38:N38)</f>
        <v>-14274.84732738128</v>
      </c>
    </row>
    <row r="45" spans="1:15" s="92" customFormat="1">
      <c r="A45" s="92" t="s">
        <v>273</v>
      </c>
    </row>
  </sheetData>
  <conditionalFormatting sqref="C38:N38">
    <cfRule type="colorScale" priority="8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0:N40 C30:N30">
    <cfRule type="colorScale" priority="21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1:N42 C45:N45">
    <cfRule type="colorScale" priority="5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3:N44">
    <cfRule type="colorScale" priority="1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99"/>
  </sheetPr>
  <dimension ref="A1:O23"/>
  <sheetViews>
    <sheetView zoomScaleNormal="100" workbookViewId="0">
      <selection activeCell="I44" sqref="I44"/>
    </sheetView>
  </sheetViews>
  <sheetFormatPr defaultRowHeight="14.4"/>
  <cols>
    <col min="1" max="1" width="21.26171875" customWidth="1"/>
    <col min="2" max="2" width="10" style="19" customWidth="1"/>
    <col min="3" max="12" width="9.83984375" customWidth="1"/>
    <col min="13" max="13" width="10.68359375" customWidth="1"/>
    <col min="14" max="14" width="11.15625" customWidth="1"/>
    <col min="15" max="15" width="11.41796875" customWidth="1"/>
  </cols>
  <sheetData>
    <row r="1" spans="1:15" s="1" customFormat="1" ht="18.3">
      <c r="A1" s="1" t="str">
        <f>'READ ME'!A20</f>
        <v>Retail Worker Cooperative, Inc</v>
      </c>
      <c r="B1" s="25"/>
    </row>
    <row r="2" spans="1:15" s="3" customFormat="1" ht="18.3">
      <c r="A2" s="2" t="s">
        <v>260</v>
      </c>
      <c r="B2" s="26"/>
    </row>
    <row r="4" spans="1:15" s="92" customFormat="1">
      <c r="A4" s="92" t="s">
        <v>262</v>
      </c>
    </row>
    <row r="5" spans="1:15">
      <c r="B5"/>
    </row>
    <row r="6" spans="1:15" s="30" customFormat="1">
      <c r="A6" s="30" t="s">
        <v>85</v>
      </c>
      <c r="B6" s="31"/>
    </row>
    <row r="8" spans="1:15">
      <c r="C8" s="19" t="s">
        <v>17</v>
      </c>
      <c r="D8" s="19" t="s">
        <v>18</v>
      </c>
      <c r="E8" s="19" t="s">
        <v>19</v>
      </c>
      <c r="F8" s="19" t="s">
        <v>20</v>
      </c>
      <c r="G8" s="19" t="s">
        <v>21</v>
      </c>
      <c r="H8" s="19" t="s">
        <v>22</v>
      </c>
      <c r="I8" s="19" t="s">
        <v>23</v>
      </c>
      <c r="J8" s="19" t="s">
        <v>24</v>
      </c>
      <c r="K8" s="19" t="s">
        <v>25</v>
      </c>
      <c r="L8" s="19" t="s">
        <v>26</v>
      </c>
      <c r="M8" s="19" t="s">
        <v>27</v>
      </c>
      <c r="N8" s="19" t="s">
        <v>28</v>
      </c>
      <c r="O8" s="19" t="s">
        <v>5</v>
      </c>
    </row>
    <row r="10" spans="1:15">
      <c r="A10" t="s">
        <v>133</v>
      </c>
      <c r="C10" s="8">
        <f>'Sources and Uses'!B24</f>
        <v>10000</v>
      </c>
      <c r="D10" s="9">
        <f t="shared" ref="D10:N10" si="0">C17</f>
        <v>-13135.133333333331</v>
      </c>
      <c r="E10" s="9">
        <f t="shared" si="0"/>
        <v>-34889.047813814788</v>
      </c>
      <c r="F10" s="9">
        <f t="shared" si="0"/>
        <v>-56025.129657504425</v>
      </c>
      <c r="G10" s="9">
        <f t="shared" si="0"/>
        <v>-76428.882517487174</v>
      </c>
      <c r="H10" s="9">
        <f t="shared" si="0"/>
        <v>-96376.736606491133</v>
      </c>
      <c r="I10" s="9">
        <f t="shared" si="0"/>
        <v>-115843.7537705976</v>
      </c>
      <c r="J10" s="9">
        <f t="shared" si="0"/>
        <v>-135597.95698186176</v>
      </c>
      <c r="K10" s="9">
        <f t="shared" si="0"/>
        <v>-154966.4947981679</v>
      </c>
      <c r="L10" s="9">
        <f t="shared" si="0"/>
        <v>-173172.19776550413</v>
      </c>
      <c r="M10" s="9">
        <f t="shared" si="0"/>
        <v>-191920.26399237796</v>
      </c>
      <c r="N10" s="9">
        <f t="shared" si="0"/>
        <v>-208352.04091743359</v>
      </c>
    </row>
    <row r="12" spans="1:15">
      <c r="A12" t="s">
        <v>68</v>
      </c>
      <c r="C12" s="9">
        <f>'12 month PL'!C38</f>
        <v>-20609.577777777777</v>
      </c>
      <c r="D12" s="9">
        <f>'12 month PL'!D38</f>
        <v>-19262.958351351837</v>
      </c>
      <c r="E12" s="9">
        <f>'12 month PL'!E38</f>
        <v>-18680.209532955931</v>
      </c>
      <c r="F12" s="9">
        <f>'12 month PL'!F38</f>
        <v>-17983.455541102488</v>
      </c>
      <c r="G12" s="9">
        <f>'12 month PL'!G38</f>
        <v>-17563.629811863091</v>
      </c>
      <c r="H12" s="9">
        <f>'12 month PL'!H38</f>
        <v>-17119.370951289347</v>
      </c>
      <c r="I12" s="9">
        <f>'12 month PL'!I38</f>
        <v>-17443.647155671315</v>
      </c>
      <c r="J12" s="9">
        <f>'12 month PL'!J38</f>
        <v>-17095.591180138708</v>
      </c>
      <c r="K12" s="9">
        <f>'12 month PL'!K38</f>
        <v>-15970.892282466179</v>
      </c>
      <c r="L12" s="9">
        <f>'12 month PL'!L38</f>
        <v>-16551.925396619336</v>
      </c>
      <c r="M12" s="9">
        <f>'12 month PL'!M38</f>
        <v>-14274.84732738128</v>
      </c>
      <c r="N12" s="9">
        <f>'12 month PL'!N38</f>
        <v>-14773.88191291924</v>
      </c>
    </row>
    <row r="13" spans="1:15">
      <c r="A13" t="s">
        <v>134</v>
      </c>
      <c r="C13" s="9">
        <f>'12 month PL'!C27</f>
        <v>694.44444444444446</v>
      </c>
      <c r="D13" s="9">
        <f>'12 month PL'!D27</f>
        <v>694.44444444444446</v>
      </c>
      <c r="E13" s="9">
        <f>'12 month PL'!E27</f>
        <v>694.44444444444446</v>
      </c>
      <c r="F13" s="9">
        <f>'12 month PL'!F27</f>
        <v>694.44444444444446</v>
      </c>
      <c r="G13" s="9">
        <f>'12 month PL'!G27</f>
        <v>694.44444444444446</v>
      </c>
      <c r="H13" s="9">
        <f>'12 month PL'!H27</f>
        <v>694.44444444444446</v>
      </c>
      <c r="I13" s="9">
        <f>'12 month PL'!I27</f>
        <v>694.44444444444446</v>
      </c>
      <c r="J13" s="9">
        <f>'12 month PL'!J27</f>
        <v>694.44444444444446</v>
      </c>
      <c r="K13" s="9">
        <f>'12 month PL'!K27</f>
        <v>694.44444444444446</v>
      </c>
      <c r="L13" s="9">
        <f>'12 month PL'!L27</f>
        <v>694.44444444444446</v>
      </c>
      <c r="M13" s="9">
        <f>'12 month PL'!M27</f>
        <v>694.44444444444446</v>
      </c>
      <c r="N13" s="9">
        <f>'12 month PL'!N27</f>
        <v>694.44444444444446</v>
      </c>
    </row>
    <row r="14" spans="1:15">
      <c r="A14" t="s">
        <v>135</v>
      </c>
      <c r="C14" s="9">
        <f>-'12 month PL'!C35</f>
        <v>-3220.0000000000005</v>
      </c>
      <c r="D14" s="9">
        <f>-'12 month PL'!D35</f>
        <v>-3185.4005735740598</v>
      </c>
      <c r="E14" s="9">
        <f>-'12 month PL'!E35</f>
        <v>-3150.3167551781548</v>
      </c>
      <c r="F14" s="9">
        <f>-'12 month PL'!F35</f>
        <v>-3114.7417633247087</v>
      </c>
      <c r="G14" s="9">
        <f>-'12 month PL'!G35</f>
        <v>-3078.6687215853131</v>
      </c>
      <c r="H14" s="9">
        <f>-'12 month PL'!H35</f>
        <v>-3042.0906572615668</v>
      </c>
      <c r="I14" s="9">
        <f>-'12 month PL'!I35</f>
        <v>-3005.0005000372885</v>
      </c>
      <c r="J14" s="9">
        <f>-'12 month PL'!J35</f>
        <v>-2967.3910806118683</v>
      </c>
      <c r="K14" s="9">
        <f>-'12 month PL'!K35</f>
        <v>-2929.2551293144934</v>
      </c>
      <c r="L14" s="9">
        <f>-'12 month PL'!L35</f>
        <v>-2890.5852746989558</v>
      </c>
      <c r="M14" s="9">
        <f>-'12 month PL'!M35</f>
        <v>-2851.3740421187999</v>
      </c>
      <c r="N14" s="9">
        <f>-'12 month PL'!N35</f>
        <v>-2811.6138522825217</v>
      </c>
    </row>
    <row r="15" spans="1:15" s="22" customFormat="1">
      <c r="A15" s="22" t="s">
        <v>136</v>
      </c>
      <c r="B15" s="28"/>
      <c r="C15" s="24">
        <f t="shared" ref="C15:N15" si="1">SUM(C12:C14)</f>
        <v>-23135.133333333331</v>
      </c>
      <c r="D15" s="24">
        <f t="shared" si="1"/>
        <v>-21753.914480481453</v>
      </c>
      <c r="E15" s="24">
        <f t="shared" si="1"/>
        <v>-21136.081843689641</v>
      </c>
      <c r="F15" s="24">
        <f t="shared" si="1"/>
        <v>-20403.752859982753</v>
      </c>
      <c r="G15" s="24">
        <f t="shared" si="1"/>
        <v>-19947.854089003959</v>
      </c>
      <c r="H15" s="24">
        <f t="shared" si="1"/>
        <v>-19467.01716410647</v>
      </c>
      <c r="I15" s="24">
        <f t="shared" si="1"/>
        <v>-19754.203211264157</v>
      </c>
      <c r="J15" s="24">
        <f t="shared" si="1"/>
        <v>-19368.537816306132</v>
      </c>
      <c r="K15" s="24">
        <f t="shared" si="1"/>
        <v>-18205.702967336227</v>
      </c>
      <c r="L15" s="24">
        <f t="shared" si="1"/>
        <v>-18748.066226873845</v>
      </c>
      <c r="M15" s="24">
        <f t="shared" si="1"/>
        <v>-16431.776925055634</v>
      </c>
      <c r="N15" s="24">
        <f t="shared" si="1"/>
        <v>-16891.051320757317</v>
      </c>
    </row>
    <row r="17" spans="1:14">
      <c r="A17" t="s">
        <v>137</v>
      </c>
      <c r="C17" s="9">
        <f t="shared" ref="C17:N17" si="2">C10+C15</f>
        <v>-13135.133333333331</v>
      </c>
      <c r="D17" s="9">
        <f t="shared" si="2"/>
        <v>-34889.047813814788</v>
      </c>
      <c r="E17" s="9">
        <f t="shared" si="2"/>
        <v>-56025.129657504425</v>
      </c>
      <c r="F17" s="9">
        <f t="shared" si="2"/>
        <v>-76428.882517487174</v>
      </c>
      <c r="G17" s="9">
        <f t="shared" si="2"/>
        <v>-96376.736606491133</v>
      </c>
      <c r="H17" s="9">
        <f t="shared" si="2"/>
        <v>-115843.7537705976</v>
      </c>
      <c r="I17" s="9">
        <f t="shared" si="2"/>
        <v>-135597.95698186176</v>
      </c>
      <c r="J17" s="9">
        <f t="shared" si="2"/>
        <v>-154966.4947981679</v>
      </c>
      <c r="K17" s="9">
        <f t="shared" si="2"/>
        <v>-173172.19776550413</v>
      </c>
      <c r="L17" s="9">
        <f t="shared" si="2"/>
        <v>-191920.26399237796</v>
      </c>
      <c r="M17" s="9">
        <f t="shared" si="2"/>
        <v>-208352.04091743359</v>
      </c>
      <c r="N17" s="9">
        <f t="shared" si="2"/>
        <v>-225243.0922381909</v>
      </c>
    </row>
    <row r="18" spans="1:14">
      <c r="B18"/>
    </row>
    <row r="19" spans="1:14" s="92" customFormat="1">
      <c r="A19" s="92" t="s">
        <v>267</v>
      </c>
    </row>
    <row r="20" spans="1:14" s="92" customFormat="1">
      <c r="A20" s="92" t="s">
        <v>268</v>
      </c>
    </row>
    <row r="21" spans="1:14" s="92" customFormat="1">
      <c r="A21" s="92" t="s">
        <v>269</v>
      </c>
    </row>
    <row r="22" spans="1:14" s="92" customFormat="1">
      <c r="A22" s="92" t="s">
        <v>270</v>
      </c>
    </row>
    <row r="23" spans="1:14" s="92" customFormat="1">
      <c r="A23" s="118">
        <f>(MIN(C17:N17))</f>
        <v>-225243.0922381909</v>
      </c>
    </row>
  </sheetData>
  <conditionalFormatting sqref="C18:N18">
    <cfRule type="colorScale" priority="5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17:N17">
    <cfRule type="colorScale" priority="3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1:L44"/>
  <sheetViews>
    <sheetView tabSelected="1" topLeftCell="A13" workbookViewId="0">
      <selection activeCell="P41" sqref="P41"/>
    </sheetView>
  </sheetViews>
  <sheetFormatPr defaultRowHeight="14.4"/>
  <cols>
    <col min="1" max="1" width="21.26171875" customWidth="1"/>
    <col min="2" max="2" width="10" style="19" customWidth="1"/>
    <col min="3" max="3" width="10.68359375" style="79" customWidth="1"/>
    <col min="4" max="12" width="9.83984375" customWidth="1"/>
  </cols>
  <sheetData>
    <row r="1" spans="1:12" s="1" customFormat="1" ht="18.3">
      <c r="A1" s="1" t="str">
        <f>'READ ME'!A20</f>
        <v>Retail Worker Cooperative, Inc</v>
      </c>
      <c r="B1" s="25"/>
      <c r="C1" s="83"/>
    </row>
    <row r="2" spans="1:12" s="3" customFormat="1" ht="18.3">
      <c r="A2" s="2" t="s">
        <v>132</v>
      </c>
      <c r="B2" s="26"/>
      <c r="C2" s="79"/>
    </row>
    <row r="3" spans="1:12">
      <c r="B3"/>
      <c r="C3"/>
    </row>
    <row r="4" spans="1:12" s="92" customFormat="1">
      <c r="A4" s="92" t="s">
        <v>275</v>
      </c>
    </row>
    <row r="5" spans="1:12" s="92" customFormat="1">
      <c r="A5" s="92" t="s">
        <v>276</v>
      </c>
    </row>
    <row r="6" spans="1:12" s="92" customFormat="1">
      <c r="A6" s="92" t="s">
        <v>279</v>
      </c>
    </row>
    <row r="7" spans="1:12" s="92" customFormat="1">
      <c r="A7" s="92" t="s">
        <v>277</v>
      </c>
    </row>
    <row r="8" spans="1:12" s="92" customFormat="1">
      <c r="A8" s="92" t="s">
        <v>278</v>
      </c>
    </row>
    <row r="9" spans="1:12" s="92" customFormat="1">
      <c r="A9" s="92" t="s">
        <v>274</v>
      </c>
    </row>
    <row r="11" spans="1:12">
      <c r="C11" s="84">
        <v>1</v>
      </c>
      <c r="D11" s="19">
        <v>2</v>
      </c>
      <c r="E11" s="19">
        <v>3</v>
      </c>
      <c r="F11" s="19">
        <v>4</v>
      </c>
      <c r="G11" s="19">
        <v>5</v>
      </c>
      <c r="H11" s="19">
        <v>6</v>
      </c>
      <c r="I11" s="19">
        <v>7</v>
      </c>
      <c r="J11" s="19">
        <v>8</v>
      </c>
      <c r="K11" s="19">
        <v>9</v>
      </c>
      <c r="L11" s="19">
        <v>10</v>
      </c>
    </row>
    <row r="13" spans="1:12" s="36" customFormat="1">
      <c r="A13" s="36" t="s">
        <v>41</v>
      </c>
      <c r="B13" s="37"/>
      <c r="C13" s="85"/>
    </row>
    <row r="15" spans="1:12">
      <c r="A15" t="s">
        <v>138</v>
      </c>
      <c r="B15"/>
      <c r="D15" s="20">
        <v>0.05</v>
      </c>
      <c r="E15" s="20">
        <v>0.05</v>
      </c>
      <c r="F15" s="20">
        <v>0.05</v>
      </c>
      <c r="G15" s="20">
        <v>0.05</v>
      </c>
      <c r="H15" s="20">
        <v>0.05</v>
      </c>
      <c r="I15" s="20">
        <v>0.05</v>
      </c>
      <c r="J15" s="20">
        <v>0.05</v>
      </c>
      <c r="K15" s="20">
        <v>0.05</v>
      </c>
      <c r="L15" s="20">
        <v>0.05</v>
      </c>
    </row>
    <row r="16" spans="1:12">
      <c r="A16" t="s">
        <v>6</v>
      </c>
      <c r="C16" s="86">
        <f>'12 month PL'!O10</f>
        <v>123796.3764383099</v>
      </c>
      <c r="D16" s="8">
        <f>C16+(C16*D15)</f>
        <v>129986.1952602254</v>
      </c>
      <c r="E16" s="8">
        <f t="shared" ref="E16:L16" si="0">D16+(D16*E15)</f>
        <v>136485.50502323668</v>
      </c>
      <c r="F16" s="8">
        <f>E16+(E16*F15)</f>
        <v>143309.78027439851</v>
      </c>
      <c r="G16" s="8">
        <f t="shared" si="0"/>
        <v>150475.26928811843</v>
      </c>
      <c r="H16" s="8">
        <f t="shared" si="0"/>
        <v>157999.03275252436</v>
      </c>
      <c r="I16" s="8">
        <f t="shared" si="0"/>
        <v>165898.98439015058</v>
      </c>
      <c r="J16" s="8">
        <f t="shared" si="0"/>
        <v>174193.9336096581</v>
      </c>
      <c r="K16" s="8">
        <f t="shared" si="0"/>
        <v>182903.63029014101</v>
      </c>
      <c r="L16" s="8">
        <f t="shared" si="0"/>
        <v>192048.81180464805</v>
      </c>
    </row>
    <row r="17" spans="1:12">
      <c r="A17" t="s">
        <v>42</v>
      </c>
      <c r="B17" s="82">
        <v>0.3</v>
      </c>
      <c r="C17" s="86">
        <f>'12 month PL'!O11</f>
        <v>38357.136918992968</v>
      </c>
      <c r="D17" s="8">
        <f t="shared" ref="D17:L17" si="1">D$16*$B17</f>
        <v>38995.858578067622</v>
      </c>
      <c r="E17" s="8">
        <f t="shared" si="1"/>
        <v>40945.651506971</v>
      </c>
      <c r="F17" s="8">
        <f t="shared" si="1"/>
        <v>42992.934082319553</v>
      </c>
      <c r="G17" s="8">
        <f t="shared" si="1"/>
        <v>45142.58078643553</v>
      </c>
      <c r="H17" s="8">
        <f t="shared" si="1"/>
        <v>47399.709825757309</v>
      </c>
      <c r="I17" s="8">
        <f t="shared" si="1"/>
        <v>49769.695317045174</v>
      </c>
      <c r="J17" s="8">
        <f t="shared" si="1"/>
        <v>52258.18008289743</v>
      </c>
      <c r="K17" s="8">
        <f t="shared" si="1"/>
        <v>54871.089087042303</v>
      </c>
      <c r="L17" s="8">
        <f t="shared" si="1"/>
        <v>57614.643541394413</v>
      </c>
    </row>
    <row r="18" spans="1:12" s="22" customFormat="1">
      <c r="A18" s="22" t="s">
        <v>45</v>
      </c>
      <c r="B18" s="29">
        <f>1-B17</f>
        <v>0.7</v>
      </c>
      <c r="C18" s="87">
        <f>C16-C17</f>
        <v>85439.239519316936</v>
      </c>
      <c r="D18" s="24">
        <f t="shared" ref="D18:L18" si="2">D16-D17</f>
        <v>90990.33668215778</v>
      </c>
      <c r="E18" s="24">
        <f t="shared" si="2"/>
        <v>95539.853516265677</v>
      </c>
      <c r="F18" s="24">
        <f t="shared" si="2"/>
        <v>100316.84619207896</v>
      </c>
      <c r="G18" s="24">
        <f t="shared" si="2"/>
        <v>105332.6885016829</v>
      </c>
      <c r="H18" s="24">
        <f t="shared" si="2"/>
        <v>110599.32292676705</v>
      </c>
      <c r="I18" s="24">
        <f t="shared" si="2"/>
        <v>116129.28907310541</v>
      </c>
      <c r="J18" s="24">
        <f t="shared" si="2"/>
        <v>121935.75352676067</v>
      </c>
      <c r="K18" s="24">
        <f t="shared" si="2"/>
        <v>128032.54120309871</v>
      </c>
      <c r="L18" s="24">
        <f t="shared" si="2"/>
        <v>134434.16826325364</v>
      </c>
    </row>
    <row r="20" spans="1:12" s="32" customFormat="1">
      <c r="A20" s="32" t="s">
        <v>46</v>
      </c>
      <c r="B20" s="33"/>
      <c r="C20" s="88"/>
    </row>
    <row r="22" spans="1:12">
      <c r="A22" t="s">
        <v>67</v>
      </c>
      <c r="B22" s="82">
        <v>0.35</v>
      </c>
      <c r="C22" s="86">
        <f>'12 month PL'!O16</f>
        <v>154437.6</v>
      </c>
      <c r="D22" s="8">
        <f t="shared" ref="D22:L24" si="3">D$16*$B22</f>
        <v>45495.16834107889</v>
      </c>
      <c r="E22" s="8">
        <f t="shared" si="3"/>
        <v>47769.926758132831</v>
      </c>
      <c r="F22" s="8">
        <f t="shared" si="3"/>
        <v>50158.423096039478</v>
      </c>
      <c r="G22" s="8">
        <f t="shared" si="3"/>
        <v>52666.344250841452</v>
      </c>
      <c r="H22" s="8">
        <f t="shared" si="3"/>
        <v>55299.661463383527</v>
      </c>
      <c r="I22" s="8">
        <f t="shared" si="3"/>
        <v>58064.644536552696</v>
      </c>
      <c r="J22" s="8">
        <f t="shared" si="3"/>
        <v>60967.876763380329</v>
      </c>
      <c r="K22" s="8">
        <f t="shared" si="3"/>
        <v>64016.270601549346</v>
      </c>
      <c r="L22" s="8">
        <f t="shared" si="3"/>
        <v>67217.08413162682</v>
      </c>
    </row>
    <row r="23" spans="1:12">
      <c r="A23" t="s">
        <v>64</v>
      </c>
      <c r="B23" s="82">
        <v>0.02</v>
      </c>
      <c r="C23" s="86">
        <f>'12 month PL'!O17</f>
        <v>12000</v>
      </c>
      <c r="D23" s="8">
        <f t="shared" si="3"/>
        <v>2599.7239052045079</v>
      </c>
      <c r="E23" s="8">
        <f t="shared" si="3"/>
        <v>2729.7101004647334</v>
      </c>
      <c r="F23" s="8">
        <f t="shared" si="3"/>
        <v>2866.1956054879702</v>
      </c>
      <c r="G23" s="8">
        <f t="shared" si="3"/>
        <v>3009.5053857623689</v>
      </c>
      <c r="H23" s="8">
        <f t="shared" si="3"/>
        <v>3159.9806550504873</v>
      </c>
      <c r="I23" s="8">
        <f t="shared" si="3"/>
        <v>3317.9796878030115</v>
      </c>
      <c r="J23" s="8">
        <f t="shared" si="3"/>
        <v>3483.8786721931619</v>
      </c>
      <c r="K23" s="8">
        <f t="shared" si="3"/>
        <v>3658.0726058028204</v>
      </c>
      <c r="L23" s="8">
        <f t="shared" si="3"/>
        <v>3840.9762360929612</v>
      </c>
    </row>
    <row r="24" spans="1:12">
      <c r="A24" t="s">
        <v>65</v>
      </c>
      <c r="B24" s="82">
        <v>0.02</v>
      </c>
      <c r="C24" s="86">
        <f>'12 month PL'!O18</f>
        <v>6000</v>
      </c>
      <c r="D24" s="8">
        <f t="shared" si="3"/>
        <v>2599.7239052045079</v>
      </c>
      <c r="E24" s="8">
        <f t="shared" si="3"/>
        <v>2729.7101004647334</v>
      </c>
      <c r="F24" s="8">
        <f t="shared" si="3"/>
        <v>2866.1956054879702</v>
      </c>
      <c r="G24" s="8">
        <f t="shared" si="3"/>
        <v>3009.5053857623689</v>
      </c>
      <c r="H24" s="8">
        <f t="shared" si="3"/>
        <v>3159.9806550504873</v>
      </c>
      <c r="I24" s="8">
        <f t="shared" si="3"/>
        <v>3317.9796878030115</v>
      </c>
      <c r="J24" s="8">
        <f t="shared" si="3"/>
        <v>3483.8786721931619</v>
      </c>
      <c r="K24" s="8">
        <f t="shared" si="3"/>
        <v>3658.0726058028204</v>
      </c>
      <c r="L24" s="8">
        <f t="shared" si="3"/>
        <v>3840.9762360929612</v>
      </c>
    </row>
    <row r="25" spans="1:12">
      <c r="A25" t="s">
        <v>66</v>
      </c>
      <c r="B25" s="82">
        <v>0.01</v>
      </c>
      <c r="C25" s="86">
        <f>'12 month PL'!O19</f>
        <v>3000</v>
      </c>
      <c r="D25" s="8">
        <f t="shared" ref="D25:L25" si="4">D$16*$B25</f>
        <v>1299.861952602254</v>
      </c>
      <c r="E25" s="8">
        <f t="shared" si="4"/>
        <v>1364.8550502323667</v>
      </c>
      <c r="F25" s="8">
        <f t="shared" si="4"/>
        <v>1433.0978027439851</v>
      </c>
      <c r="G25" s="8">
        <f t="shared" si="4"/>
        <v>1504.7526928811844</v>
      </c>
      <c r="H25" s="8">
        <f t="shared" si="4"/>
        <v>1579.9903275252436</v>
      </c>
      <c r="I25" s="8">
        <f t="shared" si="4"/>
        <v>1658.9898439015058</v>
      </c>
      <c r="J25" s="8">
        <f t="shared" si="4"/>
        <v>1741.939336096581</v>
      </c>
      <c r="K25" s="8">
        <f t="shared" si="4"/>
        <v>1829.0363029014102</v>
      </c>
      <c r="L25" s="8">
        <f t="shared" si="4"/>
        <v>1920.4881180464806</v>
      </c>
    </row>
    <row r="26" spans="1:12" s="22" customFormat="1">
      <c r="A26" s="22" t="s">
        <v>46</v>
      </c>
      <c r="B26" s="29">
        <f>SUM(B22:B25)</f>
        <v>0.4</v>
      </c>
      <c r="C26" s="87">
        <f>SUM(C22:C25)</f>
        <v>175437.6</v>
      </c>
      <c r="D26" s="24">
        <f>SUM(D22:D25)</f>
        <v>51994.478104090158</v>
      </c>
      <c r="E26" s="24">
        <f t="shared" ref="E26:L26" si="5">SUM(E22:E25)</f>
        <v>54594.202009294662</v>
      </c>
      <c r="F26" s="24">
        <f t="shared" si="5"/>
        <v>57323.912109759403</v>
      </c>
      <c r="G26" s="24">
        <f t="shared" si="5"/>
        <v>60190.107715247381</v>
      </c>
      <c r="H26" s="24">
        <f t="shared" si="5"/>
        <v>63199.613101009745</v>
      </c>
      <c r="I26" s="24">
        <f t="shared" si="5"/>
        <v>66359.593756060218</v>
      </c>
      <c r="J26" s="24">
        <f t="shared" si="5"/>
        <v>69677.573443863235</v>
      </c>
      <c r="K26" s="24">
        <f t="shared" si="5"/>
        <v>73161.452116056404</v>
      </c>
      <c r="L26" s="24">
        <f t="shared" si="5"/>
        <v>76819.524721859227</v>
      </c>
    </row>
    <row r="28" spans="1:12" s="34" customFormat="1">
      <c r="A28" s="34" t="s">
        <v>47</v>
      </c>
      <c r="B28" s="35"/>
      <c r="C28" s="89"/>
    </row>
    <row r="30" spans="1:12">
      <c r="A30" t="s">
        <v>84</v>
      </c>
      <c r="B30" s="82">
        <v>0.1</v>
      </c>
      <c r="C30" s="86">
        <f>'12 month PL'!O24</f>
        <v>64000.000000000022</v>
      </c>
      <c r="D30" s="8">
        <f t="shared" ref="D30:L33" si="6">D$16*$B30</f>
        <v>12998.619526022541</v>
      </c>
      <c r="E30" s="8">
        <f t="shared" si="6"/>
        <v>13648.550502323669</v>
      </c>
      <c r="F30" s="8">
        <f t="shared" si="6"/>
        <v>14330.978027439851</v>
      </c>
      <c r="G30" s="8">
        <f t="shared" si="6"/>
        <v>15047.526928811843</v>
      </c>
      <c r="H30" s="8">
        <f t="shared" si="6"/>
        <v>15799.903275252436</v>
      </c>
      <c r="I30" s="8">
        <f t="shared" si="6"/>
        <v>16589.898439015058</v>
      </c>
      <c r="J30" s="8">
        <f t="shared" si="6"/>
        <v>17419.393360965809</v>
      </c>
      <c r="K30" s="8">
        <f t="shared" si="6"/>
        <v>18290.363029014101</v>
      </c>
      <c r="L30" s="8">
        <f t="shared" si="6"/>
        <v>19204.881180464807</v>
      </c>
    </row>
    <row r="31" spans="1:12">
      <c r="A31" t="s">
        <v>71</v>
      </c>
      <c r="B31" s="82">
        <v>0.05</v>
      </c>
      <c r="C31" s="86">
        <f>'12 month PL'!O25</f>
        <v>4951.8550575323961</v>
      </c>
      <c r="D31" s="8">
        <f t="shared" si="6"/>
        <v>6499.3097630112707</v>
      </c>
      <c r="E31" s="8">
        <f t="shared" si="6"/>
        <v>6824.2752511618346</v>
      </c>
      <c r="F31" s="8">
        <f t="shared" si="6"/>
        <v>7165.4890137199254</v>
      </c>
      <c r="G31" s="8">
        <f t="shared" si="6"/>
        <v>7523.7634644059217</v>
      </c>
      <c r="H31" s="8">
        <f t="shared" si="6"/>
        <v>7899.9516376262181</v>
      </c>
      <c r="I31" s="8">
        <f t="shared" si="6"/>
        <v>8294.9492195075291</v>
      </c>
      <c r="J31" s="8">
        <f t="shared" si="6"/>
        <v>8709.6966804829044</v>
      </c>
      <c r="K31" s="8">
        <f t="shared" si="6"/>
        <v>9145.1815145070505</v>
      </c>
      <c r="L31" s="8">
        <f t="shared" si="6"/>
        <v>9602.4405902324033</v>
      </c>
    </row>
    <row r="32" spans="1:12">
      <c r="A32" t="s">
        <v>72</v>
      </c>
      <c r="B32" s="82">
        <v>0.05</v>
      </c>
      <c r="C32" s="86">
        <f>'12 month PL'!O26</f>
        <v>3800</v>
      </c>
      <c r="D32" s="8">
        <f t="shared" si="6"/>
        <v>6499.3097630112707</v>
      </c>
      <c r="E32" s="8">
        <f t="shared" si="6"/>
        <v>6824.2752511618346</v>
      </c>
      <c r="F32" s="8">
        <f t="shared" si="6"/>
        <v>7165.4890137199254</v>
      </c>
      <c r="G32" s="8">
        <f t="shared" si="6"/>
        <v>7523.7634644059217</v>
      </c>
      <c r="H32" s="8">
        <f t="shared" si="6"/>
        <v>7899.9516376262181</v>
      </c>
      <c r="I32" s="8">
        <f t="shared" si="6"/>
        <v>8294.9492195075291</v>
      </c>
      <c r="J32" s="8">
        <f t="shared" si="6"/>
        <v>8709.6966804829044</v>
      </c>
      <c r="K32" s="8">
        <f t="shared" si="6"/>
        <v>9145.1815145070505</v>
      </c>
      <c r="L32" s="8">
        <f t="shared" si="6"/>
        <v>9602.4405902324033</v>
      </c>
    </row>
    <row r="33" spans="1:12">
      <c r="A33" t="s">
        <v>73</v>
      </c>
      <c r="B33" s="82">
        <v>0.05</v>
      </c>
      <c r="C33" s="86">
        <f>'12 month PL'!O27</f>
        <v>8333.3333333333339</v>
      </c>
      <c r="D33" s="8">
        <f t="shared" si="6"/>
        <v>6499.3097630112707</v>
      </c>
      <c r="E33" s="8">
        <f t="shared" si="6"/>
        <v>6824.2752511618346</v>
      </c>
      <c r="F33" s="8">
        <f t="shared" si="6"/>
        <v>7165.4890137199254</v>
      </c>
      <c r="G33" s="8">
        <f t="shared" si="6"/>
        <v>7523.7634644059217</v>
      </c>
      <c r="H33" s="8">
        <f t="shared" si="6"/>
        <v>7899.9516376262181</v>
      </c>
      <c r="I33" s="8">
        <f t="shared" si="6"/>
        <v>8294.9492195075291</v>
      </c>
      <c r="J33" s="8">
        <f t="shared" si="6"/>
        <v>8709.6966804829044</v>
      </c>
      <c r="K33" s="8">
        <f t="shared" si="6"/>
        <v>9145.1815145070505</v>
      </c>
      <c r="L33" s="8">
        <f t="shared" si="6"/>
        <v>9602.4405902324033</v>
      </c>
    </row>
    <row r="34" spans="1:12" s="22" customFormat="1">
      <c r="A34" s="22" t="s">
        <v>46</v>
      </c>
      <c r="B34" s="29">
        <f>SUM(B30:B33)</f>
        <v>0.25</v>
      </c>
      <c r="C34" s="87">
        <f>SUM(C30:C33)</f>
        <v>81085.188390865747</v>
      </c>
      <c r="D34" s="24">
        <f t="shared" ref="D34:L34" si="7">SUM(D30:D33)</f>
        <v>32496.548815056354</v>
      </c>
      <c r="E34" s="24">
        <f t="shared" si="7"/>
        <v>34121.376255809169</v>
      </c>
      <c r="F34" s="24">
        <f t="shared" si="7"/>
        <v>35827.445068599627</v>
      </c>
      <c r="G34" s="24">
        <f t="shared" si="7"/>
        <v>37618.817322029608</v>
      </c>
      <c r="H34" s="24">
        <f t="shared" si="7"/>
        <v>39499.758188131091</v>
      </c>
      <c r="I34" s="24">
        <f t="shared" si="7"/>
        <v>41474.746097537645</v>
      </c>
      <c r="J34" s="24">
        <f t="shared" si="7"/>
        <v>43548.483402414524</v>
      </c>
      <c r="K34" s="24">
        <f t="shared" si="7"/>
        <v>45725.907572535252</v>
      </c>
      <c r="L34" s="24">
        <f t="shared" si="7"/>
        <v>48012.20295116202</v>
      </c>
    </row>
    <row r="36" spans="1:12" s="22" customFormat="1">
      <c r="A36" s="22" t="s">
        <v>121</v>
      </c>
      <c r="B36" s="29">
        <f>SUM(B18-B26-B34)</f>
        <v>4.9999999999999933E-2</v>
      </c>
      <c r="C36" s="87">
        <f t="shared" ref="C36:L36" si="8">C18-C26-C34</f>
        <v>-171083.54887154882</v>
      </c>
      <c r="D36" s="24">
        <f t="shared" si="8"/>
        <v>6499.3097630112679</v>
      </c>
      <c r="E36" s="24">
        <f t="shared" si="8"/>
        <v>6824.2752511618455</v>
      </c>
      <c r="F36" s="24">
        <f t="shared" si="8"/>
        <v>7165.4890137199254</v>
      </c>
      <c r="G36" s="24">
        <f t="shared" si="8"/>
        <v>7523.7634644059144</v>
      </c>
      <c r="H36" s="24">
        <f t="shared" si="8"/>
        <v>7899.9516376262181</v>
      </c>
      <c r="I36" s="24">
        <f t="shared" si="8"/>
        <v>8294.9492195075436</v>
      </c>
      <c r="J36" s="24">
        <f t="shared" si="8"/>
        <v>8709.6966804829135</v>
      </c>
      <c r="K36" s="24">
        <f t="shared" si="8"/>
        <v>9145.1815145070505</v>
      </c>
      <c r="L36" s="24">
        <f t="shared" si="8"/>
        <v>9602.4405902323924</v>
      </c>
    </row>
    <row r="38" spans="1:12" s="38" customFormat="1">
      <c r="A38" s="38" t="s">
        <v>120</v>
      </c>
      <c r="B38" s="39"/>
      <c r="C38" s="90"/>
    </row>
    <row r="40" spans="1:12">
      <c r="A40" t="s">
        <v>123</v>
      </c>
      <c r="C40" s="86"/>
    </row>
    <row r="41" spans="1:12">
      <c r="A41" t="s">
        <v>122</v>
      </c>
      <c r="B41" s="82">
        <v>0.01</v>
      </c>
      <c r="C41" s="86">
        <f>'12 month PL'!O35</f>
        <v>36246.438349987729</v>
      </c>
      <c r="D41" s="8">
        <f t="shared" ref="D41:L41" si="9">D$16*$B41</f>
        <v>1299.861952602254</v>
      </c>
      <c r="E41" s="8">
        <f t="shared" si="9"/>
        <v>1364.8550502323667</v>
      </c>
      <c r="F41" s="8">
        <f t="shared" si="9"/>
        <v>1433.0978027439851</v>
      </c>
      <c r="G41" s="8">
        <f t="shared" si="9"/>
        <v>1504.7526928811844</v>
      </c>
      <c r="H41" s="8">
        <f t="shared" si="9"/>
        <v>1579.9903275252436</v>
      </c>
      <c r="I41" s="8">
        <f t="shared" si="9"/>
        <v>1658.9898439015058</v>
      </c>
      <c r="J41" s="8">
        <f t="shared" si="9"/>
        <v>1741.939336096581</v>
      </c>
      <c r="K41" s="8">
        <f t="shared" si="9"/>
        <v>1829.0363029014102</v>
      </c>
      <c r="L41" s="8">
        <f t="shared" si="9"/>
        <v>1920.4881180464806</v>
      </c>
    </row>
    <row r="42" spans="1:12" s="22" customFormat="1">
      <c r="A42" s="22" t="s">
        <v>120</v>
      </c>
      <c r="B42" s="29">
        <f>B40-B41</f>
        <v>-0.01</v>
      </c>
      <c r="C42" s="87">
        <f>C40-C41</f>
        <v>-36246.438349987729</v>
      </c>
      <c r="D42" s="24">
        <f t="shared" ref="D42:L42" si="10">D40-D41</f>
        <v>-1299.861952602254</v>
      </c>
      <c r="E42" s="24">
        <f t="shared" si="10"/>
        <v>-1364.8550502323667</v>
      </c>
      <c r="F42" s="24">
        <f t="shared" si="10"/>
        <v>-1433.0978027439851</v>
      </c>
      <c r="G42" s="24">
        <f t="shared" si="10"/>
        <v>-1504.7526928811844</v>
      </c>
      <c r="H42" s="24">
        <f t="shared" si="10"/>
        <v>-1579.9903275252436</v>
      </c>
      <c r="I42" s="24">
        <f t="shared" si="10"/>
        <v>-1658.9898439015058</v>
      </c>
      <c r="J42" s="24">
        <f t="shared" si="10"/>
        <v>-1741.939336096581</v>
      </c>
      <c r="K42" s="24">
        <f t="shared" si="10"/>
        <v>-1829.0363029014102</v>
      </c>
      <c r="L42" s="24">
        <f t="shared" si="10"/>
        <v>-1920.4881180464806</v>
      </c>
    </row>
    <row r="44" spans="1:12" s="22" customFormat="1">
      <c r="A44" s="22" t="s">
        <v>68</v>
      </c>
      <c r="B44" s="29">
        <f>B36+B42</f>
        <v>3.9999999999999931E-2</v>
      </c>
      <c r="C44" s="87">
        <f>SUM(C36,C42)</f>
        <v>-207329.98722153655</v>
      </c>
      <c r="D44" s="24">
        <f t="shared" ref="D44:L44" si="11">SUM(D36,D42)</f>
        <v>5199.447810409014</v>
      </c>
      <c r="E44" s="24">
        <f t="shared" si="11"/>
        <v>5459.4202009294786</v>
      </c>
      <c r="F44" s="24">
        <f t="shared" si="11"/>
        <v>5732.3912109759403</v>
      </c>
      <c r="G44" s="24">
        <f t="shared" si="11"/>
        <v>6019.0107715247304</v>
      </c>
      <c r="H44" s="24">
        <f t="shared" si="11"/>
        <v>6319.9613101009745</v>
      </c>
      <c r="I44" s="24">
        <f t="shared" si="11"/>
        <v>6635.9593756060376</v>
      </c>
      <c r="J44" s="24">
        <f t="shared" si="11"/>
        <v>6967.757344386333</v>
      </c>
      <c r="K44" s="24">
        <f t="shared" si="11"/>
        <v>7316.1452116056407</v>
      </c>
      <c r="L44" s="24">
        <f t="shared" si="11"/>
        <v>7681.9524721859116</v>
      </c>
    </row>
  </sheetData>
  <conditionalFormatting sqref="C36:L36">
    <cfRule type="colorScale" priority="12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4:L44">
    <cfRule type="colorScale" priority="13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Income</vt:lpstr>
      <vt:lpstr>Labor</vt:lpstr>
      <vt:lpstr>Expenses</vt:lpstr>
      <vt:lpstr>Sources and Uses</vt:lpstr>
      <vt:lpstr>Debt</vt:lpstr>
      <vt:lpstr>12 month PL</vt:lpstr>
      <vt:lpstr>12 month Cash</vt:lpstr>
      <vt:lpstr>10 year PL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Marraffino</dc:creator>
  <cp:lastModifiedBy>Joe Marraffino</cp:lastModifiedBy>
  <dcterms:created xsi:type="dcterms:W3CDTF">2015-07-08T18:46:14Z</dcterms:created>
  <dcterms:modified xsi:type="dcterms:W3CDTF">2019-11-22T19:01:59Z</dcterms:modified>
</cp:coreProperties>
</file>