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veitch/Documents/Body Condition/Body Condition R/"/>
    </mc:Choice>
  </mc:AlternateContent>
  <xr:revisionPtr revIDLastSave="0" documentId="13_ncr:1_{4BE55F67-F0A8-7949-BE6C-83418040566B}" xr6:coauthVersionLast="45" xr6:coauthVersionMax="45" xr10:uidLastSave="{00000000-0000-0000-0000-000000000000}"/>
  <bookViews>
    <workbookView xWindow="0" yWindow="460" windowWidth="28800" windowHeight="15920" xr2:uid="{00000000-000D-0000-FFFF-FFFF00000000}"/>
  </bookViews>
  <sheets>
    <sheet name="Falls Lines" sheetId="1" r:id="rId1"/>
    <sheet name="Orange Mites 2016" sheetId="2" r:id="rId2"/>
    <sheet name="Albrecht's Fecal" sheetId="7" r:id="rId3"/>
    <sheet name="Kathlyn Individuals" sheetId="4" r:id="rId4"/>
    <sheet name="Moms" sheetId="5" r:id="rId5"/>
    <sheet name="Juveniles" sheetId="6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58" i="1" l="1"/>
  <c r="Q222" i="1" l="1"/>
  <c r="Q382" i="1"/>
  <c r="Q380" i="1"/>
  <c r="Q1283" i="1"/>
  <c r="Q14" i="1" l="1"/>
  <c r="Q1523" i="1"/>
  <c r="Q1544" i="1"/>
  <c r="Q1542" i="1"/>
  <c r="Q1272" i="1"/>
  <c r="Q175" i="1"/>
  <c r="K72" i="7" l="1"/>
  <c r="K71" i="7"/>
  <c r="T532" i="2"/>
  <c r="T531" i="2"/>
  <c r="T530" i="2"/>
  <c r="T529" i="2"/>
  <c r="Q812" i="1"/>
  <c r="Q1164" i="1"/>
  <c r="Q1304" i="1"/>
  <c r="Q3963" i="1"/>
  <c r="Q1331" i="1"/>
  <c r="Q1099" i="1"/>
  <c r="Q3833" i="1"/>
  <c r="Q1239" i="1"/>
  <c r="Q3908" i="1"/>
  <c r="Q1140" i="1"/>
  <c r="Q957" i="1"/>
  <c r="Q929" i="1"/>
  <c r="Q1487" i="1"/>
  <c r="Q1529" i="1"/>
  <c r="Q3834" i="1"/>
  <c r="Q1062" i="1"/>
  <c r="Q141" i="1"/>
  <c r="Q1238" i="1"/>
  <c r="Q152" i="1"/>
  <c r="Q120" i="1"/>
  <c r="Q774" i="1"/>
  <c r="Q3843" i="1"/>
  <c r="Q465" i="1"/>
  <c r="Q765" i="1"/>
  <c r="Q117" i="1"/>
  <c r="Q454" i="1"/>
  <c r="Q611" i="1"/>
  <c r="Q930" i="1"/>
  <c r="Q539" i="1"/>
  <c r="Q1358" i="1"/>
  <c r="Q311" i="1"/>
  <c r="Q1354" i="1"/>
  <c r="Q1580" i="1"/>
  <c r="Q696" i="1"/>
  <c r="Q1335" i="1"/>
  <c r="Q148" i="1"/>
  <c r="K59" i="7"/>
  <c r="K58" i="7"/>
  <c r="K57" i="7"/>
  <c r="K56" i="7"/>
  <c r="K55" i="7"/>
  <c r="K54" i="7"/>
  <c r="K53" i="7"/>
  <c r="K51" i="7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Q25" i="1"/>
  <c r="Q811" i="1"/>
  <c r="Q1330" i="1"/>
  <c r="Q4057" i="1"/>
  <c r="Q1486" i="1"/>
  <c r="Q928" i="1"/>
  <c r="Q956" i="1"/>
  <c r="Q1235" i="1"/>
  <c r="Q1528" i="1"/>
  <c r="Q1307" i="1"/>
  <c r="Q140" i="1"/>
  <c r="Q764" i="1"/>
  <c r="Q773" i="1"/>
  <c r="Q151" i="1"/>
  <c r="Q1300" i="1"/>
  <c r="Q453" i="1"/>
  <c r="Q116" i="1"/>
  <c r="Q3839" i="1"/>
  <c r="Q1234" i="1"/>
  <c r="Q3840" i="1"/>
  <c r="Q464" i="1"/>
  <c r="Q1357" i="1"/>
  <c r="Q1301" i="1"/>
  <c r="Q917" i="1"/>
  <c r="Q135" i="1"/>
  <c r="Q1309" i="1"/>
  <c r="Q475" i="1"/>
  <c r="Q3846" i="1"/>
  <c r="Q1602" i="1"/>
  <c r="Q695" i="1"/>
  <c r="Q1334" i="1"/>
  <c r="Q1302" i="1"/>
  <c r="Q147" i="1"/>
  <c r="Q310" i="1"/>
  <c r="K44" i="7"/>
  <c r="K43" i="7"/>
  <c r="K42" i="7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Q1303" i="1"/>
  <c r="Q1329" i="1"/>
  <c r="Q3962" i="1"/>
  <c r="Q923" i="1"/>
  <c r="Q26" i="1"/>
  <c r="Q27" i="1"/>
  <c r="Q1527" i="1"/>
  <c r="Q1306" i="1"/>
  <c r="Q139" i="1"/>
  <c r="Q3841" i="1"/>
  <c r="Q150" i="1"/>
  <c r="Q763" i="1"/>
  <c r="Q772" i="1"/>
  <c r="Q3842" i="1"/>
  <c r="Q463" i="1"/>
  <c r="Q3844" i="1"/>
  <c r="Q452" i="1"/>
  <c r="Q610" i="1"/>
  <c r="Q916" i="1"/>
  <c r="Q1356" i="1"/>
  <c r="Q1308" i="1"/>
  <c r="Q1353" i="1"/>
  <c r="Q3845" i="1"/>
  <c r="Q3931" i="1"/>
  <c r="Q694" i="1"/>
  <c r="Q1333" i="1"/>
  <c r="Q1497" i="1"/>
  <c r="D295" i="4"/>
  <c r="D294" i="4"/>
  <c r="D293" i="4"/>
  <c r="D292" i="4"/>
  <c r="D291" i="4"/>
  <c r="D290" i="4"/>
  <c r="D288" i="4"/>
  <c r="D285" i="4"/>
  <c r="D284" i="4"/>
  <c r="K33" i="7"/>
  <c r="K32" i="7"/>
  <c r="K24" i="7"/>
  <c r="K22" i="7"/>
  <c r="K21" i="7"/>
  <c r="K20" i="7"/>
  <c r="K19" i="7"/>
  <c r="K17" i="7"/>
  <c r="T405" i="2"/>
  <c r="T404" i="2"/>
  <c r="T377" i="2"/>
  <c r="T376" i="2"/>
  <c r="T375" i="2"/>
  <c r="T374" i="2"/>
  <c r="T373" i="2"/>
  <c r="T372" i="2"/>
  <c r="T371" i="2"/>
  <c r="T370" i="2"/>
  <c r="Q51" i="1"/>
  <c r="Q17" i="1"/>
  <c r="Q1071" i="1"/>
  <c r="Q3884" i="1"/>
  <c r="Q3889" i="1"/>
  <c r="Q3914" i="1"/>
  <c r="Q953" i="1"/>
  <c r="Q104" i="1"/>
  <c r="Q3875" i="1"/>
  <c r="Q110" i="1"/>
  <c r="Q92" i="1"/>
  <c r="Q581" i="1"/>
  <c r="Q3858" i="1"/>
  <c r="Q160" i="1"/>
  <c r="Q95" i="1"/>
  <c r="Q114" i="1"/>
  <c r="Q1317" i="1"/>
  <c r="Q1070" i="1"/>
  <c r="Q1349" i="1"/>
  <c r="Q1342" i="1"/>
  <c r="Q103" i="1"/>
  <c r="Q952" i="1"/>
  <c r="Q74" i="1"/>
  <c r="Q3913" i="1"/>
  <c r="Q3891" i="1"/>
  <c r="Q3890" i="1"/>
  <c r="Q732" i="1"/>
  <c r="Q113" i="1"/>
  <c r="Q3888" i="1"/>
  <c r="Q580" i="1"/>
  <c r="Q3878" i="1"/>
  <c r="Q372" i="1"/>
  <c r="Q3857" i="1"/>
  <c r="Q818" i="1"/>
  <c r="Q3886" i="1"/>
  <c r="Q3941" i="1"/>
  <c r="Q3880" i="1"/>
  <c r="Q91" i="1"/>
  <c r="Q109" i="1"/>
  <c r="Q3874" i="1"/>
  <c r="Q1074" i="1"/>
  <c r="Q537" i="1"/>
  <c r="Q3885" i="1"/>
  <c r="Q99" i="1"/>
  <c r="Q981" i="1"/>
  <c r="Q526" i="1"/>
  <c r="Q3883" i="1"/>
  <c r="Q111" i="1"/>
  <c r="Q4000" i="1"/>
  <c r="K16" i="7"/>
  <c r="K15" i="7"/>
  <c r="K14" i="7"/>
  <c r="K13" i="7"/>
  <c r="K12" i="7"/>
  <c r="K11" i="7"/>
  <c r="T368" i="2"/>
  <c r="T367" i="2"/>
  <c r="T366" i="2"/>
  <c r="T365" i="2"/>
  <c r="T364" i="2"/>
  <c r="T363" i="2"/>
  <c r="T361" i="2"/>
  <c r="T360" i="2"/>
  <c r="T359" i="2"/>
  <c r="T358" i="2"/>
  <c r="Q1316" i="1"/>
  <c r="Q3882" i="1"/>
  <c r="Q1327" i="1"/>
  <c r="Q1326" i="1"/>
  <c r="Q1339" i="1"/>
  <c r="Q1325" i="1"/>
  <c r="Q942" i="1"/>
  <c r="Q77" i="1"/>
  <c r="Q73" i="1"/>
  <c r="Q1247" i="1"/>
  <c r="Q936" i="1"/>
  <c r="Q731" i="1"/>
  <c r="Q83" i="1"/>
  <c r="Q579" i="1"/>
  <c r="Q3879" i="1"/>
  <c r="Q3940" i="1"/>
  <c r="Q108" i="1"/>
  <c r="Q90" i="1"/>
  <c r="Q3969" i="1"/>
  <c r="Q3877" i="1"/>
  <c r="Q536" i="1"/>
  <c r="Q980" i="1"/>
  <c r="Q98" i="1"/>
  <c r="D283" i="4"/>
  <c r="D282" i="4"/>
  <c r="D281" i="4"/>
  <c r="D279" i="4"/>
  <c r="K70" i="7" l="1"/>
  <c r="T528" i="2"/>
  <c r="Q1299" i="1"/>
  <c r="Q3830" i="1"/>
  <c r="T527" i="2"/>
  <c r="Q1268" i="1"/>
  <c r="T526" i="2"/>
  <c r="Q4060" i="1"/>
  <c r="K69" i="7"/>
  <c r="T525" i="2"/>
  <c r="Q159" i="1"/>
  <c r="T524" i="2"/>
  <c r="Q1265" i="1"/>
  <c r="T523" i="2"/>
  <c r="Q172" i="1"/>
  <c r="T522" i="2"/>
  <c r="Q1556" i="1"/>
  <c r="T521" i="2"/>
  <c r="Q1257" i="1"/>
  <c r="T520" i="2"/>
  <c r="Q1267" i="1"/>
  <c r="T519" i="2"/>
  <c r="Q162" i="1"/>
  <c r="T518" i="2"/>
  <c r="Q566" i="1"/>
  <c r="T517" i="2"/>
  <c r="Q1475" i="1"/>
  <c r="T516" i="2"/>
  <c r="Q176" i="1"/>
  <c r="Q1263" i="1"/>
  <c r="T515" i="2"/>
  <c r="Q1373" i="1"/>
  <c r="T514" i="2"/>
  <c r="Q1579" i="1"/>
  <c r="Q4" i="1"/>
  <c r="T513" i="2"/>
  <c r="Q1079" i="1"/>
  <c r="Q754" i="1"/>
  <c r="T512" i="2"/>
  <c r="Q1280" i="1"/>
  <c r="Q1277" i="1"/>
  <c r="T511" i="2"/>
  <c r="Q1004" i="1"/>
  <c r="K67" i="7"/>
  <c r="Q6" i="1"/>
  <c r="T510" i="2"/>
  <c r="Q1061" i="1"/>
  <c r="T509" i="2"/>
  <c r="Q1378" i="1"/>
  <c r="Q11" i="1"/>
  <c r="T508" i="2"/>
  <c r="Q1237" i="1"/>
  <c r="T507" i="2"/>
  <c r="Q4059" i="1"/>
  <c r="T506" i="2"/>
  <c r="Q3832" i="1"/>
  <c r="T505" i="2"/>
  <c r="Q1266" i="1"/>
  <c r="T504" i="2"/>
  <c r="Q1271" i="1"/>
  <c r="T503" i="2"/>
  <c r="Q1273" i="1"/>
  <c r="T502" i="2"/>
  <c r="Q5" i="1"/>
  <c r="T501" i="2"/>
  <c r="Q184" i="1"/>
  <c r="T500" i="2"/>
  <c r="Q1261" i="1"/>
  <c r="K66" i="7"/>
  <c r="T499" i="2"/>
  <c r="Q4058" i="1"/>
  <c r="K65" i="7"/>
  <c r="T498" i="2"/>
  <c r="Q158" i="1"/>
  <c r="T497" i="2"/>
  <c r="Q1264" i="1"/>
  <c r="T496" i="2"/>
  <c r="Q1550" i="1"/>
  <c r="T495" i="2"/>
  <c r="Q171" i="1"/>
  <c r="T494" i="2"/>
  <c r="Q1256" i="1"/>
  <c r="T493" i="2"/>
  <c r="Q3831" i="1"/>
  <c r="T492" i="2"/>
  <c r="Q1474" i="1"/>
  <c r="T491" i="2"/>
  <c r="Q1254" i="1"/>
  <c r="K64" i="7"/>
  <c r="T490" i="2"/>
  <c r="Q1372" i="1"/>
  <c r="T489" i="2"/>
  <c r="Q1262" i="1"/>
  <c r="Q178" i="1"/>
  <c r="T488" i="2"/>
  <c r="Q1078" i="1"/>
  <c r="T487" i="2"/>
  <c r="Q753" i="1"/>
  <c r="T486" i="2"/>
  <c r="Q1276" i="1"/>
  <c r="K63" i="7"/>
  <c r="K62" i="7"/>
  <c r="Q3" i="1"/>
  <c r="T485" i="2"/>
  <c r="Q1003" i="1"/>
  <c r="T484" i="2"/>
  <c r="Q3829" i="1"/>
  <c r="T483" i="2"/>
  <c r="Q3828" i="1"/>
  <c r="Q1592" i="1"/>
  <c r="K61" i="7"/>
  <c r="Q2" i="1"/>
  <c r="T482" i="2"/>
  <c r="Q1564" i="1"/>
  <c r="K60" i="7"/>
  <c r="Q183" i="1"/>
  <c r="T451" i="2"/>
  <c r="Q1260" i="1"/>
  <c r="K50" i="7"/>
  <c r="T450" i="2"/>
  <c r="Q3827" i="1"/>
  <c r="K49" i="7"/>
  <c r="T449" i="2"/>
  <c r="Q157" i="1"/>
  <c r="T448" i="2"/>
  <c r="Q1555" i="1"/>
  <c r="T446" i="2"/>
  <c r="Q1473" i="1"/>
  <c r="T445" i="2"/>
  <c r="Q565" i="1"/>
  <c r="T444" i="2"/>
  <c r="Q1258" i="1"/>
  <c r="T443" i="2"/>
  <c r="Q1371" i="1"/>
  <c r="T442" i="2"/>
  <c r="Q1255" i="1"/>
  <c r="T440" i="2"/>
  <c r="Q1253" i="1"/>
  <c r="T439" i="2"/>
  <c r="Q1279" i="1"/>
  <c r="T438" i="2"/>
  <c r="Q1278" i="1"/>
  <c r="T437" i="2"/>
  <c r="Q1275" i="1"/>
  <c r="K48" i="7"/>
  <c r="Q12" i="1"/>
  <c r="K47" i="7"/>
  <c r="Q1060" i="1"/>
  <c r="T436" i="2"/>
  <c r="Q1274" i="1"/>
  <c r="K46" i="7"/>
  <c r="Q10" i="1"/>
  <c r="K45" i="7"/>
  <c r="Q9" i="1"/>
  <c r="T435" i="2"/>
  <c r="Q1270" i="1"/>
  <c r="T434" i="2"/>
  <c r="Q1281" i="1"/>
  <c r="K41" i="7"/>
  <c r="Q8" i="1"/>
  <c r="Q1269" i="1"/>
  <c r="T433" i="2"/>
  <c r="T432" i="2"/>
  <c r="Q1516" i="1"/>
  <c r="Q7" i="1"/>
  <c r="T431" i="2"/>
  <c r="Q1549" i="1"/>
  <c r="T430" i="2"/>
  <c r="Q1298" i="1"/>
  <c r="T429" i="2"/>
  <c r="Q971" i="1"/>
  <c r="T428" i="2"/>
  <c r="Q3838" i="1"/>
  <c r="K40" i="7"/>
  <c r="T427" i="2"/>
  <c r="Q852" i="1"/>
  <c r="T426" i="2"/>
  <c r="Q1536" i="1"/>
  <c r="Q646" i="1"/>
  <c r="K39" i="7" l="1"/>
  <c r="T425" i="2"/>
  <c r="Q20" i="1"/>
  <c r="K38" i="7"/>
  <c r="T424" i="2"/>
  <c r="Q32" i="1"/>
  <c r="T423" i="2"/>
  <c r="Q1293" i="1"/>
  <c r="T422" i="2"/>
  <c r="Q1291" i="1"/>
  <c r="T421" i="2"/>
  <c r="Q1297" i="1"/>
  <c r="Q862" i="1"/>
  <c r="T420" i="2"/>
  <c r="Q1289" i="1"/>
  <c r="K37" i="7"/>
  <c r="T419" i="2"/>
  <c r="Q4055" i="1"/>
  <c r="T418" i="2"/>
  <c r="Q867" i="1"/>
  <c r="T417" i="2"/>
  <c r="Q4054" i="1"/>
  <c r="T416" i="2"/>
  <c r="Q1065" i="1"/>
  <c r="Q878" i="1"/>
  <c r="T415" i="2"/>
  <c r="Q885" i="1"/>
  <c r="T414" i="2"/>
  <c r="Q286" i="1"/>
  <c r="T413" i="2"/>
  <c r="Q892" i="1"/>
  <c r="T412" i="2"/>
  <c r="Q1361" i="1"/>
  <c r="T411" i="2"/>
  <c r="Q1286" i="1"/>
  <c r="K36" i="7"/>
  <c r="T410" i="2"/>
  <c r="Q872" i="1"/>
  <c r="Q23" i="1"/>
  <c r="K35" i="7"/>
  <c r="T409" i="2"/>
  <c r="Q251" i="1"/>
  <c r="Q22" i="1"/>
  <c r="T408" i="2"/>
  <c r="Q796" i="1"/>
  <c r="T403" i="2"/>
  <c r="T402" i="2"/>
  <c r="Q1296" i="1"/>
  <c r="Q1295" i="1"/>
  <c r="T401" i="2"/>
  <c r="Q1541" i="1"/>
  <c r="T400" i="2"/>
  <c r="Q1545" i="1"/>
  <c r="T399" i="2"/>
  <c r="Q1314" i="1"/>
  <c r="T398" i="2"/>
  <c r="Q1284" i="1"/>
  <c r="T397" i="2"/>
  <c r="Q1515" i="1"/>
  <c r="T396" i="2"/>
  <c r="Q1461" i="1"/>
  <c r="Q57" i="1"/>
  <c r="T395" i="2"/>
  <c r="Q1548" i="1"/>
  <c r="T394" i="2"/>
  <c r="Q3836" i="1"/>
  <c r="Q970" i="1"/>
  <c r="K31" i="7"/>
  <c r="T393" i="2"/>
  <c r="Q19" i="1"/>
  <c r="K30" i="7"/>
  <c r="Q645" i="1"/>
  <c r="T392" i="2"/>
  <c r="Q1535" i="1"/>
  <c r="T391" i="2"/>
  <c r="Q1292" i="1"/>
  <c r="T390" i="2"/>
  <c r="Q1290" i="1"/>
  <c r="T389" i="2"/>
  <c r="Q1288" i="1"/>
  <c r="Q3837" i="1"/>
  <c r="T388" i="2"/>
  <c r="Q4053" i="1"/>
  <c r="K29" i="7"/>
  <c r="T387" i="2"/>
  <c r="Q21" i="1"/>
  <c r="Q4052" i="1"/>
  <c r="Q3972" i="1"/>
  <c r="K28" i="7"/>
  <c r="T385" i="2"/>
  <c r="T386" i="2"/>
  <c r="Q884" i="1"/>
  <c r="Q1287" i="1" l="1"/>
  <c r="T384" i="2"/>
  <c r="Q877" i="1"/>
  <c r="K27" i="7"/>
  <c r="T383" i="2"/>
  <c r="Q891" i="1"/>
  <c r="T382" i="2"/>
  <c r="Q1360" i="1"/>
  <c r="K26" i="7"/>
  <c r="T381" i="2"/>
  <c r="Q871" i="1"/>
  <c r="K25" i="7"/>
  <c r="T380" i="2"/>
  <c r="Q250" i="1"/>
  <c r="T379" i="2"/>
  <c r="Q1285" i="1"/>
  <c r="T378" i="2"/>
  <c r="Q795" i="1"/>
  <c r="T356" i="2"/>
  <c r="Q841" i="1"/>
  <c r="Q1540" i="1"/>
  <c r="T354" i="2"/>
  <c r="T355" i="2"/>
  <c r="T353" i="2"/>
  <c r="Q1313" i="1"/>
  <c r="T352" i="2"/>
  <c r="Q56" i="1"/>
  <c r="T351" i="2"/>
  <c r="Q1588" i="1"/>
  <c r="T350" i="2"/>
  <c r="Q1282" i="1"/>
  <c r="K10" i="7"/>
  <c r="T349" i="2"/>
  <c r="Q40" i="1"/>
  <c r="T348" i="2"/>
  <c r="Q3835" i="1"/>
  <c r="T347" i="2"/>
  <c r="Q1547" i="1"/>
  <c r="Q969" i="1"/>
  <c r="T345" i="2"/>
  <c r="Q851" i="1"/>
  <c r="K8" i="7"/>
  <c r="T344" i="2"/>
  <c r="Q644" i="1"/>
  <c r="K6" i="7"/>
  <c r="T343" i="2"/>
  <c r="Q18" i="1"/>
  <c r="T342" i="2"/>
  <c r="Q674" i="1"/>
  <c r="T341" i="2"/>
  <c r="Q1534" i="1"/>
  <c r="T340" i="2"/>
  <c r="Q433" i="1"/>
  <c r="T339" i="2"/>
  <c r="Q1338" i="1"/>
  <c r="T338" i="2"/>
  <c r="Q3912" i="1"/>
  <c r="T337" i="2"/>
  <c r="Q4051" i="1"/>
  <c r="K5" i="7"/>
  <c r="T336" i="2"/>
  <c r="Q866" i="1"/>
  <c r="T335" i="2"/>
  <c r="T334" i="2"/>
  <c r="Q965" i="1"/>
  <c r="T333" i="2"/>
  <c r="Q1359" i="1"/>
  <c r="K4" i="7"/>
  <c r="T332" i="2"/>
  <c r="Q883" i="1"/>
  <c r="T331" i="2"/>
  <c r="Q285" i="1"/>
  <c r="K3" i="7"/>
  <c r="T330" i="2"/>
  <c r="Q890" i="1"/>
  <c r="T329" i="2"/>
  <c r="Q961" i="1"/>
  <c r="T328" i="2"/>
  <c r="Q1503" i="1"/>
  <c r="K2" i="7"/>
  <c r="Q794" i="1"/>
  <c r="Q144" i="1"/>
  <c r="T327" i="2"/>
  <c r="Q4050" i="1"/>
  <c r="Q155" i="1"/>
  <c r="T326" i="2"/>
  <c r="Q3894" i="1"/>
  <c r="Q4049" i="1"/>
  <c r="Q122" i="1"/>
  <c r="T325" i="2"/>
  <c r="Q1098" i="1"/>
  <c r="Q905" i="1"/>
  <c r="T324" i="2"/>
  <c r="Q1134" i="1"/>
  <c r="T323" i="2"/>
  <c r="Q927" i="1"/>
  <c r="Q1152" i="1"/>
  <c r="T322" i="2"/>
  <c r="Q3910" i="1"/>
  <c r="Q121" i="1"/>
  <c r="Q925" i="1"/>
  <c r="T321" i="2"/>
  <c r="Q1337" i="1"/>
  <c r="T320" i="2"/>
  <c r="Q1242" i="1"/>
  <c r="T319" i="2"/>
  <c r="Q1139" i="1"/>
  <c r="T318" i="2"/>
  <c r="Q922" i="1"/>
  <c r="T317" i="2"/>
  <c r="Q1233" i="1"/>
  <c r="Q602" i="1"/>
  <c r="Q119" i="1"/>
  <c r="D306" i="4" l="1"/>
  <c r="D305" i="4"/>
  <c r="D304" i="4"/>
  <c r="D303" i="4"/>
  <c r="D302" i="4"/>
  <c r="D301" i="4"/>
  <c r="D300" i="4"/>
  <c r="T315" i="2" l="1"/>
  <c r="Q118" i="1"/>
  <c r="T314" i="2"/>
  <c r="Q771" i="1"/>
  <c r="T313" i="2"/>
  <c r="Q138" i="1"/>
  <c r="T312" i="2"/>
  <c r="Q762" i="1"/>
  <c r="Q115" i="1"/>
  <c r="Q1056" i="1"/>
  <c r="T311" i="2"/>
  <c r="Q462" i="1"/>
  <c r="T310" i="2"/>
  <c r="Q451" i="1"/>
  <c r="T309" i="2"/>
  <c r="Q1232" i="1"/>
  <c r="T308" i="2"/>
  <c r="Q1336" i="1"/>
  <c r="T307" i="2"/>
  <c r="Q714" i="1"/>
  <c r="Q134" i="1"/>
  <c r="Q915" i="1"/>
  <c r="T306" i="2"/>
  <c r="Q1352" i="1"/>
  <c r="T305" i="2"/>
  <c r="Q474" i="1"/>
  <c r="T304" i="2"/>
  <c r="Q1332" i="1"/>
  <c r="T303" i="2"/>
  <c r="Q309" i="1"/>
  <c r="T302" i="2"/>
  <c r="Q143" i="1"/>
  <c r="T301" i="2"/>
  <c r="Q3893" i="1"/>
  <c r="Q3892" i="1"/>
  <c r="T300" i="2"/>
  <c r="T299" i="2"/>
  <c r="Q1328" i="1"/>
  <c r="Q4048" i="1"/>
  <c r="T298" i="2"/>
  <c r="Q3895" i="1"/>
  <c r="T297" i="2"/>
  <c r="Q3956" i="1"/>
  <c r="Q154" i="1"/>
  <c r="T296" i="2"/>
  <c r="Q153" i="1"/>
  <c r="T295" i="2"/>
  <c r="Q1138" i="1"/>
  <c r="T294" i="2"/>
  <c r="Q3991" i="1"/>
  <c r="T293" i="2"/>
  <c r="Q1230" i="1"/>
  <c r="T292" i="2"/>
  <c r="Q3911" i="1"/>
  <c r="Q904" i="1"/>
  <c r="T290" i="2" l="1"/>
  <c r="Q1484" i="1"/>
  <c r="T289" i="2"/>
  <c r="Q3907" i="1"/>
  <c r="T288" i="2"/>
  <c r="Q1229" i="1"/>
  <c r="Q149" i="1"/>
  <c r="Q601" i="1"/>
  <c r="T287" i="2"/>
  <c r="Q137" i="1"/>
  <c r="T286" i="2"/>
  <c r="Q386" i="1"/>
  <c r="Q146" i="1"/>
  <c r="T285" i="2"/>
  <c r="Q450" i="1"/>
  <c r="T284" i="2"/>
  <c r="Q770" i="1"/>
  <c r="T283" i="2"/>
  <c r="Q461" i="1"/>
  <c r="T282" i="2"/>
  <c r="Q761" i="1"/>
  <c r="T281" i="2"/>
  <c r="Q914" i="1"/>
  <c r="T280" i="2"/>
  <c r="Q473" i="1"/>
  <c r="D272" i="4"/>
  <c r="D271" i="4"/>
  <c r="D269" i="4"/>
  <c r="D268" i="4"/>
  <c r="D267" i="4"/>
  <c r="D266" i="4"/>
  <c r="D265" i="4"/>
  <c r="D256" i="4" l="1"/>
  <c r="D255" i="4"/>
  <c r="D254" i="4"/>
  <c r="D253" i="4"/>
  <c r="D250" i="4"/>
  <c r="D249" i="4"/>
  <c r="D248" i="4"/>
  <c r="D247" i="4"/>
  <c r="D246" i="4"/>
  <c r="D245" i="4"/>
  <c r="D244" i="4"/>
  <c r="T279" i="2"/>
  <c r="Q1355" i="1"/>
  <c r="T278" i="2"/>
  <c r="Q713" i="1"/>
  <c r="Q145" i="1"/>
  <c r="Q133" i="1"/>
  <c r="T277" i="2"/>
  <c r="Q1496" i="1"/>
  <c r="Q3906" i="1"/>
  <c r="T276" i="2"/>
  <c r="Q609" i="1"/>
  <c r="T275" i="2"/>
  <c r="Q693" i="1"/>
  <c r="T274" i="2"/>
  <c r="T273" i="2"/>
  <c r="Q1038" i="1"/>
  <c r="Q142" i="1"/>
  <c r="Q4047" i="1"/>
  <c r="T272" i="2"/>
  <c r="Q4046" i="1"/>
  <c r="Q1228" i="1"/>
  <c r="T271" i="2"/>
  <c r="T270" i="2"/>
  <c r="Q903" i="1"/>
  <c r="T269" i="2"/>
  <c r="Q1483" i="1"/>
  <c r="T268" i="2"/>
  <c r="Q1526" i="1"/>
  <c r="T267" i="2"/>
  <c r="Q3905" i="1"/>
  <c r="Q136" i="1"/>
  <c r="T266" i="2"/>
  <c r="Q1490" i="1"/>
  <c r="T265" i="2"/>
  <c r="Q769" i="1"/>
  <c r="T264" i="2"/>
  <c r="Q760" i="1"/>
  <c r="T263" i="2"/>
  <c r="Q460" i="1"/>
  <c r="T262" i="2"/>
  <c r="Q449" i="1"/>
  <c r="T261" i="2"/>
  <c r="Q1601" i="1"/>
  <c r="T260" i="2"/>
  <c r="Q472" i="1"/>
  <c r="T259" i="2"/>
  <c r="Q308" i="1"/>
  <c r="Q132" i="1"/>
  <c r="T258" i="2"/>
  <c r="Q1351" i="1"/>
  <c r="T257" i="2"/>
  <c r="Q600" i="1"/>
  <c r="T256" i="2"/>
  <c r="Q712" i="1"/>
  <c r="T255" i="2"/>
  <c r="Q913" i="1"/>
  <c r="T254" i="2"/>
  <c r="Q1522" i="1"/>
  <c r="Q404" i="1"/>
  <c r="T249" i="2"/>
  <c r="T248" i="2"/>
  <c r="T247" i="2"/>
  <c r="Q3916" i="1"/>
  <c r="Q1069" i="1"/>
  <c r="Q3898" i="1"/>
  <c r="T246" i="2"/>
  <c r="Q947" i="1"/>
  <c r="T253" i="2"/>
  <c r="T252" i="2"/>
  <c r="T251" i="2"/>
  <c r="T250" i="2"/>
  <c r="T239" i="2"/>
  <c r="T237" i="2"/>
  <c r="T236" i="2"/>
  <c r="T207" i="2"/>
  <c r="T206" i="2"/>
  <c r="T205" i="2"/>
  <c r="T204" i="2"/>
  <c r="T203" i="2"/>
  <c r="T202" i="2"/>
  <c r="T201" i="2"/>
  <c r="T200" i="2"/>
  <c r="T199" i="2"/>
  <c r="T198" i="2"/>
  <c r="T197" i="2"/>
  <c r="T179" i="2"/>
  <c r="T178" i="2"/>
  <c r="T177" i="2"/>
  <c r="T176" i="2"/>
  <c r="T175" i="2"/>
  <c r="T174" i="2"/>
  <c r="T173" i="2"/>
  <c r="T172" i="2"/>
  <c r="T171" i="2"/>
  <c r="T170" i="2"/>
  <c r="T149" i="2"/>
  <c r="T148" i="2"/>
  <c r="T146" i="2"/>
  <c r="T145" i="2"/>
  <c r="T144" i="2"/>
  <c r="T143" i="2"/>
  <c r="T142" i="2"/>
  <c r="T141" i="2"/>
  <c r="T140" i="2"/>
  <c r="T139" i="2"/>
  <c r="T138" i="2"/>
  <c r="T137" i="2"/>
  <c r="T136" i="2"/>
  <c r="D243" i="4"/>
  <c r="D242" i="4"/>
  <c r="D241" i="4"/>
  <c r="D240" i="4"/>
  <c r="D239" i="4"/>
  <c r="D238" i="4"/>
  <c r="D237" i="4"/>
  <c r="D236" i="4"/>
  <c r="D235" i="4"/>
  <c r="D234" i="4"/>
  <c r="D233" i="4"/>
  <c r="Q1243" i="1"/>
  <c r="Q3920" i="1"/>
  <c r="Q167" i="1"/>
  <c r="Q1587" i="1"/>
  <c r="Q156" i="1"/>
  <c r="Q564" i="1"/>
  <c r="Q174" i="1"/>
  <c r="Q161" i="1"/>
  <c r="Q163" i="1"/>
  <c r="Q1472" i="1"/>
  <c r="Q1344" i="1"/>
  <c r="Q1370" i="1"/>
  <c r="Q1368" i="1"/>
  <c r="Q1363" i="1"/>
  <c r="Q1362" i="1"/>
  <c r="Q1080" i="1"/>
  <c r="Q748" i="1"/>
  <c r="Q1081" i="1"/>
  <c r="Q752" i="1"/>
  <c r="Q998" i="1"/>
  <c r="Q1077" i="1"/>
  <c r="Q164" i="1"/>
  <c r="Q165" i="1"/>
  <c r="Q182" i="1"/>
  <c r="Q1591" i="1"/>
  <c r="Q3915" i="1"/>
  <c r="Q166" i="1"/>
  <c r="Q1552" i="1"/>
  <c r="Q1364" i="1"/>
  <c r="Q170" i="1"/>
  <c r="Q3919" i="1"/>
  <c r="Q1554" i="1"/>
  <c r="Q1471" i="1"/>
  <c r="Q173" i="1"/>
  <c r="Q1387" i="1"/>
  <c r="Q1367" i="1"/>
  <c r="Q747" i="1"/>
  <c r="Q751" i="1"/>
  <c r="Q1001" i="1"/>
  <c r="Q3917" i="1"/>
  <c r="Q1563" i="1"/>
  <c r="Q1157" i="1"/>
  <c r="Q898" i="1"/>
  <c r="T245" i="2"/>
  <c r="T244" i="2"/>
  <c r="Q129" i="1"/>
  <c r="T243" i="2"/>
  <c r="Q578" i="1"/>
  <c r="D176" i="6"/>
  <c r="Q85" i="1"/>
  <c r="Q3866" i="1"/>
  <c r="Q89" i="1"/>
  <c r="T242" i="2"/>
  <c r="Q126" i="1"/>
  <c r="Q3939" i="1"/>
  <c r="Q739" i="1"/>
  <c r="Q123" i="1"/>
  <c r="Q97" i="1"/>
  <c r="Q525" i="1"/>
  <c r="Q69" i="1"/>
  <c r="Q124" i="1"/>
  <c r="T240" i="2"/>
  <c r="Q827" i="1"/>
  <c r="T235" i="2"/>
  <c r="Q3897" i="1"/>
  <c r="T234" i="2"/>
  <c r="Q3899" i="1"/>
  <c r="T233" i="2"/>
  <c r="Q1348" i="1"/>
  <c r="D168" i="6"/>
  <c r="Q102" i="1"/>
  <c r="D174" i="6"/>
  <c r="Q946" i="1"/>
  <c r="Q897" i="1"/>
  <c r="D171" i="6"/>
  <c r="T232" i="2"/>
  <c r="Q835" i="1"/>
  <c r="D167" i="6"/>
  <c r="Q100" i="1"/>
  <c r="Q3901" i="1"/>
  <c r="D163" i="6"/>
  <c r="T231" i="2"/>
  <c r="Q60" i="1"/>
  <c r="T230" i="2"/>
  <c r="Q990" i="1"/>
  <c r="Q88" i="1"/>
  <c r="Q816" i="1"/>
  <c r="Q490" i="1"/>
  <c r="T229" i="2"/>
  <c r="T228" i="2"/>
  <c r="Q441" i="1"/>
  <c r="Q3865" i="1"/>
  <c r="Q125" i="1"/>
  <c r="D170" i="6"/>
  <c r="D164" i="6"/>
  <c r="Q738" i="1"/>
  <c r="Q63" i="1"/>
  <c r="Q127" i="1"/>
  <c r="Q524" i="1"/>
  <c r="T227" i="2"/>
  <c r="Q43" i="1"/>
  <c r="T226" i="2"/>
  <c r="T225" i="2"/>
  <c r="T224" i="2"/>
  <c r="T223" i="2"/>
  <c r="Q1067" i="1"/>
  <c r="Q3902" i="1"/>
  <c r="Q1590" i="1"/>
  <c r="Q1347" i="1"/>
  <c r="T222" i="2"/>
  <c r="Q3903" i="1"/>
  <c r="T221" i="2"/>
  <c r="Q1320" i="1"/>
  <c r="T220" i="2"/>
  <c r="Q1341" i="1"/>
  <c r="Q834" i="1"/>
  <c r="T219" i="2"/>
  <c r="Q940" i="1"/>
  <c r="Q483" i="1"/>
  <c r="Q950" i="1"/>
  <c r="Q131" i="1"/>
  <c r="Q1124" i="1"/>
  <c r="Q79" i="1"/>
  <c r="Q729" i="1"/>
  <c r="Q128" i="1"/>
  <c r="Q130" i="1"/>
  <c r="T218" i="2"/>
  <c r="Q81" i="1"/>
  <c r="T217" i="2"/>
  <c r="Q576" i="1"/>
  <c r="Q3854" i="1"/>
  <c r="T216" i="2"/>
  <c r="Q815" i="1"/>
  <c r="Q3864" i="1"/>
  <c r="Q4043" i="1"/>
  <c r="Q989" i="1"/>
  <c r="Q87" i="1"/>
  <c r="T215" i="2"/>
  <c r="Q3849" i="1"/>
  <c r="Q489" i="1"/>
  <c r="T214" i="2"/>
  <c r="T213" i="2"/>
  <c r="Q3872" i="1"/>
  <c r="T212" i="2"/>
  <c r="Q3860" i="1"/>
  <c r="Q722" i="1"/>
  <c r="T211" i="2"/>
  <c r="Q533" i="1"/>
  <c r="T210" i="2"/>
  <c r="Q3904" i="1"/>
  <c r="Q62" i="1"/>
  <c r="Q523" i="1"/>
  <c r="Q3867" i="1"/>
  <c r="Q67" i="1"/>
  <c r="T209" i="2"/>
  <c r="Q977" i="1"/>
  <c r="T208" i="2"/>
  <c r="Q42" i="1"/>
  <c r="Q46" i="1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Q3918" i="1"/>
  <c r="Q1470" i="1"/>
  <c r="Q563" i="1"/>
  <c r="Q1365" i="1"/>
  <c r="Q1366" i="1"/>
  <c r="Q3990" i="1"/>
  <c r="Q1343" i="1"/>
  <c r="Q1369" i="1"/>
  <c r="Q177" i="1"/>
  <c r="Q1075" i="1"/>
  <c r="Q1000" i="1"/>
  <c r="Q179" i="1"/>
  <c r="Q180" i="1"/>
  <c r="D227" i="4"/>
  <c r="D226" i="4"/>
  <c r="D225" i="4"/>
  <c r="D224" i="4"/>
  <c r="D223" i="4"/>
  <c r="D222" i="4"/>
  <c r="D221" i="4"/>
  <c r="D220" i="4"/>
  <c r="D219" i="4"/>
  <c r="D205" i="4" l="1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Q3900" i="1"/>
  <c r="Q3876" i="1"/>
  <c r="Q1340" i="1"/>
  <c r="Q941" i="1"/>
  <c r="Q485" i="1"/>
  <c r="Q169" i="1"/>
  <c r="Q4045" i="1"/>
  <c r="Q3851" i="1"/>
  <c r="Q991" i="1"/>
  <c r="Q817" i="1"/>
  <c r="Q3856" i="1"/>
  <c r="Q491" i="1"/>
  <c r="Q985" i="1"/>
  <c r="Q535" i="1"/>
  <c r="Q64" i="1"/>
  <c r="Q168" i="1"/>
  <c r="Q44" i="1"/>
  <c r="Q48" i="1"/>
  <c r="Q105" i="1"/>
  <c r="Q1068" i="1"/>
  <c r="Q1519" i="1"/>
  <c r="Q1321" i="1"/>
  <c r="Q101" i="1"/>
  <c r="Q1073" i="1"/>
  <c r="Q730" i="1"/>
  <c r="Q484" i="1"/>
  <c r="Q1125" i="1"/>
  <c r="Q82" i="1"/>
  <c r="Q935" i="1"/>
  <c r="Q577" i="1"/>
  <c r="Q3855" i="1"/>
  <c r="Q3968" i="1"/>
  <c r="Q3850" i="1"/>
  <c r="Q534" i="1"/>
  <c r="Q3873" i="1"/>
  <c r="Q984" i="1"/>
  <c r="Q3861" i="1"/>
  <c r="Q96" i="1"/>
  <c r="Q68" i="1"/>
  <c r="Q94" i="1"/>
  <c r="T196" i="2" l="1"/>
  <c r="T195" i="2"/>
  <c r="D184" i="6"/>
  <c r="D186" i="6"/>
  <c r="D179" i="6"/>
  <c r="D183" i="6"/>
  <c r="D217" i="4"/>
  <c r="D216" i="4"/>
  <c r="D215" i="4"/>
  <c r="D214" i="4"/>
  <c r="D213" i="4"/>
  <c r="D212" i="4"/>
  <c r="D211" i="4"/>
  <c r="D209" i="4"/>
  <c r="D208" i="4"/>
  <c r="D207" i="4"/>
  <c r="D206" i="4"/>
  <c r="D175" i="4"/>
  <c r="T194" i="2" l="1"/>
  <c r="Q840" i="1"/>
  <c r="Q53" i="1"/>
  <c r="Q3868" i="1"/>
  <c r="Q38" i="1"/>
  <c r="T193" i="2" l="1"/>
  <c r="Q70" i="1"/>
  <c r="Q55" i="1"/>
  <c r="Q3869" i="1"/>
  <c r="Q3870" i="1"/>
  <c r="T192" i="2"/>
  <c r="Q1066" i="1"/>
  <c r="T191" i="2"/>
  <c r="Q945" i="1"/>
  <c r="Q71" i="1"/>
  <c r="T190" i="2"/>
  <c r="Q896" i="1"/>
  <c r="Q939" i="1"/>
  <c r="T189" i="2"/>
  <c r="Q833" i="1"/>
  <c r="T188" i="2"/>
  <c r="Q4042" i="1"/>
  <c r="Q76" i="1"/>
  <c r="Q482" i="1"/>
  <c r="Q78" i="1"/>
  <c r="T187" i="2"/>
  <c r="Q80" i="1"/>
  <c r="Q988" i="1"/>
  <c r="Q575" i="1"/>
  <c r="Q84" i="1"/>
  <c r="Q3938" i="1"/>
  <c r="T186" i="2"/>
  <c r="Q3848" i="1"/>
  <c r="Q440" i="1"/>
  <c r="T185" i="2"/>
  <c r="Q59" i="1"/>
  <c r="Q3863" i="1"/>
  <c r="Q86" i="1"/>
  <c r="Q721" i="1"/>
  <c r="T184" i="2"/>
  <c r="Q3871" i="1"/>
  <c r="T183" i="2"/>
  <c r="Q3967" i="1"/>
  <c r="T182" i="2"/>
  <c r="Q3847" i="1"/>
  <c r="Q737" i="1"/>
  <c r="T181" i="2"/>
  <c r="Q522" i="1"/>
  <c r="T180" i="2"/>
  <c r="Q41" i="1"/>
  <c r="Q45" i="1"/>
  <c r="T169" i="2"/>
  <c r="Q973" i="1"/>
  <c r="Q49" i="1"/>
  <c r="T168" i="2"/>
  <c r="Q52" i="1"/>
  <c r="T167" i="2"/>
  <c r="Q1312" i="1"/>
  <c r="T166" i="2"/>
  <c r="Q1543" i="1"/>
  <c r="Q54" i="1"/>
  <c r="T165" i="2"/>
  <c r="Q1589" i="1"/>
  <c r="T164" i="2"/>
  <c r="Q1315" i="1"/>
  <c r="T163" i="2"/>
  <c r="Q1072" i="1"/>
  <c r="T162" i="2"/>
  <c r="Q1324" i="1"/>
  <c r="T161" i="2"/>
  <c r="Q1524" i="1"/>
  <c r="T160" i="2"/>
  <c r="Q1319" i="1"/>
  <c r="T159" i="2"/>
  <c r="Q1506" i="1"/>
  <c r="T158" i="2"/>
  <c r="Q1509" i="1"/>
  <c r="Q481" i="1"/>
  <c r="Q895" i="1"/>
  <c r="Q1123" i="1"/>
  <c r="T157" i="2"/>
  <c r="Q832" i="1"/>
  <c r="Q949" i="1"/>
  <c r="Q934" i="1"/>
  <c r="T156" i="2"/>
  <c r="Q574" i="1"/>
  <c r="T155" i="2"/>
  <c r="Q3921" i="1"/>
  <c r="Q1322" i="1"/>
  <c r="Q58" i="1"/>
  <c r="Q987" i="1"/>
  <c r="T153" i="2"/>
  <c r="Q532" i="1"/>
  <c r="T152" i="2"/>
  <c r="Q3853" i="1"/>
  <c r="Q61" i="1"/>
  <c r="T151" i="2"/>
  <c r="Q3859" i="1"/>
  <c r="Q720" i="1"/>
  <c r="Q3862" i="1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Q50" i="1"/>
  <c r="Q93" i="1"/>
  <c r="Q1323" i="1"/>
  <c r="Q107" i="1"/>
  <c r="Q28" i="1"/>
  <c r="Q801" i="1"/>
  <c r="Q844" i="1"/>
  <c r="Q29" i="1"/>
  <c r="Q846" i="1"/>
  <c r="Q30" i="1"/>
  <c r="Q643" i="1"/>
  <c r="Q975" i="1"/>
  <c r="Q850" i="1"/>
  <c r="Q31" i="1"/>
  <c r="Q1533" i="1"/>
  <c r="Q4041" i="1"/>
  <c r="Q673" i="1"/>
  <c r="Q4040" i="1"/>
  <c r="Q856" i="1"/>
  <c r="Q860" i="1"/>
  <c r="Q33" i="1"/>
  <c r="Q1063" i="1"/>
  <c r="Q34" i="1"/>
  <c r="Q882" i="1"/>
  <c r="Q1310" i="1"/>
  <c r="Q870" i="1"/>
  <c r="Q1451" i="1"/>
  <c r="Q284" i="1"/>
  <c r="Q960" i="1"/>
  <c r="Q35" i="1"/>
  <c r="Q36" i="1"/>
  <c r="Q876" i="1"/>
  <c r="Q1064" i="1"/>
  <c r="Q793" i="1"/>
  <c r="Q839" i="1"/>
  <c r="Q1539" i="1"/>
  <c r="Q37" i="1"/>
  <c r="Q1311" i="1"/>
  <c r="Q39" i="1"/>
  <c r="Q800" i="1"/>
  <c r="Q1546" i="1"/>
  <c r="Q843" i="1"/>
  <c r="Q788" i="1"/>
  <c r="Q967" i="1"/>
  <c r="Q849" i="1"/>
  <c r="Q642" i="1"/>
  <c r="Q974" i="1"/>
  <c r="Q672" i="1"/>
  <c r="Q3999" i="1"/>
  <c r="Q432" i="1"/>
  <c r="Q855" i="1"/>
  <c r="Q859" i="1"/>
  <c r="Q864" i="1"/>
  <c r="Q3998" i="1"/>
  <c r="Q283" i="1"/>
  <c r="Q869" i="1"/>
  <c r="Q888" i="1"/>
  <c r="Q881" i="1"/>
  <c r="Q959" i="1"/>
  <c r="Q1502" i="1"/>
  <c r="Q875" i="1"/>
  <c r="Q249" i="1"/>
  <c r="Q792" i="1"/>
  <c r="Q1538" i="1"/>
  <c r="Q1168" i="1"/>
  <c r="Q838" i="1"/>
  <c r="Q1537" i="1"/>
  <c r="Q3980" i="1"/>
  <c r="Q3979" i="1"/>
  <c r="Q966" i="1"/>
  <c r="Q641" i="1"/>
  <c r="Q671" i="1"/>
  <c r="Q848" i="1"/>
  <c r="Q3997" i="1"/>
  <c r="Q1532" i="1"/>
  <c r="Q3996" i="1"/>
  <c r="Q854" i="1"/>
  <c r="Q253" i="1"/>
  <c r="Q858" i="1"/>
  <c r="Q3978" i="1"/>
  <c r="Q874" i="1"/>
  <c r="Q962" i="1"/>
  <c r="Q887" i="1"/>
  <c r="Q880" i="1"/>
  <c r="Q958" i="1"/>
  <c r="Q1530" i="1"/>
  <c r="Q791" i="1"/>
  <c r="T121" i="2" l="1"/>
  <c r="Q3977" i="1"/>
  <c r="T120" i="2"/>
  <c r="Q1346" i="1"/>
  <c r="T119" i="2"/>
  <c r="T118" i="2"/>
  <c r="Q1499" i="1"/>
  <c r="T117" i="2"/>
  <c r="Q944" i="1"/>
  <c r="Q938" i="1"/>
  <c r="Q480" i="1"/>
  <c r="Q728" i="1"/>
  <c r="Q933" i="1"/>
  <c r="T116" i="2"/>
  <c r="Q948" i="1"/>
  <c r="Q3976" i="1"/>
  <c r="Q931" i="1"/>
  <c r="T113" i="2"/>
  <c r="Q986" i="1"/>
  <c r="T112" i="2"/>
  <c r="Q531" i="1"/>
  <c r="Q982" i="1"/>
  <c r="T111" i="2"/>
  <c r="Q3966" i="1"/>
  <c r="Q719" i="1" l="1"/>
  <c r="Q736" i="1"/>
  <c r="Q976" i="1"/>
  <c r="Q825" i="1"/>
  <c r="T110" i="2"/>
  <c r="Q499" i="1"/>
  <c r="T109" i="2"/>
  <c r="Q521" i="1"/>
  <c r="Q268" i="1"/>
  <c r="Q823" i="1"/>
  <c r="T108" i="2"/>
  <c r="Q591" i="1"/>
  <c r="Q414" i="1"/>
  <c r="Q821" i="1"/>
  <c r="D48" i="5" l="1"/>
  <c r="D47" i="5"/>
  <c r="D167" i="4" l="1"/>
  <c r="D166" i="4"/>
  <c r="D164" i="4"/>
  <c r="D163" i="4"/>
  <c r="D162" i="4"/>
  <c r="D126" i="6"/>
  <c r="D161" i="4"/>
  <c r="Q954" i="1"/>
  <c r="Q779" i="1"/>
  <c r="Q911" i="1"/>
  <c r="Q4038" i="1"/>
  <c r="Q955" i="1"/>
  <c r="Q924" i="1"/>
  <c r="Q921" i="1"/>
  <c r="Q704" i="1"/>
  <c r="Q599" i="1"/>
  <c r="Q3975" i="1"/>
  <c r="T107" i="2"/>
  <c r="Q385" i="1"/>
  <c r="T106" i="2"/>
  <c r="Q768" i="1"/>
  <c r="Q448" i="1"/>
  <c r="T105" i="2"/>
  <c r="Q459" i="1"/>
  <c r="Q1037" i="1"/>
  <c r="Q3983" i="1"/>
  <c r="Q3959" i="1"/>
  <c r="Q1226" i="1"/>
  <c r="Q1173" i="1"/>
  <c r="Q902" i="1"/>
  <c r="Q1482" i="1"/>
  <c r="Q919" i="1"/>
  <c r="Q1568" i="1"/>
  <c r="Q296" i="1"/>
  <c r="Q397" i="1"/>
  <c r="Q3981" i="1" l="1"/>
  <c r="Q1551" i="1"/>
  <c r="Q562" i="1"/>
  <c r="Q1553" i="1"/>
  <c r="Q756" i="1"/>
  <c r="Q549" i="1"/>
  <c r="Q1385" i="1" l="1"/>
  <c r="Q1557" i="1"/>
  <c r="Q746" i="1"/>
  <c r="Q750" i="1"/>
  <c r="Q993" i="1"/>
  <c r="Q994" i="1"/>
  <c r="Q996" i="1"/>
  <c r="Q3982" i="1"/>
  <c r="Q1512" i="1"/>
  <c r="Q1005" i="1"/>
  <c r="Q1006" i="1"/>
  <c r="Q269" i="1"/>
  <c r="Q627" i="1" l="1"/>
  <c r="Q1163" i="1"/>
  <c r="Q781" i="1"/>
  <c r="Q302" i="1"/>
  <c r="Q4037" i="1"/>
  <c r="Q920" i="1"/>
  <c r="Q3958" i="1"/>
  <c r="Q1112" i="1"/>
  <c r="Q3961" i="1"/>
  <c r="Q907" i="1"/>
  <c r="Q4036" i="1"/>
  <c r="Q4035" i="1"/>
  <c r="Q910" i="1"/>
  <c r="Q1096" i="1"/>
  <c r="Q901" i="1"/>
  <c r="Q4034" i="1"/>
  <c r="Q1151" i="1"/>
  <c r="Q1481" i="1"/>
  <c r="Q1147" i="1"/>
  <c r="Q918" i="1"/>
  <c r="Q711" i="1"/>
  <c r="T89" i="2"/>
  <c r="Q1428" i="1"/>
  <c r="T87" i="2"/>
  <c r="Q1489" i="1"/>
  <c r="Q384" i="1"/>
  <c r="Q912" i="1"/>
  <c r="Q608" i="1"/>
  <c r="T85" i="2"/>
  <c r="Q1495" i="1"/>
  <c r="T84" i="2"/>
  <c r="Q1418" i="1"/>
  <c r="Q307" i="1"/>
  <c r="Q626" i="1"/>
  <c r="Q777" i="1"/>
  <c r="Q301" i="1"/>
  <c r="Q1095" i="1"/>
  <c r="Q1111" i="1"/>
  <c r="Q909" i="1"/>
  <c r="Q906" i="1"/>
  <c r="Q1150" i="1"/>
  <c r="Q900" i="1"/>
  <c r="Q597" i="1"/>
  <c r="T83" i="2" l="1"/>
  <c r="T82" i="2"/>
  <c r="T81" i="2"/>
  <c r="T80" i="2"/>
  <c r="Q561" i="1"/>
  <c r="Q1469" i="1"/>
  <c r="Q1400" i="1"/>
  <c r="Q548" i="1"/>
  <c r="T78" i="2"/>
  <c r="Q1386" i="1"/>
  <c r="Q745" i="1"/>
  <c r="T76" i="2"/>
  <c r="Q1441" i="1"/>
  <c r="T75" i="2"/>
  <c r="Q1449" i="1"/>
  <c r="Q1561" i="1"/>
  <c r="Q255" i="1"/>
  <c r="T71" i="2"/>
  <c r="Q1488" i="1"/>
  <c r="Q457" i="1"/>
  <c r="T69" i="2"/>
  <c r="Q383" i="1"/>
  <c r="Q710" i="1"/>
  <c r="Q691" i="1"/>
  <c r="T67" i="2"/>
  <c r="Q1416" i="1"/>
  <c r="T66" i="2"/>
  <c r="Q1521" i="1"/>
  <c r="T65" i="2"/>
  <c r="Q1494" i="1"/>
  <c r="Q700" i="1"/>
  <c r="T63" i="2" l="1"/>
  <c r="T62" i="2"/>
  <c r="Q1586" i="1"/>
  <c r="Q3989" i="1"/>
  <c r="T61" i="2"/>
  <c r="Q560" i="1"/>
  <c r="T59" i="2"/>
  <c r="Q1468" i="1"/>
  <c r="Q1399" i="1"/>
  <c r="T58" i="2"/>
  <c r="Q1383" i="1"/>
  <c r="Q351" i="1"/>
  <c r="Q744" i="1"/>
  <c r="Q1440" i="1"/>
  <c r="T55" i="2" l="1"/>
  <c r="Q1520" i="1"/>
  <c r="Q1518" i="1"/>
  <c r="Q894" i="1"/>
  <c r="Q893" i="1"/>
  <c r="Q1122" i="1"/>
  <c r="Q479" i="1"/>
  <c r="Q829" i="1"/>
  <c r="Q1459" i="1"/>
  <c r="Q3937" i="1"/>
  <c r="Q814" i="1"/>
  <c r="Q1510" i="1"/>
  <c r="Q488" i="1"/>
  <c r="Q501" i="1"/>
  <c r="Q3965" i="1"/>
  <c r="Q530" i="1"/>
  <c r="Q4031" i="1"/>
  <c r="Q718" i="1"/>
  <c r="Q1169" i="1"/>
  <c r="Q826" i="1"/>
  <c r="Q824" i="1"/>
  <c r="Q735" i="1"/>
  <c r="Q413" i="1"/>
  <c r="Q820" i="1"/>
  <c r="Q498" i="1"/>
  <c r="T52" i="2" l="1"/>
  <c r="T53" i="2"/>
  <c r="Q837" i="1"/>
  <c r="Q1382" i="1"/>
  <c r="Q1167" i="1"/>
  <c r="Q1513" i="1"/>
  <c r="Q799" i="1"/>
  <c r="T50" i="2"/>
  <c r="Q842" i="1"/>
  <c r="D94" i="6"/>
  <c r="T48" i="2"/>
  <c r="Q786" i="1"/>
  <c r="Q845" i="1"/>
  <c r="Q640" i="1"/>
  <c r="Q1623" i="1"/>
  <c r="Q3971" i="1"/>
  <c r="Q4030" i="1"/>
  <c r="Q1616" i="1"/>
  <c r="Q4029" i="1"/>
  <c r="Q1517" i="1"/>
  <c r="Q853" i="1"/>
  <c r="Q863" i="1"/>
  <c r="D100" i="6"/>
  <c r="T45" i="2"/>
  <c r="Q868" i="1"/>
  <c r="Q282" i="1"/>
  <c r="Q1603" i="1"/>
  <c r="Q886" i="1"/>
  <c r="T44" i="2"/>
  <c r="Q790" i="1"/>
  <c r="T43" i="2"/>
  <c r="Q1501" i="1"/>
  <c r="T41" i="2" l="1"/>
  <c r="Q1504" i="1"/>
  <c r="Q726" i="1"/>
  <c r="Q1121" i="1"/>
  <c r="Q478" i="1"/>
  <c r="Q724" i="1"/>
  <c r="Q3964" i="1"/>
  <c r="Q438" i="1"/>
  <c r="Q813" i="1"/>
  <c r="Q3936" i="1"/>
  <c r="Q572" i="1"/>
  <c r="Q529" i="1"/>
  <c r="D83" i="6"/>
  <c r="Q734" i="1"/>
  <c r="Q497" i="1"/>
  <c r="Q733" i="1"/>
  <c r="Q266" i="1"/>
  <c r="Q412" i="1"/>
  <c r="Q1622" i="1"/>
  <c r="T38" i="2"/>
  <c r="Q1460" i="1"/>
  <c r="Q4028" i="1"/>
  <c r="Q725" i="1"/>
  <c r="Q625" i="1" l="1"/>
  <c r="Q776" i="1"/>
  <c r="Q1162" i="1"/>
  <c r="Q1219" i="1"/>
  <c r="Q1110" i="1"/>
  <c r="Q4024" i="1"/>
  <c r="Q1094" i="1"/>
  <c r="Q3957" i="1"/>
  <c r="Q367" i="1"/>
  <c r="Q1137" i="1"/>
  <c r="Q1133" i="1"/>
  <c r="Q783" i="1"/>
  <c r="Q1160" i="1"/>
  <c r="Q4023" i="1"/>
  <c r="Q1479" i="1"/>
  <c r="Q1424" i="1"/>
  <c r="Q1218" i="1"/>
  <c r="Q402" i="1"/>
  <c r="T25" i="2"/>
  <c r="Q1498" i="1"/>
  <c r="Q395" i="1"/>
  <c r="Q467" i="1"/>
  <c r="Q446" i="1"/>
  <c r="Q456" i="1"/>
  <c r="T22" i="2"/>
  <c r="Q1427" i="1"/>
  <c r="Q293" i="1" l="1"/>
  <c r="Q607" i="1"/>
  <c r="Q709" i="1"/>
  <c r="T21" i="2"/>
  <c r="Q1492" i="1"/>
  <c r="Q690" i="1"/>
  <c r="T20" i="2"/>
  <c r="Q1445" i="1"/>
  <c r="Q470" i="1"/>
  <c r="Q424" i="1"/>
  <c r="Q1493" i="1"/>
  <c r="Q699" i="1"/>
  <c r="Q804" i="1" l="1"/>
  <c r="Q785" i="1"/>
  <c r="T40" i="2"/>
  <c r="Q247" i="1"/>
  <c r="Q1458" i="1"/>
  <c r="Q437" i="1" l="1"/>
  <c r="Q716" i="1"/>
  <c r="Q265" i="1"/>
  <c r="D38" i="5"/>
  <c r="D141" i="4"/>
  <c r="D140" i="4"/>
  <c r="D139" i="4"/>
  <c r="D138" i="4"/>
  <c r="D41" i="5"/>
  <c r="D40" i="5"/>
  <c r="D39" i="5"/>
  <c r="T37" i="2"/>
  <c r="T36" i="2"/>
  <c r="Q1500" i="1"/>
  <c r="Q664" i="1"/>
  <c r="Q1166" i="1"/>
  <c r="Q513" i="1"/>
  <c r="Q797" i="1"/>
  <c r="Q335" i="1"/>
  <c r="Q798" i="1"/>
  <c r="T35" i="2"/>
  <c r="T34" i="2"/>
  <c r="Q803" i="1"/>
  <c r="D79" i="6"/>
  <c r="D80" i="6"/>
  <c r="Q805" i="1"/>
  <c r="Q431" i="1"/>
  <c r="Q639" i="1"/>
  <c r="T33" i="2"/>
  <c r="T32" i="2"/>
  <c r="T31" i="2"/>
  <c r="Q677" i="1"/>
  <c r="Q806" i="1"/>
  <c r="T30" i="2"/>
  <c r="T29" i="2"/>
  <c r="Q246" i="1"/>
  <c r="Q635" i="1"/>
  <c r="Q624" i="1"/>
  <c r="Q775" i="1"/>
  <c r="Q1161" i="1"/>
  <c r="Q1035" i="1"/>
  <c r="Q780" i="1"/>
  <c r="Q1165" i="1"/>
  <c r="Q1109" i="1"/>
  <c r="Q1093" i="1"/>
  <c r="Q379" i="1"/>
  <c r="Q782" i="1"/>
  <c r="Q616" i="1"/>
  <c r="Q1149" i="1"/>
  <c r="Q1215" i="1"/>
  <c r="Q1132" i="1"/>
  <c r="Q784" i="1"/>
  <c r="Q1420" i="1"/>
  <c r="Q684" i="1"/>
  <c r="Q1423" i="1"/>
  <c r="Q702" i="1"/>
  <c r="Q4021" i="1"/>
  <c r="Q312" i="1"/>
  <c r="Q445" i="1"/>
  <c r="T12" i="2"/>
  <c r="Q394" i="1"/>
  <c r="Q455" i="1"/>
  <c r="Q1214" i="1"/>
  <c r="Q292" i="1"/>
  <c r="Q606" i="1"/>
  <c r="Q466" i="1"/>
  <c r="Q708" i="1"/>
  <c r="T9" i="2"/>
  <c r="Q1444" i="1"/>
  <c r="T8" i="2"/>
  <c r="Q1417" i="1"/>
  <c r="Q423" i="1"/>
  <c r="Q469" i="1"/>
  <c r="Q401" i="1"/>
  <c r="Q698" i="1"/>
  <c r="D34" i="5" l="1"/>
  <c r="D33" i="5"/>
  <c r="Q1034" i="1" l="1"/>
  <c r="Q378" i="1"/>
  <c r="T4" i="2"/>
  <c r="Q4019" i="1"/>
  <c r="Q1419" i="1"/>
  <c r="Q615" i="1"/>
  <c r="Q1422" i="1"/>
  <c r="Q594" i="1"/>
  <c r="T3" i="2"/>
  <c r="Q1425" i="1"/>
  <c r="Q291" i="1"/>
  <c r="Q468" i="1"/>
  <c r="Q707" i="1"/>
  <c r="T2" i="2"/>
  <c r="T5" i="2"/>
  <c r="Q689" i="1"/>
  <c r="Q422" i="1"/>
  <c r="D129" i="4"/>
  <c r="D55" i="6"/>
  <c r="Q559" i="1"/>
  <c r="T18" i="2"/>
  <c r="Q1395" i="1"/>
  <c r="T17" i="2"/>
  <c r="Q1467" i="1"/>
  <c r="T16" i="2"/>
  <c r="Q1464" i="1"/>
  <c r="T14" i="2"/>
  <c r="Q1476" i="1"/>
  <c r="Q1629" i="1"/>
  <c r="T13" i="2"/>
  <c r="Q1398" i="1"/>
  <c r="Q757" i="1"/>
  <c r="Q755" i="1"/>
  <c r="Q345" i="1"/>
  <c r="Q749" i="1"/>
  <c r="Q359" i="1"/>
  <c r="Q1217" i="1"/>
  <c r="Q1216" i="1"/>
  <c r="Q742" i="1"/>
  <c r="Q1156" i="1"/>
  <c r="Q3994" i="1"/>
  <c r="T7" i="2"/>
  <c r="Q366" i="1"/>
  <c r="Q1621" i="1"/>
  <c r="Q558" i="1"/>
  <c r="Q1463" i="1"/>
  <c r="Q1380" i="1"/>
  <c r="Q1466" i="1"/>
  <c r="Q1465" i="1"/>
  <c r="Q354" i="1"/>
  <c r="Q1159" i="1"/>
  <c r="Q350" i="1"/>
  <c r="Q3927" i="1"/>
  <c r="Q1213" i="1"/>
  <c r="Q365" i="1"/>
  <c r="Q1158" i="1"/>
  <c r="Q1155" i="1"/>
  <c r="Q1585" i="1"/>
  <c r="Q235" i="1"/>
  <c r="Q1438" i="1"/>
  <c r="Q503" i="1"/>
  <c r="Q3955" i="1"/>
  <c r="Q740" i="1"/>
  <c r="Q1083" i="1"/>
  <c r="D128" i="4" l="1"/>
  <c r="D127" i="4"/>
  <c r="D25" i="5"/>
  <c r="D126" i="4"/>
  <c r="Q3943" i="1" l="1"/>
  <c r="Q415" i="1"/>
  <c r="Q1131" i="1"/>
  <c r="Q1120" i="1"/>
  <c r="Q510" i="1"/>
  <c r="Q570" i="1"/>
  <c r="Q3933" i="1"/>
  <c r="Q1432" i="1"/>
  <c r="Q487" i="1"/>
  <c r="Q495" i="1"/>
  <c r="Q520" i="1"/>
  <c r="T264" i="1"/>
  <c r="Q264" i="1"/>
  <c r="Q587" i="1"/>
  <c r="Q515" i="1" l="1"/>
  <c r="Q334" i="1"/>
  <c r="Q1615" i="1"/>
  <c r="Q3953" i="1"/>
  <c r="Q3949" i="1"/>
  <c r="Q634" i="1"/>
  <c r="Q245" i="1"/>
  <c r="Q665" i="1"/>
  <c r="Q500" i="1" l="1"/>
  <c r="Q650" i="1"/>
  <c r="Q666" i="1"/>
  <c r="Q654" i="1"/>
  <c r="Q652" i="1"/>
  <c r="Q648" i="1"/>
  <c r="Q333" i="1"/>
  <c r="Q667" i="1"/>
  <c r="Q429" i="1"/>
  <c r="Q638" i="1"/>
  <c r="Q669" i="1"/>
  <c r="Q3948" i="1"/>
  <c r="Q1042" i="1"/>
  <c r="Q1617" i="1"/>
  <c r="Q675" i="1"/>
  <c r="Q1618" i="1"/>
  <c r="Q678" i="1"/>
  <c r="Q1450" i="1"/>
  <c r="Q331" i="1"/>
  <c r="Q633" i="1"/>
  <c r="Q3985" i="1"/>
  <c r="Q680" i="1"/>
  <c r="Q344" i="1" l="1"/>
  <c r="Q517" i="1"/>
  <c r="Q516" i="1"/>
  <c r="Q662" i="1"/>
  <c r="Q514" i="1"/>
  <c r="Q4016" i="1"/>
  <c r="Q507" i="1"/>
  <c r="Q1142" i="1"/>
  <c r="Q3945" i="1"/>
  <c r="Q509" i="1"/>
  <c r="Q1119" i="1"/>
  <c r="Q263" i="1"/>
  <c r="Q661" i="1" l="1"/>
  <c r="T657" i="1"/>
  <c r="Q657" i="1"/>
  <c r="Q655" i="1"/>
  <c r="Q332" i="1"/>
  <c r="Q651" i="1"/>
  <c r="Q649" i="1"/>
  <c r="Q647" i="1"/>
  <c r="Q1614" i="1"/>
  <c r="Q3950" i="1"/>
  <c r="Q637" i="1"/>
  <c r="Q330" i="1"/>
  <c r="Q632" i="1"/>
  <c r="Q4015" i="1" l="1"/>
  <c r="Q506" i="1"/>
  <c r="Q1141" i="1"/>
  <c r="Q1429" i="1"/>
  <c r="Q1118" i="1"/>
  <c r="Q407" i="1"/>
  <c r="Q3935" i="1"/>
  <c r="Q492" i="1"/>
  <c r="Q273" i="1"/>
  <c r="Q493" i="1"/>
  <c r="Q262" i="1"/>
  <c r="D22" i="5" l="1"/>
  <c r="D114" i="4"/>
  <c r="D15" i="6" l="1"/>
  <c r="D110" i="4"/>
  <c r="D109" i="4"/>
  <c r="D108" i="4"/>
  <c r="D107" i="4"/>
  <c r="D26" i="6"/>
  <c r="D104" i="4"/>
  <c r="D103" i="4"/>
  <c r="Q622" i="1" l="1"/>
  <c r="Q1033" i="1"/>
  <c r="Q377" i="1"/>
  <c r="Q3954" i="1"/>
  <c r="Q369" i="1"/>
  <c r="Q1107" i="1"/>
  <c r="Q1091" i="1"/>
  <c r="Q1209" i="1"/>
  <c r="Q1146" i="1"/>
  <c r="Q682" i="1"/>
  <c r="Q614" i="1"/>
  <c r="Q3993" i="1"/>
  <c r="Q593" i="1"/>
  <c r="Q1453" i="1"/>
  <c r="Q400" i="1"/>
  <c r="Q290" i="1"/>
  <c r="Q306" i="1"/>
  <c r="Q1409" i="1"/>
  <c r="Q628" i="1"/>
  <c r="Q1457" i="1"/>
  <c r="Q393" i="1"/>
  <c r="Q1454" i="1"/>
  <c r="Q328" i="1"/>
  <c r="Q605" i="1"/>
  <c r="Q391" i="1"/>
  <c r="Q1024" i="1"/>
  <c r="Q1443" i="1"/>
  <c r="Q688" i="1"/>
  <c r="Q421" i="1"/>
  <c r="Q697" i="1"/>
  <c r="Q1610" i="1"/>
  <c r="Q1611" i="1"/>
  <c r="Q556" i="1"/>
  <c r="Q1612" i="1"/>
  <c r="Q1583" i="1"/>
  <c r="Q1403" i="1"/>
  <c r="Q1613" i="1"/>
  <c r="Q3988" i="1"/>
  <c r="Q1405" i="1"/>
  <c r="Q1431" i="1"/>
  <c r="Q234" i="1"/>
  <c r="Q544" i="1"/>
  <c r="Q1437" i="1"/>
  <c r="Q3926" i="1"/>
  <c r="Q353" i="1"/>
  <c r="Q348" i="1"/>
  <c r="Q502" i="1"/>
  <c r="Q357" i="1"/>
  <c r="Q1205" i="1"/>
  <c r="Q4014" i="1"/>
  <c r="Q363" i="1"/>
  <c r="Q195" i="1"/>
  <c r="Q621" i="1" l="1"/>
  <c r="Q4013" i="1"/>
  <c r="Q376" i="1"/>
  <c r="Q681" i="1"/>
  <c r="Q613" i="1"/>
  <c r="Q1148" i="1"/>
  <c r="Q1145" i="1"/>
  <c r="Q1203" i="1"/>
  <c r="Q4012" i="1"/>
  <c r="Q701" i="1"/>
  <c r="Q1023" i="1"/>
  <c r="Q399" i="1"/>
  <c r="Q1408" i="1"/>
  <c r="Q1456" i="1"/>
  <c r="Q705" i="1"/>
  <c r="Q4011" i="1"/>
  <c r="Q289" i="1"/>
  <c r="Q604" i="1"/>
  <c r="Q390" i="1"/>
  <c r="Q1447" i="1"/>
  <c r="Q630" i="1"/>
  <c r="Q629" i="1"/>
  <c r="Q555" i="1"/>
  <c r="Q233" i="1"/>
  <c r="Q3987" i="1"/>
  <c r="Q1393" i="1"/>
  <c r="Q543" i="1"/>
  <c r="Q1396" i="1"/>
  <c r="Q352" i="1"/>
  <c r="Q1436" i="1"/>
  <c r="Q356" i="1"/>
  <c r="Q347" i="1"/>
  <c r="Q3925" i="1"/>
  <c r="Q1201" i="1"/>
  <c r="Q194" i="1"/>
  <c r="Q362" i="1"/>
  <c r="Q1250" i="1" l="1"/>
  <c r="Q620" i="1"/>
  <c r="Q1025" i="1"/>
  <c r="Q3992" i="1"/>
  <c r="Q371" i="1"/>
  <c r="Q1105" i="1"/>
  <c r="Q612" i="1"/>
  <c r="Q1144" i="1"/>
  <c r="Q326" i="1"/>
  <c r="Q288" i="1"/>
  <c r="Q381" i="1"/>
  <c r="Q4009" i="1"/>
  <c r="Q1407" i="1"/>
  <c r="Q325" i="1"/>
  <c r="Q603" i="1"/>
  <c r="Q592" i="1"/>
  <c r="Q389" i="1"/>
  <c r="Q1022" i="1"/>
  <c r="Q3930" i="1"/>
  <c r="Q1599" i="1"/>
  <c r="Q419" i="1" l="1"/>
  <c r="D18" i="6" l="1"/>
  <c r="D97" i="4"/>
  <c r="D96" i="4"/>
  <c r="D95" i="4"/>
  <c r="D94" i="4"/>
  <c r="D93" i="4"/>
  <c r="D92" i="4"/>
  <c r="D91" i="4"/>
  <c r="Q554" i="1"/>
  <c r="Q1402" i="1"/>
  <c r="Q542" i="1"/>
  <c r="Q232" i="1"/>
  <c r="Q346" i="1"/>
  <c r="Q361" i="1"/>
  <c r="Q193" i="1"/>
  <c r="Q1198" i="1"/>
  <c r="Q1102" i="1"/>
  <c r="D17" i="6" l="1"/>
  <c r="D16" i="6"/>
  <c r="D16" i="5"/>
  <c r="D90" i="4"/>
  <c r="D89" i="4"/>
  <c r="D88" i="4"/>
  <c r="D87" i="4"/>
  <c r="D86" i="4"/>
  <c r="D83" i="4"/>
  <c r="Q1604" i="1" l="1"/>
  <c r="Q343" i="1"/>
  <c r="Q276" i="1"/>
  <c r="Q336" i="1"/>
  <c r="Q1040" i="1"/>
  <c r="Q329" i="1"/>
  <c r="Q339" i="1"/>
  <c r="Q1101" i="1"/>
  <c r="Q1609" i="1" l="1"/>
  <c r="Q1412" i="1"/>
  <c r="Q1117" i="1"/>
  <c r="Q1128" i="1"/>
  <c r="Q583" i="1"/>
  <c r="Q261" i="1"/>
  <c r="Q585" i="1"/>
  <c r="Q1411" i="1" l="1"/>
  <c r="Q1170" i="1"/>
  <c r="Q1114" i="1"/>
  <c r="Q1116" i="1"/>
  <c r="Q418" i="1"/>
  <c r="Q1130" i="1"/>
  <c r="Q444" i="1"/>
  <c r="Q3932" i="1"/>
  <c r="Q1172" i="1"/>
  <c r="Q568" i="1"/>
  <c r="Q3934" i="1"/>
  <c r="Q434" i="1"/>
  <c r="Q272" i="1"/>
  <c r="Q260" i="1"/>
  <c r="Q275" i="1" l="1"/>
  <c r="Q337" i="1"/>
  <c r="Q281" i="1"/>
  <c r="Q243" i="1"/>
  <c r="Q338" i="1"/>
  <c r="Q341" i="1"/>
  <c r="D6" i="6" l="1"/>
  <c r="D8" i="6"/>
  <c r="D81" i="4"/>
  <c r="D80" i="4"/>
  <c r="D79" i="4"/>
  <c r="D78" i="4"/>
  <c r="D77" i="4"/>
  <c r="Q1113" i="1"/>
  <c r="Q406" i="1"/>
  <c r="Q1115" i="1"/>
  <c r="Q1143" i="1"/>
  <c r="Q443" i="1"/>
  <c r="Q1171" i="1"/>
  <c r="Q567" i="1"/>
  <c r="Q582" i="1"/>
  <c r="Q271" i="1"/>
  <c r="Q259" i="1"/>
  <c r="Q410" i="1"/>
  <c r="Q1197" i="1" l="1"/>
  <c r="Q1012" i="1"/>
  <c r="Q342" i="1"/>
  <c r="Q280" i="1"/>
  <c r="D76" i="4" l="1"/>
  <c r="D75" i="4"/>
  <c r="D74" i="4"/>
  <c r="D73" i="4"/>
  <c r="D72" i="4"/>
  <c r="D71" i="4"/>
  <c r="D70" i="4"/>
  <c r="D4" i="6" l="1"/>
  <c r="D69" i="4"/>
  <c r="Q553" i="1" l="1"/>
  <c r="Q541" i="1"/>
  <c r="Q417" i="1"/>
  <c r="Q231" i="1"/>
  <c r="Q1435" i="1"/>
  <c r="Q552" i="1"/>
  <c r="Q1196" i="1"/>
  <c r="Q1442" i="1"/>
  <c r="Q4005" i="1"/>
  <c r="Q550" i="1"/>
  <c r="Q192" i="1"/>
  <c r="Q1195" i="1"/>
  <c r="Q1104" i="1"/>
  <c r="Q1088" i="1"/>
  <c r="Q368" i="1"/>
  <c r="Q1194" i="1"/>
  <c r="Q1193" i="1"/>
  <c r="Q398" i="1"/>
  <c r="Q1607" i="1"/>
  <c r="Q392" i="1"/>
  <c r="Q1406" i="1"/>
  <c r="Q1021" i="1"/>
  <c r="Q324" i="1"/>
  <c r="Q1606" i="1"/>
  <c r="Q1598" i="1"/>
  <c r="Q1410" i="1"/>
  <c r="Q1087" i="1" l="1"/>
  <c r="Q374" i="1"/>
  <c r="Q1103" i="1"/>
  <c r="Q387" i="1"/>
  <c r="Q1605" i="1"/>
  <c r="Q3929" i="1"/>
  <c r="Q1190" i="1"/>
  <c r="Q1248" i="1"/>
  <c r="Q1020" i="1"/>
  <c r="Q323" i="1"/>
  <c r="Q416" i="1" l="1"/>
  <c r="Q540" i="1"/>
  <c r="Q230" i="1"/>
  <c r="Q1188" i="1"/>
  <c r="Q191" i="1"/>
  <c r="Q1086" i="1" l="1"/>
  <c r="Q373" i="1"/>
  <c r="Q370" i="1"/>
  <c r="Q1019" i="1"/>
  <c r="Q1434" i="1" l="1"/>
  <c r="Q1186" i="1"/>
  <c r="Q190" i="1"/>
  <c r="D63" i="4" l="1"/>
  <c r="D62" i="4"/>
  <c r="Q405" i="1" l="1"/>
  <c r="Q258" i="1" l="1"/>
  <c r="Q409" i="1"/>
  <c r="Q225" i="1"/>
  <c r="Q278" i="1" l="1"/>
  <c r="Q1011" i="1"/>
  <c r="Q426" i="1"/>
  <c r="Q427" i="1"/>
  <c r="Q221" i="1"/>
  <c r="Q224" i="1"/>
  <c r="Q257" i="1"/>
  <c r="Q223" i="1" l="1"/>
  <c r="Q4002" i="1"/>
  <c r="Q226" i="1"/>
  <c r="Q270" i="1"/>
  <c r="Q254" i="1"/>
  <c r="Q425" i="1" l="1"/>
  <c r="Q279" i="1"/>
  <c r="Q220" i="1"/>
  <c r="D57" i="4" l="1"/>
  <c r="D54" i="4" l="1"/>
  <c r="D52" i="4"/>
  <c r="D51" i="4"/>
  <c r="Q322" i="1" l="1"/>
  <c r="Q300" i="1"/>
  <c r="Q1388" i="1"/>
  <c r="Q305" i="1"/>
  <c r="Q1183" i="1"/>
  <c r="Q1018" i="1"/>
  <c r="Q297" i="1"/>
  <c r="Q1584" i="1" l="1"/>
  <c r="Q252" i="1"/>
  <c r="Q1595" i="1"/>
  <c r="Q1182" i="1"/>
  <c r="Q4061" i="1"/>
  <c r="Q189" i="1"/>
  <c r="Q1181" i="1"/>
  <c r="Q299" i="1" l="1"/>
  <c r="Q1180" i="1"/>
  <c r="Q321" i="1"/>
  <c r="Q1179" i="1"/>
  <c r="Q1017" i="1"/>
  <c r="Q227" i="1"/>
  <c r="Q229" i="1"/>
  <c r="Q1582" i="1"/>
  <c r="Q1581" i="1"/>
  <c r="Q207" i="1"/>
  <c r="Q1178" i="1"/>
  <c r="Q1082" i="1"/>
  <c r="Q1594" i="1"/>
  <c r="Q3923" i="1"/>
  <c r="Q188" i="1"/>
  <c r="Q198" i="1" l="1"/>
  <c r="Q1100" i="1"/>
  <c r="Q1016" i="1"/>
  <c r="Q3922" i="1"/>
  <c r="D42" i="4" l="1"/>
  <c r="D41" i="4"/>
  <c r="D38" i="4" l="1"/>
  <c r="Q242" i="1" l="1"/>
  <c r="Q1029" i="1" l="1"/>
  <c r="Q241" i="1"/>
  <c r="Q214" i="1"/>
  <c r="Q205" i="1"/>
  <c r="Q1389" i="1"/>
  <c r="Q16" i="1"/>
  <c r="Q218" i="1"/>
  <c r="Q1251" i="1" l="1"/>
  <c r="D33" i="4" l="1"/>
  <c r="D32" i="4"/>
  <c r="D31" i="4"/>
  <c r="D12" i="4" l="1"/>
  <c r="D11" i="4"/>
  <c r="D10" i="4"/>
  <c r="D9" i="4"/>
  <c r="D8" i="4"/>
  <c r="Q240" i="1" l="1"/>
  <c r="Q298" i="1"/>
  <c r="Q1085" i="1"/>
  <c r="Q1175" i="1"/>
  <c r="Q1240" i="1"/>
  <c r="Q303" i="1"/>
  <c r="Q319" i="1"/>
  <c r="Q1596" i="1"/>
  <c r="Q317" i="1"/>
  <c r="Q1597" i="1"/>
  <c r="Q1015" i="1"/>
  <c r="D7" i="4" l="1"/>
  <c r="D6" i="4"/>
  <c r="D5" i="4"/>
  <c r="D4" i="4"/>
  <c r="D2" i="4"/>
  <c r="Q206" i="1"/>
  <c r="Q1377" i="1"/>
  <c r="Q209" i="1"/>
  <c r="Q239" i="1" l="1"/>
  <c r="Q1084" i="1"/>
  <c r="Q1174" i="1"/>
  <c r="Q318" i="1" l="1"/>
  <c r="Q1014" i="1"/>
  <c r="Q1560" i="1" l="1"/>
  <c r="Q208" i="1"/>
  <c r="Q186" i="1"/>
  <c r="Q238" i="1" l="1"/>
  <c r="Q185" i="1"/>
  <c r="Q1028" i="1" l="1"/>
  <c r="Q1624" i="1"/>
  <c r="Q15" i="1"/>
  <c r="Q213" i="1"/>
  <c r="Q237" i="1"/>
  <c r="Q202" i="1" l="1"/>
  <c r="Q1027" i="1"/>
  <c r="Q200" i="1"/>
  <c r="Q1391" i="1"/>
  <c r="Q1392" i="1"/>
  <c r="Q212" i="1"/>
  <c r="Q216" i="1"/>
  <c r="Q199" i="1" l="1"/>
  <c r="Q215" i="1"/>
  <c r="Q1008" i="1"/>
  <c r="Q211" i="1"/>
  <c r="Q13" i="1"/>
</calcChain>
</file>

<file path=xl/sharedStrings.xml><?xml version="1.0" encoding="utf-8"?>
<sst xmlns="http://schemas.openxmlformats.org/spreadsheetml/2006/main" count="48315" uniqueCount="2213">
  <si>
    <t>Date</t>
  </si>
  <si>
    <t>Grid</t>
  </si>
  <si>
    <t>Trapline</t>
  </si>
  <si>
    <t>Station</t>
  </si>
  <si>
    <t>Trap</t>
  </si>
  <si>
    <t>Observer</t>
  </si>
  <si>
    <t>TrapType</t>
  </si>
  <si>
    <t>Feed Used</t>
  </si>
  <si>
    <t>Species</t>
  </si>
  <si>
    <t>Fate</t>
  </si>
  <si>
    <t>Sex</t>
  </si>
  <si>
    <t>Age</t>
  </si>
  <si>
    <t>TagChange</t>
  </si>
  <si>
    <t>Unique</t>
  </si>
  <si>
    <t>TagLeft</t>
  </si>
  <si>
    <t>TagRight</t>
  </si>
  <si>
    <t>Weight</t>
  </si>
  <si>
    <t>ReproCond</t>
  </si>
  <si>
    <t>Lactating</t>
  </si>
  <si>
    <t>Ear Tag 1</t>
  </si>
  <si>
    <t>Ear Tag 2</t>
  </si>
  <si>
    <t>Ear or Genitals</t>
  </si>
  <si>
    <t>Parasites</t>
  </si>
  <si>
    <t>Falls</t>
  </si>
  <si>
    <t>EAS</t>
  </si>
  <si>
    <t>Sherman</t>
  </si>
  <si>
    <t>Sunflower Seeds</t>
  </si>
  <si>
    <t>DM</t>
  </si>
  <si>
    <t>Recap</t>
  </si>
  <si>
    <t>A</t>
  </si>
  <si>
    <t>F</t>
  </si>
  <si>
    <t>NR</t>
  </si>
  <si>
    <t>N</t>
  </si>
  <si>
    <t xml:space="preserve">AS </t>
  </si>
  <si>
    <t>New Tag</t>
  </si>
  <si>
    <t>M</t>
  </si>
  <si>
    <t>NSC</t>
  </si>
  <si>
    <t>H273</t>
  </si>
  <si>
    <t>H272</t>
  </si>
  <si>
    <t>SCR</t>
  </si>
  <si>
    <t>H331</t>
  </si>
  <si>
    <t>H332</t>
  </si>
  <si>
    <t xml:space="preserve">Trap Mal </t>
  </si>
  <si>
    <t>Weather</t>
  </si>
  <si>
    <t>Clear</t>
  </si>
  <si>
    <t>Retag</t>
  </si>
  <si>
    <t>H232</t>
  </si>
  <si>
    <t>Sorex</t>
  </si>
  <si>
    <t>Released</t>
  </si>
  <si>
    <t>Hindfoot</t>
  </si>
  <si>
    <t>Tail</t>
  </si>
  <si>
    <t>Ear</t>
  </si>
  <si>
    <t>RBV</t>
  </si>
  <si>
    <t>Partly Cloudy</t>
  </si>
  <si>
    <t>H301</t>
  </si>
  <si>
    <t>H302</t>
  </si>
  <si>
    <t>Trap Death</t>
  </si>
  <si>
    <t>Trap Malfunction</t>
  </si>
  <si>
    <t>Temperature</t>
  </si>
  <si>
    <t>Cool</t>
  </si>
  <si>
    <t xml:space="preserve">Clear </t>
  </si>
  <si>
    <t>Perf</t>
  </si>
  <si>
    <t>RS</t>
  </si>
  <si>
    <t>NSCR</t>
  </si>
  <si>
    <t>AS</t>
  </si>
  <si>
    <t>NB</t>
  </si>
  <si>
    <t>SW</t>
  </si>
  <si>
    <t xml:space="preserve">Perf </t>
  </si>
  <si>
    <t>H415</t>
  </si>
  <si>
    <t>H645</t>
  </si>
  <si>
    <t xml:space="preserve">Cool </t>
  </si>
  <si>
    <t>Trap Disturbed - Was closed and had martin poop on top of the trap</t>
  </si>
  <si>
    <t>STS</t>
  </si>
  <si>
    <t>H322</t>
  </si>
  <si>
    <t>H323</t>
  </si>
  <si>
    <t>LAC</t>
  </si>
  <si>
    <t>Tag1</t>
  </si>
  <si>
    <t>Tag2</t>
  </si>
  <si>
    <t xml:space="preserve">Weight </t>
  </si>
  <si>
    <t>Reproductive Condition</t>
  </si>
  <si>
    <t>Brought Back to Lab</t>
  </si>
  <si>
    <t>FLYER</t>
  </si>
  <si>
    <t>I21</t>
  </si>
  <si>
    <t>Perf/Lac</t>
  </si>
  <si>
    <t>I28</t>
  </si>
  <si>
    <t>Q21</t>
  </si>
  <si>
    <t>Q12</t>
  </si>
  <si>
    <t>R14</t>
  </si>
  <si>
    <t>P</t>
  </si>
  <si>
    <t>P/Lac</t>
  </si>
  <si>
    <t>J9</t>
  </si>
  <si>
    <t>PERF</t>
  </si>
  <si>
    <t>J17</t>
  </si>
  <si>
    <t>J26</t>
  </si>
  <si>
    <t>PREG</t>
  </si>
  <si>
    <t>Blood on vagina</t>
  </si>
  <si>
    <t>J29</t>
  </si>
  <si>
    <t>N15</t>
  </si>
  <si>
    <t>P17</t>
  </si>
  <si>
    <t>O29</t>
  </si>
  <si>
    <t>O28</t>
  </si>
  <si>
    <t>O11</t>
  </si>
  <si>
    <t>N18</t>
  </si>
  <si>
    <t>Comments</t>
  </si>
  <si>
    <t>N11</t>
  </si>
  <si>
    <t>P26</t>
  </si>
  <si>
    <t>K8</t>
  </si>
  <si>
    <t>H30</t>
  </si>
  <si>
    <t>H31</t>
  </si>
  <si>
    <t>L13</t>
  </si>
  <si>
    <t>I23</t>
  </si>
  <si>
    <t>I30</t>
  </si>
  <si>
    <t>Q17</t>
  </si>
  <si>
    <t xml:space="preserve">Trap Disturbed </t>
  </si>
  <si>
    <t>Trap Disturbed</t>
  </si>
  <si>
    <t>NFS</t>
  </si>
  <si>
    <t>Cold</t>
  </si>
  <si>
    <t>Tag Change</t>
  </si>
  <si>
    <t>Trap Disturbance</t>
  </si>
  <si>
    <t>Trap Disturance</t>
  </si>
  <si>
    <t xml:space="preserve">Trap Disturbance </t>
  </si>
  <si>
    <t>Cloudy</t>
  </si>
  <si>
    <t>Warm</t>
  </si>
  <si>
    <t>J</t>
  </si>
  <si>
    <t>P002-16;P015-16</t>
  </si>
  <si>
    <t>J16</t>
  </si>
  <si>
    <t>J18</t>
  </si>
  <si>
    <t>P22</t>
  </si>
  <si>
    <t>R34</t>
  </si>
  <si>
    <t>I20</t>
  </si>
  <si>
    <t>I32</t>
  </si>
  <si>
    <t>Lac/PREG</t>
  </si>
  <si>
    <t>Q18</t>
  </si>
  <si>
    <t>J21</t>
  </si>
  <si>
    <t>MJM</t>
  </si>
  <si>
    <t>Escaped</t>
  </si>
  <si>
    <t>Skull Width</t>
  </si>
  <si>
    <t>Skull Length</t>
  </si>
  <si>
    <t>P017-16;P026-16</t>
  </si>
  <si>
    <t>ECHIP</t>
  </si>
  <si>
    <t>D279</t>
  </si>
  <si>
    <t>BITEY!!</t>
  </si>
  <si>
    <t>WJM</t>
  </si>
  <si>
    <t>Trap not set</t>
  </si>
  <si>
    <t>Cloudy/Drizzling</t>
  </si>
  <si>
    <t>Y</t>
  </si>
  <si>
    <t>Handling Death</t>
  </si>
  <si>
    <t>Cloudy/Dizzling</t>
  </si>
  <si>
    <t>P012-16;P019-16</t>
  </si>
  <si>
    <t xml:space="preserve">Cloudy </t>
  </si>
  <si>
    <t>H382</t>
  </si>
  <si>
    <t>H391</t>
  </si>
  <si>
    <t>P029-16;P007-16</t>
  </si>
  <si>
    <t>WJW</t>
  </si>
  <si>
    <t>Trap Distured</t>
  </si>
  <si>
    <t>Partly Clody</t>
  </si>
  <si>
    <t>Ear with tag (Y/N)</t>
  </si>
  <si>
    <t>O27</t>
  </si>
  <si>
    <t>K23</t>
  </si>
  <si>
    <t>K15</t>
  </si>
  <si>
    <t>J28</t>
  </si>
  <si>
    <t>N13</t>
  </si>
  <si>
    <t>P19</t>
  </si>
  <si>
    <t>H12</t>
  </si>
  <si>
    <t>L21</t>
  </si>
  <si>
    <t>L16</t>
  </si>
  <si>
    <t>L12</t>
  </si>
  <si>
    <t>PERF/PREG</t>
  </si>
  <si>
    <t>Q32</t>
  </si>
  <si>
    <t>K28</t>
  </si>
  <si>
    <t xml:space="preserve">Lac </t>
  </si>
  <si>
    <t>Fecal Sample</t>
  </si>
  <si>
    <t>M29</t>
  </si>
  <si>
    <t>F010-16</t>
  </si>
  <si>
    <t>Time of fecal collection</t>
  </si>
  <si>
    <t>Days in the lab</t>
  </si>
  <si>
    <t>Tag 1</t>
  </si>
  <si>
    <t>Tag 2</t>
  </si>
  <si>
    <t>Fecal sample</t>
  </si>
  <si>
    <t>Time of fecal sample collected</t>
  </si>
  <si>
    <t>D.O.B</t>
  </si>
  <si>
    <t>Days in the lab (fecal collection)</t>
  </si>
  <si>
    <t>H236</t>
  </si>
  <si>
    <t>P024-16</t>
  </si>
  <si>
    <t>F017-16</t>
  </si>
  <si>
    <t>Number of Juveniles</t>
  </si>
  <si>
    <t>F016-16</t>
  </si>
  <si>
    <t xml:space="preserve">A </t>
  </si>
  <si>
    <t>SA</t>
  </si>
  <si>
    <t>P027-16</t>
  </si>
  <si>
    <t>Cloudy Cool</t>
  </si>
  <si>
    <t>Partly cloudy</t>
  </si>
  <si>
    <t>Preg</t>
  </si>
  <si>
    <t>P021-16 and P022-16</t>
  </si>
  <si>
    <t>K17</t>
  </si>
  <si>
    <t>F019-16</t>
  </si>
  <si>
    <t>Found foot belonging to red squirrel in trap door</t>
  </si>
  <si>
    <t xml:space="preserve">Trap was found under an uprooted tree. Scratch marks  in dirt </t>
  </si>
  <si>
    <t>F035-16</t>
  </si>
  <si>
    <t>F020-16</t>
  </si>
  <si>
    <t>J20</t>
  </si>
  <si>
    <t>F005-16</t>
  </si>
  <si>
    <t>N30</t>
  </si>
  <si>
    <t>H29</t>
  </si>
  <si>
    <t>L30</t>
  </si>
  <si>
    <t>ESCAPED</t>
  </si>
  <si>
    <t xml:space="preserve">Released </t>
  </si>
  <si>
    <t>When seeting the lines, noticced that the trap was deformed and thus could not e set (might have been stepped on by a moose or bear)</t>
  </si>
  <si>
    <t>P013-16</t>
  </si>
  <si>
    <t xml:space="preserve">Clear  </t>
  </si>
  <si>
    <t>MP</t>
  </si>
  <si>
    <t>NFLYER</t>
  </si>
  <si>
    <t>P004-16; P003-16</t>
  </si>
  <si>
    <t>Handling death</t>
  </si>
  <si>
    <t>P020-16</t>
  </si>
  <si>
    <t>P011-16</t>
  </si>
  <si>
    <t>P025-16</t>
  </si>
  <si>
    <t>Recap/ESCAPED</t>
  </si>
  <si>
    <t>H410</t>
  </si>
  <si>
    <t>F003-16</t>
  </si>
  <si>
    <t>J27</t>
  </si>
  <si>
    <t>P12</t>
  </si>
  <si>
    <t>DNA Sample</t>
  </si>
  <si>
    <t>Blood Sample</t>
  </si>
  <si>
    <t>A1</t>
  </si>
  <si>
    <t>H24</t>
  </si>
  <si>
    <t>A2</t>
  </si>
  <si>
    <t>F033-16</t>
  </si>
  <si>
    <t>Blood Time</t>
  </si>
  <si>
    <t>&lt;3 min</t>
  </si>
  <si>
    <t>~ 4 min</t>
  </si>
  <si>
    <t>No plasma collected</t>
  </si>
  <si>
    <t>F032-16</t>
  </si>
  <si>
    <t>Released (Not pregnant)</t>
  </si>
  <si>
    <t>K21</t>
  </si>
  <si>
    <t>M26</t>
  </si>
  <si>
    <t>M24</t>
  </si>
  <si>
    <t>F014-16</t>
  </si>
  <si>
    <t>~10:30</t>
  </si>
  <si>
    <t>N10</t>
  </si>
  <si>
    <t>F028-16</t>
  </si>
  <si>
    <t>~8:30</t>
  </si>
  <si>
    <t>N14</t>
  </si>
  <si>
    <t>P29</t>
  </si>
  <si>
    <t>F030-16</t>
  </si>
  <si>
    <t>~9:15</t>
  </si>
  <si>
    <t>P24</t>
  </si>
  <si>
    <t>F065-16</t>
  </si>
  <si>
    <t>A6</t>
  </si>
  <si>
    <t>A5</t>
  </si>
  <si>
    <t>H455</t>
  </si>
  <si>
    <t>Lac</t>
  </si>
  <si>
    <t>A3</t>
  </si>
  <si>
    <t>A4</t>
  </si>
  <si>
    <t>Hot</t>
  </si>
  <si>
    <t xml:space="preserve">Partly Cloudy </t>
  </si>
  <si>
    <t>Party Cloudy</t>
  </si>
  <si>
    <t>H276</t>
  </si>
  <si>
    <t>Predation</t>
  </si>
  <si>
    <t>Only foot was found in the trap</t>
  </si>
  <si>
    <t>N/A</t>
  </si>
  <si>
    <t>F026-16</t>
  </si>
  <si>
    <t>~11:00</t>
  </si>
  <si>
    <t>L22</t>
  </si>
  <si>
    <t>F034-16</t>
  </si>
  <si>
    <t>L20</t>
  </si>
  <si>
    <t>F052-16</t>
  </si>
  <si>
    <t>L17</t>
  </si>
  <si>
    <t>O12</t>
  </si>
  <si>
    <t>A7</t>
  </si>
  <si>
    <t>~4 min</t>
  </si>
  <si>
    <t>F051-16</t>
  </si>
  <si>
    <t>~4 MIN</t>
  </si>
  <si>
    <t>Preg/Lac</t>
  </si>
  <si>
    <t>Had a parasite on it</t>
  </si>
  <si>
    <t>Had a rip on the right ear which may have been from a previous tag</t>
  </si>
  <si>
    <t>Had a tick on the right side of its face</t>
  </si>
  <si>
    <t>Escaped before measurements could be taken</t>
  </si>
  <si>
    <t>G196</t>
  </si>
  <si>
    <t>PREG/LAC</t>
  </si>
  <si>
    <t>P008-16</t>
  </si>
  <si>
    <t>P009-16</t>
  </si>
  <si>
    <t xml:space="preserve">Partly </t>
  </si>
  <si>
    <t>F064-16</t>
  </si>
  <si>
    <t>F042-16</t>
  </si>
  <si>
    <t>F011-16</t>
  </si>
  <si>
    <t>F012-16</t>
  </si>
  <si>
    <t>F029-16</t>
  </si>
  <si>
    <t>Marten found at trap</t>
  </si>
  <si>
    <t>New individual (died following ear tag)</t>
  </si>
  <si>
    <t>H542</t>
  </si>
  <si>
    <t>H543</t>
  </si>
  <si>
    <t>J11</t>
  </si>
  <si>
    <t>N27</t>
  </si>
  <si>
    <t>I10</t>
  </si>
  <si>
    <t>M15</t>
  </si>
  <si>
    <t>M10</t>
  </si>
  <si>
    <t>F055-16</t>
  </si>
  <si>
    <t>F046-15</t>
  </si>
  <si>
    <t>A8</t>
  </si>
  <si>
    <t>A9</t>
  </si>
  <si>
    <t>F063-16</t>
  </si>
  <si>
    <t>~ 4 min 30 sec</t>
  </si>
  <si>
    <t>P006-16</t>
  </si>
  <si>
    <t>P005-16</t>
  </si>
  <si>
    <t>F048-16</t>
  </si>
  <si>
    <t>Plasma</t>
  </si>
  <si>
    <t>A10</t>
  </si>
  <si>
    <t>F040-16</t>
  </si>
  <si>
    <t>F046-16</t>
  </si>
  <si>
    <t>F061-16</t>
  </si>
  <si>
    <t>H14</t>
  </si>
  <si>
    <t>B1</t>
  </si>
  <si>
    <t>F044-16</t>
  </si>
  <si>
    <t>Hematocrit Ratio</t>
  </si>
  <si>
    <t>B2</t>
  </si>
  <si>
    <t>F060-16</t>
  </si>
  <si>
    <t>H26</t>
  </si>
  <si>
    <t>F039-16</t>
  </si>
  <si>
    <t>L18</t>
  </si>
  <si>
    <t>F049-16</t>
  </si>
  <si>
    <t>F058-16</t>
  </si>
  <si>
    <t>B3</t>
  </si>
  <si>
    <t>F053-16; F004-16</t>
  </si>
  <si>
    <t>5:52; 10:11</t>
  </si>
  <si>
    <t>K14</t>
  </si>
  <si>
    <t>&gt;3 min</t>
  </si>
  <si>
    <t>F057-16</t>
  </si>
  <si>
    <t>Days since last capture</t>
  </si>
  <si>
    <t>REcap</t>
  </si>
  <si>
    <t>Could not get accurate measurements for the skull length and skull width</t>
  </si>
  <si>
    <t>Not Set</t>
  </si>
  <si>
    <t>Bear had trappled the trap</t>
  </si>
  <si>
    <t>RIP</t>
  </si>
  <si>
    <t>H328</t>
  </si>
  <si>
    <t>H329</t>
  </si>
  <si>
    <t>Could not get skull length or width measurements</t>
  </si>
  <si>
    <t>H629</t>
  </si>
  <si>
    <t>Could not get skull length or width measurements. Vagina was bleeding</t>
  </si>
  <si>
    <t>H291</t>
  </si>
  <si>
    <t>P060-16</t>
  </si>
  <si>
    <t>P050-16</t>
  </si>
  <si>
    <t>P014-16</t>
  </si>
  <si>
    <t>Was not doing well upon release - drunk walk</t>
  </si>
  <si>
    <t>RIP/RIP</t>
  </si>
  <si>
    <t>Handliong death</t>
  </si>
  <si>
    <t>Most likely one of the individuals that escaped</t>
  </si>
  <si>
    <t>I19</t>
  </si>
  <si>
    <t>L10</t>
  </si>
  <si>
    <t>P28</t>
  </si>
  <si>
    <t>3 MIN 40 SEC</t>
  </si>
  <si>
    <t>F066-16</t>
  </si>
  <si>
    <t>4 MIN 30 SEC</t>
  </si>
  <si>
    <t>Q25</t>
  </si>
  <si>
    <t>B5</t>
  </si>
  <si>
    <t>3 min 18s sec</t>
  </si>
  <si>
    <t>H19</t>
  </si>
  <si>
    <t>F041-16</t>
  </si>
  <si>
    <t>4min 30 sec</t>
  </si>
  <si>
    <t>F037-16</t>
  </si>
  <si>
    <t>AS/EAS</t>
  </si>
  <si>
    <t>J12</t>
  </si>
  <si>
    <t>F068-16</t>
  </si>
  <si>
    <t>F045-16</t>
  </si>
  <si>
    <t>F062-16</t>
  </si>
  <si>
    <t>R30</t>
  </si>
  <si>
    <t>B6</t>
  </si>
  <si>
    <t>B7</t>
  </si>
  <si>
    <t>Blood Smears</t>
  </si>
  <si>
    <t>K31</t>
  </si>
  <si>
    <t>B4</t>
  </si>
  <si>
    <t>F008-16</t>
  </si>
  <si>
    <t>EAS/NB</t>
  </si>
  <si>
    <t xml:space="preserve"> </t>
  </si>
  <si>
    <t>F027-16</t>
  </si>
  <si>
    <t>K10</t>
  </si>
  <si>
    <t>J13</t>
  </si>
  <si>
    <t>F099-16</t>
  </si>
  <si>
    <t>5min 45 sec</t>
  </si>
  <si>
    <t>F073-16</t>
  </si>
  <si>
    <t>EAS/AS</t>
  </si>
  <si>
    <t>Unable to get hematocrit ratio</t>
  </si>
  <si>
    <t>5min 20 sec</t>
  </si>
  <si>
    <t>F092-16</t>
  </si>
  <si>
    <t>D8</t>
  </si>
  <si>
    <t xml:space="preserve">F099-16; F031-16 </t>
  </si>
  <si>
    <t>5:45 ; 11:20</t>
  </si>
  <si>
    <t xml:space="preserve">Unable to get blood </t>
  </si>
  <si>
    <t>F082-16</t>
  </si>
  <si>
    <t>Found out she was pregnant (surprise!!)</t>
  </si>
  <si>
    <t>F056-16</t>
  </si>
  <si>
    <t>K22</t>
  </si>
  <si>
    <t>F022-16</t>
  </si>
  <si>
    <t>No weight</t>
  </si>
  <si>
    <t>H10</t>
  </si>
  <si>
    <t>F002-16</t>
  </si>
  <si>
    <t>F083-16</t>
  </si>
  <si>
    <t>F100-16</t>
  </si>
  <si>
    <t>F108-16</t>
  </si>
  <si>
    <t>F072-16</t>
  </si>
  <si>
    <t>F111-16</t>
  </si>
  <si>
    <t>** Brought back to Kathlyn the night before</t>
  </si>
  <si>
    <t>F075-16</t>
  </si>
  <si>
    <t>P025-16 &amp; P031-16</t>
  </si>
  <si>
    <t>LAB</t>
  </si>
  <si>
    <t>Brought to Kathlyn</t>
  </si>
  <si>
    <t>B9</t>
  </si>
  <si>
    <t>6min 15 sec</t>
  </si>
  <si>
    <t>F047-16</t>
  </si>
  <si>
    <t>F067-16</t>
  </si>
  <si>
    <t>3min</t>
  </si>
  <si>
    <t>F085-16</t>
  </si>
  <si>
    <t>C1</t>
  </si>
  <si>
    <t>3 min</t>
  </si>
  <si>
    <t>F090-16</t>
  </si>
  <si>
    <t>C2</t>
  </si>
  <si>
    <t>B10</t>
  </si>
  <si>
    <t>C3</t>
  </si>
  <si>
    <t>3min 30sec</t>
  </si>
  <si>
    <t>F135-16</t>
  </si>
  <si>
    <t>P041-16</t>
  </si>
  <si>
    <t>Tic found on individuals neck</t>
  </si>
  <si>
    <t>Individual was found outside the trap whit its tail caught in the door. The left foot was injusred thus hindfoot measurement is from left foot</t>
  </si>
  <si>
    <t>P010-16; P049-16</t>
  </si>
  <si>
    <t>Tick on right side of face</t>
  </si>
  <si>
    <t>P047-16</t>
  </si>
  <si>
    <t>Orange Mites (Y/N)</t>
  </si>
  <si>
    <t>Tail has regained blood and looks much better. Hindfoot was taken on rigt foot.</t>
  </si>
  <si>
    <t>P042-16; P045-16</t>
  </si>
  <si>
    <t>P044-16; P030-16</t>
  </si>
  <si>
    <t>Ticks on individual</t>
  </si>
  <si>
    <t>Escaped after getting ear tag. Rip in left ear, possibly from previous tag</t>
  </si>
  <si>
    <t>New tag on right ear</t>
  </si>
  <si>
    <t>Had tick on back of head</t>
  </si>
  <si>
    <t>F744</t>
  </si>
  <si>
    <t>Could not take skull length and skull with measurements</t>
  </si>
  <si>
    <t>Had a tick on right side of face</t>
  </si>
  <si>
    <t>P058-16</t>
  </si>
  <si>
    <t>Vial Number</t>
  </si>
  <si>
    <t>L15</t>
  </si>
  <si>
    <t>F001-16</t>
  </si>
  <si>
    <t>Sarah wins Kathlyn again.</t>
  </si>
  <si>
    <t>Could not take skull length or width measurements. Individual also had a tick on the right side of its face</t>
  </si>
  <si>
    <t>Probably a successful predation</t>
  </si>
  <si>
    <t>6min 30sec</t>
  </si>
  <si>
    <t>Tag added to the right ear</t>
  </si>
  <si>
    <t>C4</t>
  </si>
  <si>
    <t>N22</t>
  </si>
  <si>
    <t>R26</t>
  </si>
  <si>
    <t>F093-16</t>
  </si>
  <si>
    <t>&lt;5 MIN</t>
  </si>
  <si>
    <t>K9</t>
  </si>
  <si>
    <t>5min 30sec</t>
  </si>
  <si>
    <t>F091-16</t>
  </si>
  <si>
    <t>F137-16</t>
  </si>
  <si>
    <t>F123-16</t>
  </si>
  <si>
    <t>F113-16</t>
  </si>
  <si>
    <t>F080-16</t>
  </si>
  <si>
    <t>F136-16</t>
  </si>
  <si>
    <t>F127-16; F104-16</t>
  </si>
  <si>
    <t>5:48; 8:28</t>
  </si>
  <si>
    <t>R32</t>
  </si>
  <si>
    <t>F081-16</t>
  </si>
  <si>
    <t>~9:50</t>
  </si>
  <si>
    <t>F103-16</t>
  </si>
  <si>
    <t>F122-16</t>
  </si>
  <si>
    <t>F131-16</t>
  </si>
  <si>
    <t>3min 30 sec</t>
  </si>
  <si>
    <t>F121-16</t>
  </si>
  <si>
    <t xml:space="preserve">Realeased </t>
  </si>
  <si>
    <t>~4min</t>
  </si>
  <si>
    <t>F089-16</t>
  </si>
  <si>
    <t xml:space="preserve">4min  </t>
  </si>
  <si>
    <t>F088-16</t>
  </si>
  <si>
    <t>4min</t>
  </si>
  <si>
    <t>F117-16</t>
  </si>
  <si>
    <t>C7</t>
  </si>
  <si>
    <t>6min</t>
  </si>
  <si>
    <t>F038-16</t>
  </si>
  <si>
    <t>C5</t>
  </si>
  <si>
    <t>C6</t>
  </si>
  <si>
    <t>F086-16</t>
  </si>
  <si>
    <t>5:48;8:30</t>
  </si>
  <si>
    <t>DNA in slot C8</t>
  </si>
  <si>
    <t>Orange Mite Vial</t>
  </si>
  <si>
    <t>M033-16</t>
  </si>
  <si>
    <t>M030-16</t>
  </si>
  <si>
    <t>Tick on the right side of face</t>
  </si>
  <si>
    <t>P032-16;P061-16</t>
  </si>
  <si>
    <t>Cloudy/Light Rain</t>
  </si>
  <si>
    <t xml:space="preserve">Cloudy/Light Rain </t>
  </si>
  <si>
    <t>H230</t>
  </si>
  <si>
    <t>Left/Right/Both</t>
  </si>
  <si>
    <t>Right</t>
  </si>
  <si>
    <t>Left</t>
  </si>
  <si>
    <t>Both</t>
  </si>
  <si>
    <t xml:space="preserve">N </t>
  </si>
  <si>
    <t>C9</t>
  </si>
  <si>
    <t>F115-16</t>
  </si>
  <si>
    <t>EAS/SW</t>
  </si>
  <si>
    <t>C10</t>
  </si>
  <si>
    <t>D2</t>
  </si>
  <si>
    <t>F120-16</t>
  </si>
  <si>
    <t>D1</t>
  </si>
  <si>
    <t>F133-16</t>
  </si>
  <si>
    <t>D3</t>
  </si>
  <si>
    <t>F101-16</t>
  </si>
  <si>
    <t>F043-16</t>
  </si>
  <si>
    <t>F118-16</t>
  </si>
  <si>
    <t>F069-16</t>
  </si>
  <si>
    <t>H18</t>
  </si>
  <si>
    <t>F106-16</t>
  </si>
  <si>
    <t>Pictures (Y/N)</t>
  </si>
  <si>
    <t>1 cluster of mites</t>
  </si>
  <si>
    <t>M026-16</t>
  </si>
  <si>
    <t>RNB</t>
  </si>
  <si>
    <t>M010-16</t>
  </si>
  <si>
    <t>F132-16</t>
  </si>
  <si>
    <t>F071-16</t>
  </si>
  <si>
    <t>F126-16</t>
  </si>
  <si>
    <t>F124-16</t>
  </si>
  <si>
    <t>Not pregnant, will now be classified as a juvenile</t>
  </si>
  <si>
    <t>Not pregnant, now classified as a juvenile</t>
  </si>
  <si>
    <t>2min 30 sec</t>
  </si>
  <si>
    <t xml:space="preserve">4min </t>
  </si>
  <si>
    <t>F128-16</t>
  </si>
  <si>
    <t>J15</t>
  </si>
  <si>
    <t>P15</t>
  </si>
  <si>
    <t>Needs fecal, back to lab</t>
  </si>
  <si>
    <t>back to lab</t>
  </si>
  <si>
    <t>escape after blood and DNA</t>
  </si>
  <si>
    <t>5 MIN</t>
  </si>
  <si>
    <t>I13</t>
  </si>
  <si>
    <t>F087-16</t>
  </si>
  <si>
    <t>H13</t>
  </si>
  <si>
    <t>I27</t>
  </si>
  <si>
    <t>F112-16</t>
  </si>
  <si>
    <t>F076-16</t>
  </si>
  <si>
    <t>F114-16</t>
  </si>
  <si>
    <t>F130-16</t>
  </si>
  <si>
    <t>Found out she was pregnant, #TeenMom2.0</t>
  </si>
  <si>
    <t>Tic under right ear</t>
  </si>
  <si>
    <t>M027-16</t>
  </si>
  <si>
    <t>M003-16</t>
  </si>
  <si>
    <t>M006-16</t>
  </si>
  <si>
    <t>New tag. Animal died after tag was given</t>
  </si>
  <si>
    <t>New tag, individual died after getting tag</t>
  </si>
  <si>
    <t>Tic on right cheek</t>
  </si>
  <si>
    <t>P056-16</t>
  </si>
  <si>
    <t>M040-16</t>
  </si>
  <si>
    <t>5min</t>
  </si>
  <si>
    <t>F195-16</t>
  </si>
  <si>
    <t>Falls lines: traline 202. trap 2-1</t>
  </si>
  <si>
    <t>F174-16</t>
  </si>
  <si>
    <t>Falls lines: traline 202, trap 6-2</t>
  </si>
  <si>
    <t>M046-16</t>
  </si>
  <si>
    <t>26,6</t>
  </si>
  <si>
    <t>M060-16</t>
  </si>
  <si>
    <t>E1</t>
  </si>
  <si>
    <t>6-7 (Bx2)</t>
  </si>
  <si>
    <t>E2</t>
  </si>
  <si>
    <t>3-5 (Bx2)</t>
  </si>
  <si>
    <t>F153-16</t>
  </si>
  <si>
    <t>F189-16</t>
  </si>
  <si>
    <t>H28</t>
  </si>
  <si>
    <t>F154-16</t>
  </si>
  <si>
    <t>F175-16</t>
  </si>
  <si>
    <t>SW/NB</t>
  </si>
  <si>
    <t>F102-16</t>
  </si>
  <si>
    <t>F141-16</t>
  </si>
  <si>
    <t>H15</t>
  </si>
  <si>
    <t>F078-16</t>
  </si>
  <si>
    <t>H16</t>
  </si>
  <si>
    <t>I25</t>
  </si>
  <si>
    <t>PREF/LAC</t>
  </si>
  <si>
    <t>L26</t>
  </si>
  <si>
    <t>M13</t>
  </si>
  <si>
    <t>D6</t>
  </si>
  <si>
    <t>F176-16</t>
  </si>
  <si>
    <t>8-9 (BX2)</t>
  </si>
  <si>
    <t>P. Cloudy</t>
  </si>
  <si>
    <t>Had a cut on the right front leg</t>
  </si>
  <si>
    <t>P.Cloudy</t>
  </si>
  <si>
    <t>PREDATION</t>
  </si>
  <si>
    <t>Fur found in trap door</t>
  </si>
  <si>
    <t>Bottom half of body was stuck in the trap door</t>
  </si>
  <si>
    <t>E3</t>
  </si>
  <si>
    <t>Falls lines: trapline 202, trap 2-1</t>
  </si>
  <si>
    <t>F181-16</t>
  </si>
  <si>
    <t>F119-16</t>
  </si>
  <si>
    <t>Rip in left ear, possibly from previus tag</t>
  </si>
  <si>
    <t>M034-16</t>
  </si>
  <si>
    <t>Infected left ear</t>
  </si>
  <si>
    <t>M015-16</t>
  </si>
  <si>
    <t>M022-16</t>
  </si>
  <si>
    <t>M035-16</t>
  </si>
  <si>
    <t>Rip in left ear, possibly from previoustag</t>
  </si>
  <si>
    <t>Infection underright ear</t>
  </si>
  <si>
    <t>Found outside trap, with tail caughtin the door</t>
  </si>
  <si>
    <t>Rip inleft ear, possibly from previous tag</t>
  </si>
  <si>
    <t>H066</t>
  </si>
  <si>
    <t>P001-16</t>
  </si>
  <si>
    <t>M044-16</t>
  </si>
  <si>
    <t>E4</t>
  </si>
  <si>
    <t>F197-16</t>
  </si>
  <si>
    <t>12-14 (Bx2)</t>
  </si>
  <si>
    <t>Falls lines: trapline 111, TRAP 10</t>
  </si>
  <si>
    <t>P059-16</t>
  </si>
  <si>
    <t>P028-16;P057-16</t>
  </si>
  <si>
    <t>End of tail missing and left ear was ripped possibly from a previous tag</t>
  </si>
  <si>
    <t>M024-16</t>
  </si>
  <si>
    <t>M025-16</t>
  </si>
  <si>
    <t>F185-16</t>
  </si>
  <si>
    <t>F171-16</t>
  </si>
  <si>
    <t>E5</t>
  </si>
  <si>
    <t>E6</t>
  </si>
  <si>
    <t xml:space="preserve">6 MIN </t>
  </si>
  <si>
    <t>E7</t>
  </si>
  <si>
    <t>M042-16</t>
  </si>
  <si>
    <t>M043-16</t>
  </si>
  <si>
    <t>Unkown #1</t>
  </si>
  <si>
    <t>Falls lines :trapline 201,trap 8-1</t>
  </si>
  <si>
    <t>Falls lines: trapline 201, trap 9-1</t>
  </si>
  <si>
    <t>Falls lines:trapline 201, trap 10-1</t>
  </si>
  <si>
    <t>F187-16</t>
  </si>
  <si>
    <t>F145-16</t>
  </si>
  <si>
    <t>F163-16</t>
  </si>
  <si>
    <t>M050-16</t>
  </si>
  <si>
    <t>Rip in left ear, possibly from previous tag</t>
  </si>
  <si>
    <t>F186-16</t>
  </si>
  <si>
    <t>Falls lines: 202, trap 5-1</t>
  </si>
  <si>
    <t>M013-16</t>
  </si>
  <si>
    <t>Rip in both ears, possibly from previous tags</t>
  </si>
  <si>
    <t>Genitals</t>
  </si>
  <si>
    <t>F159-16</t>
  </si>
  <si>
    <t>K16</t>
  </si>
  <si>
    <t>F074-16</t>
  </si>
  <si>
    <t>O24</t>
  </si>
  <si>
    <t>-</t>
  </si>
  <si>
    <t>F018-16</t>
  </si>
  <si>
    <t>F139-16</t>
  </si>
  <si>
    <t>P11</t>
  </si>
  <si>
    <t>P30</t>
  </si>
  <si>
    <t>F110-16</t>
  </si>
  <si>
    <t>F109-16</t>
  </si>
  <si>
    <t>F134-16</t>
  </si>
  <si>
    <t>P25</t>
  </si>
  <si>
    <t xml:space="preserve">J </t>
  </si>
  <si>
    <t xml:space="preserve">M </t>
  </si>
  <si>
    <t>Bot fly around anus</t>
  </si>
  <si>
    <t>Forgot to check for orange mites</t>
  </si>
  <si>
    <t>M008-16</t>
  </si>
  <si>
    <t xml:space="preserve">PREG  </t>
  </si>
  <si>
    <t>Temperature was getting too hot!</t>
  </si>
  <si>
    <t>M048-16</t>
  </si>
  <si>
    <t>M019-16</t>
  </si>
  <si>
    <t>M067-16</t>
  </si>
  <si>
    <t>Rip Iin rightear, possibly from previous tag</t>
  </si>
  <si>
    <t>M071-16</t>
  </si>
  <si>
    <t>P098-16</t>
  </si>
  <si>
    <t>Mites are more prevalent on tagedear. Pictures only of right ear (pictures of the front andback of ear!!)</t>
  </si>
  <si>
    <t>F125-16</t>
  </si>
  <si>
    <t>Growth on neck</t>
  </si>
  <si>
    <t>F084-16</t>
  </si>
  <si>
    <t>F5</t>
  </si>
  <si>
    <t>F190-16</t>
  </si>
  <si>
    <t>25-26 (Bx2)</t>
  </si>
  <si>
    <t>Falls lines: 113, trap 5</t>
  </si>
  <si>
    <t>F6</t>
  </si>
  <si>
    <t>F157-16</t>
  </si>
  <si>
    <t>33 (Bx2)</t>
  </si>
  <si>
    <t>Falls lines: 113, trap 10</t>
  </si>
  <si>
    <t>F7</t>
  </si>
  <si>
    <t>F184-16</t>
  </si>
  <si>
    <t>23-24 (Bx2)</t>
  </si>
  <si>
    <t>Falls lines: 111, trap 3</t>
  </si>
  <si>
    <t>F9</t>
  </si>
  <si>
    <t>F148-16</t>
  </si>
  <si>
    <t>34-35 (Bx2)</t>
  </si>
  <si>
    <t xml:space="preserve">Falls lines: 111, trap 9 </t>
  </si>
  <si>
    <t>F8</t>
  </si>
  <si>
    <t>F170-16</t>
  </si>
  <si>
    <t>D4</t>
  </si>
  <si>
    <t>27-28 (Bx2)</t>
  </si>
  <si>
    <t>Falls lines:113, trap 6</t>
  </si>
  <si>
    <t>F167-16</t>
  </si>
  <si>
    <t>17-19 (Bx2)</t>
  </si>
  <si>
    <t>B8</t>
  </si>
  <si>
    <t>F182-16</t>
  </si>
  <si>
    <t>21-22(Bx2)</t>
  </si>
  <si>
    <t>C8</t>
  </si>
  <si>
    <t>D7</t>
  </si>
  <si>
    <t>D9</t>
  </si>
  <si>
    <t>D5</t>
  </si>
  <si>
    <t>F3</t>
  </si>
  <si>
    <t>F2</t>
  </si>
  <si>
    <t>D10</t>
  </si>
  <si>
    <t>E8</t>
  </si>
  <si>
    <t>E9</t>
  </si>
  <si>
    <t>E10</t>
  </si>
  <si>
    <t>F1</t>
  </si>
  <si>
    <t>F4</t>
  </si>
  <si>
    <t>Trap eath</t>
  </si>
  <si>
    <t>PREG/PERF</t>
  </si>
  <si>
    <t>M063-16</t>
  </si>
  <si>
    <t>p.Cloudy</t>
  </si>
  <si>
    <t>M056-16</t>
  </si>
  <si>
    <t>Ear tag on the left ear seems to attract mites</t>
  </si>
  <si>
    <t>Mites conjergate around ear tag hole</t>
  </si>
  <si>
    <t>mites seem to be attached around the ear tag hole</t>
  </si>
  <si>
    <t>M074-16</t>
  </si>
  <si>
    <t>Cloudy/Foggy</t>
  </si>
  <si>
    <t>H650</t>
  </si>
  <si>
    <t>M017-16</t>
  </si>
  <si>
    <t>Escaped after receiving tag</t>
  </si>
  <si>
    <t>M045-16</t>
  </si>
  <si>
    <t>Cloudy/Foogy</t>
  </si>
  <si>
    <t>Tick under right ear</t>
  </si>
  <si>
    <t xml:space="preserve">Mites are under tag </t>
  </si>
  <si>
    <t>G4</t>
  </si>
  <si>
    <t>F178-16</t>
  </si>
  <si>
    <t>47-48 (Bx2)</t>
  </si>
  <si>
    <t>Shamus</t>
  </si>
  <si>
    <t>G2</t>
  </si>
  <si>
    <t>F096-16</t>
  </si>
  <si>
    <t>45-46 (Bx2)</t>
  </si>
  <si>
    <t>Patricia</t>
  </si>
  <si>
    <t>G1</t>
  </si>
  <si>
    <t>F193-16</t>
  </si>
  <si>
    <t>43-44 (Bx2)</t>
  </si>
  <si>
    <t>Amber</t>
  </si>
  <si>
    <t>F10</t>
  </si>
  <si>
    <t>F146-16</t>
  </si>
  <si>
    <t>51-52 (Bx2)</t>
  </si>
  <si>
    <t>Markus</t>
  </si>
  <si>
    <t>G3</t>
  </si>
  <si>
    <t>F142-16</t>
  </si>
  <si>
    <t>49-50 (Bx2)</t>
  </si>
  <si>
    <t>Tom</t>
  </si>
  <si>
    <t>M070-16</t>
  </si>
  <si>
    <t>P094-16</t>
  </si>
  <si>
    <t>Bleeding on leg</t>
  </si>
  <si>
    <t>F166-16</t>
  </si>
  <si>
    <t>F173-16</t>
  </si>
  <si>
    <t>H23</t>
  </si>
  <si>
    <t>F196-16</t>
  </si>
  <si>
    <t>G10</t>
  </si>
  <si>
    <t>F158-16</t>
  </si>
  <si>
    <t>Zone Left Ear</t>
  </si>
  <si>
    <t>Intensity Left Ear</t>
  </si>
  <si>
    <t>Zone Right Ear</t>
  </si>
  <si>
    <t>Intensity Right Ear</t>
  </si>
  <si>
    <t>Intensity Genitals</t>
  </si>
  <si>
    <t>M052-16</t>
  </si>
  <si>
    <t>M020-16</t>
  </si>
  <si>
    <t>Left ear ripped, possibly from previous tag</t>
  </si>
  <si>
    <t>Rip in right ear</t>
  </si>
  <si>
    <t>M062-16</t>
  </si>
  <si>
    <t>Heard thunder and left the line</t>
  </si>
  <si>
    <t>LOW</t>
  </si>
  <si>
    <t>Had a both fly on the side of its face</t>
  </si>
  <si>
    <t>P076-16</t>
  </si>
  <si>
    <t>K11</t>
  </si>
  <si>
    <t>F149-16</t>
  </si>
  <si>
    <t>G9</t>
  </si>
  <si>
    <t>65-66 (Bx2)</t>
  </si>
  <si>
    <t>H1</t>
  </si>
  <si>
    <t>69-70 (Bx2)</t>
  </si>
  <si>
    <t>H3</t>
  </si>
  <si>
    <t>73-74 (Bx2)</t>
  </si>
  <si>
    <t>Only one sample for the hematocrit ratio</t>
  </si>
  <si>
    <t>F140-16</t>
  </si>
  <si>
    <t>F144-16</t>
  </si>
  <si>
    <t>67-69 (Bx2)</t>
  </si>
  <si>
    <t>F169-16</t>
  </si>
  <si>
    <t>G8</t>
  </si>
  <si>
    <t>63-64 (Bx2)</t>
  </si>
  <si>
    <t>Q29</t>
  </si>
  <si>
    <t>F151-16</t>
  </si>
  <si>
    <t>F165-16</t>
  </si>
  <si>
    <t>57-58 (Bx2)</t>
  </si>
  <si>
    <t>F192-16</t>
  </si>
  <si>
    <t>71-72 (Bx2)</t>
  </si>
  <si>
    <t>F160-16</t>
  </si>
  <si>
    <t>55-56 (Bx2)</t>
  </si>
  <si>
    <t>F147-16</t>
  </si>
  <si>
    <t>59-60 (Bx2)</t>
  </si>
  <si>
    <t>F180-16</t>
  </si>
  <si>
    <t>61-62 (Bx2)</t>
  </si>
  <si>
    <t>F161-16</t>
  </si>
  <si>
    <t>79-80 (Bx2)</t>
  </si>
  <si>
    <t>Child of 50577/50576</t>
  </si>
  <si>
    <t>F156-16</t>
  </si>
  <si>
    <t>F179-16</t>
  </si>
  <si>
    <t>G6</t>
  </si>
  <si>
    <t>75-76 (Bx2)</t>
  </si>
  <si>
    <t>H2</t>
  </si>
  <si>
    <t>85-86 (Bx2)</t>
  </si>
  <si>
    <t>F172-16</t>
  </si>
  <si>
    <t>G7</t>
  </si>
  <si>
    <t>77-78 (Bx2)</t>
  </si>
  <si>
    <t>F162-16</t>
  </si>
  <si>
    <t>G5</t>
  </si>
  <si>
    <t>F164-16</t>
  </si>
  <si>
    <t>H4</t>
  </si>
  <si>
    <t>83-84 (Bx2)</t>
  </si>
  <si>
    <t>81-82 (Bx2)</t>
  </si>
  <si>
    <t>F007-16</t>
  </si>
  <si>
    <t>H7</t>
  </si>
  <si>
    <t>Child of 50406/50405</t>
  </si>
  <si>
    <t>F152-16</t>
  </si>
  <si>
    <t>H9</t>
  </si>
  <si>
    <t>90-91 (Bx2)</t>
  </si>
  <si>
    <t>Blood stored in capillary tubes prior to spinning</t>
  </si>
  <si>
    <t>F191-16</t>
  </si>
  <si>
    <t>H8</t>
  </si>
  <si>
    <t>F107-16</t>
  </si>
  <si>
    <t>F006-16</t>
  </si>
  <si>
    <t>H5</t>
  </si>
  <si>
    <t>87-88 (Bx2)</t>
  </si>
  <si>
    <t>F143-16</t>
  </si>
  <si>
    <t>H6</t>
  </si>
  <si>
    <t>&lt;3min</t>
  </si>
  <si>
    <t>89 (Bx2)</t>
  </si>
  <si>
    <t>F025-16</t>
  </si>
  <si>
    <t>F233-16</t>
  </si>
  <si>
    <t>Left eye closed (possible infection)</t>
  </si>
  <si>
    <t>Left eye was closed (possible infection)</t>
  </si>
  <si>
    <t>P071-16</t>
  </si>
  <si>
    <t>P083-16</t>
  </si>
  <si>
    <t>M005-16</t>
  </si>
  <si>
    <t>Bump under left front leg (possibly bot fly)</t>
  </si>
  <si>
    <t>MEDIUM</t>
  </si>
  <si>
    <t>Pictures of right ear only</t>
  </si>
  <si>
    <t>M036-16</t>
  </si>
  <si>
    <t>6*</t>
  </si>
  <si>
    <t>1,2,4,5</t>
  </si>
  <si>
    <t>HIGH</t>
  </si>
  <si>
    <t>*Rip in left ear, possibly caused by old ear tag. The rip is where the mites are found</t>
  </si>
  <si>
    <t>M058-16</t>
  </si>
  <si>
    <t>Rip in left ear, possibly from previous ear tag</t>
  </si>
  <si>
    <t>2,4</t>
  </si>
  <si>
    <t>2*,4,5</t>
  </si>
  <si>
    <t>*Mites aremostly on zone 2 for the right ear</t>
  </si>
  <si>
    <t>1,2</t>
  </si>
  <si>
    <t>Individual got away after getting tag</t>
  </si>
  <si>
    <t>Rip in right ear, possibly from previous tag</t>
  </si>
  <si>
    <t>P075-16</t>
  </si>
  <si>
    <t>M004-16</t>
  </si>
  <si>
    <t>M012-16</t>
  </si>
  <si>
    <t>M055-16</t>
  </si>
  <si>
    <t>M049-16</t>
  </si>
  <si>
    <t>Bleeding on the stomach</t>
  </si>
  <si>
    <t>M009-16</t>
  </si>
  <si>
    <t>M075-16</t>
  </si>
  <si>
    <t>M053-16</t>
  </si>
  <si>
    <t>Ear cut up badly</t>
  </si>
  <si>
    <t>Bot fly on stomach</t>
  </si>
  <si>
    <t>Released due to long handling time</t>
  </si>
  <si>
    <t>P070-16</t>
  </si>
  <si>
    <t>LAC/PREG</t>
  </si>
  <si>
    <t>04125</t>
  </si>
  <si>
    <t>04124</t>
  </si>
  <si>
    <t>04123</t>
  </si>
  <si>
    <t>M065-16</t>
  </si>
  <si>
    <t>04122</t>
  </si>
  <si>
    <t>04121</t>
  </si>
  <si>
    <t>Tick under chin</t>
  </si>
  <si>
    <t>04120</t>
  </si>
  <si>
    <t>04119</t>
  </si>
  <si>
    <t>04118</t>
  </si>
  <si>
    <t>04117</t>
  </si>
  <si>
    <t>04116</t>
  </si>
  <si>
    <t>Two mice in the same trap</t>
  </si>
  <si>
    <t>Falls lines: 111, trap 9-2</t>
  </si>
  <si>
    <t>04115</t>
  </si>
  <si>
    <t>04114</t>
  </si>
  <si>
    <t>04113</t>
  </si>
  <si>
    <t>04112</t>
  </si>
  <si>
    <t>04111</t>
  </si>
  <si>
    <t>04110</t>
  </si>
  <si>
    <t>04109</t>
  </si>
  <si>
    <t>04108</t>
  </si>
  <si>
    <t>P099-16</t>
  </si>
  <si>
    <t>P101-16</t>
  </si>
  <si>
    <t>04105</t>
  </si>
  <si>
    <t>04107</t>
  </si>
  <si>
    <t>04106</t>
  </si>
  <si>
    <t>04104</t>
  </si>
  <si>
    <t>04103</t>
  </si>
  <si>
    <t>04102</t>
  </si>
  <si>
    <t>04101</t>
  </si>
  <si>
    <t>04200</t>
  </si>
  <si>
    <t>04199</t>
  </si>
  <si>
    <t>04176</t>
  </si>
  <si>
    <t>04178</t>
  </si>
  <si>
    <t>04177</t>
  </si>
  <si>
    <t>04132</t>
  </si>
  <si>
    <t>04131</t>
  </si>
  <si>
    <t>Late in the morning animal was processed than released</t>
  </si>
  <si>
    <t>1a</t>
  </si>
  <si>
    <t>1b</t>
  </si>
  <si>
    <t>1,2,3</t>
  </si>
  <si>
    <t>2,6*</t>
  </si>
  <si>
    <t xml:space="preserve">*Rip in left ear from previous ear tag, mites are along the rips </t>
  </si>
  <si>
    <t xml:space="preserve">*Rip in right ear from previous ear tag, mites are along the rips </t>
  </si>
  <si>
    <t>1,2*,5</t>
  </si>
  <si>
    <t>1,2,5,6</t>
  </si>
  <si>
    <t>*Mites mostly in zone 2 of LEFT ear</t>
  </si>
  <si>
    <t>BOTH</t>
  </si>
  <si>
    <t xml:space="preserve">Only 1 cluster of mites on genitals </t>
  </si>
  <si>
    <t xml:space="preserve">PREDATION </t>
  </si>
  <si>
    <t>04150</t>
  </si>
  <si>
    <t>04149</t>
  </si>
  <si>
    <t>04148</t>
  </si>
  <si>
    <t>04147</t>
  </si>
  <si>
    <t>04146</t>
  </si>
  <si>
    <t>04145</t>
  </si>
  <si>
    <t>04144</t>
  </si>
  <si>
    <t>Bot flyby left front arm</t>
  </si>
  <si>
    <t>04143</t>
  </si>
  <si>
    <t>041142</t>
  </si>
  <si>
    <t>04142</t>
  </si>
  <si>
    <t>1,6</t>
  </si>
  <si>
    <t>1,5,6</t>
  </si>
  <si>
    <t>P043-16</t>
  </si>
  <si>
    <t xml:space="preserve">Bot fly near genitals </t>
  </si>
  <si>
    <t>1,2,4,6</t>
  </si>
  <si>
    <t>1,2,6</t>
  </si>
  <si>
    <t>Animalwasreleawed(showed signs of distress)</t>
  </si>
  <si>
    <t>04141</t>
  </si>
  <si>
    <t>Animal was showing signs ofdistress and was released,mites were noticed before this</t>
  </si>
  <si>
    <t>2,3</t>
  </si>
  <si>
    <t>1,2,5</t>
  </si>
  <si>
    <t>04139</t>
  </si>
  <si>
    <t>04138</t>
  </si>
  <si>
    <t>2,4,5</t>
  </si>
  <si>
    <t>2,4,5*</t>
  </si>
  <si>
    <t>04137</t>
  </si>
  <si>
    <t>04136</t>
  </si>
  <si>
    <t>1,2,5,6,7</t>
  </si>
  <si>
    <t>04135</t>
  </si>
  <si>
    <t xml:space="preserve">Bot fly exit wound </t>
  </si>
  <si>
    <t>04134</t>
  </si>
  <si>
    <t>04133</t>
  </si>
  <si>
    <t>Bot fly wound on left shoulder, mites in the wound!!!</t>
  </si>
  <si>
    <t>*** Bot fly on left shoulder, MITES IN THE WOUND!!!</t>
  </si>
  <si>
    <t>04130</t>
  </si>
  <si>
    <t>04129</t>
  </si>
  <si>
    <t>Bot fly by left arm</t>
  </si>
  <si>
    <t>04128</t>
  </si>
  <si>
    <t>04127</t>
  </si>
  <si>
    <t>50572</t>
  </si>
  <si>
    <t>50571</t>
  </si>
  <si>
    <t>50721</t>
  </si>
  <si>
    <t>50720</t>
  </si>
  <si>
    <t>04126</t>
  </si>
  <si>
    <t>M066-16</t>
  </si>
  <si>
    <t>50817</t>
  </si>
  <si>
    <t>04175</t>
  </si>
  <si>
    <t>50709</t>
  </si>
  <si>
    <t>50708</t>
  </si>
  <si>
    <t>04174</t>
  </si>
  <si>
    <t xml:space="preserve">Only 1 cluster of mites </t>
  </si>
  <si>
    <t>50497</t>
  </si>
  <si>
    <t>50496</t>
  </si>
  <si>
    <t>Bot fly beside left arm</t>
  </si>
  <si>
    <t>P085-16</t>
  </si>
  <si>
    <t>50495</t>
  </si>
  <si>
    <t>04172</t>
  </si>
  <si>
    <t>04171</t>
  </si>
  <si>
    <t>50595</t>
  </si>
  <si>
    <t>50594</t>
  </si>
  <si>
    <t>50956</t>
  </si>
  <si>
    <t>50955</t>
  </si>
  <si>
    <t>04170</t>
  </si>
  <si>
    <t>04169</t>
  </si>
  <si>
    <t>04168</t>
  </si>
  <si>
    <t>04167</t>
  </si>
  <si>
    <t>50520</t>
  </si>
  <si>
    <t>50519</t>
  </si>
  <si>
    <t>04166</t>
  </si>
  <si>
    <t>04165</t>
  </si>
  <si>
    <t>50825</t>
  </si>
  <si>
    <t>50824</t>
  </si>
  <si>
    <t>50895</t>
  </si>
  <si>
    <t>50894</t>
  </si>
  <si>
    <t>50854</t>
  </si>
  <si>
    <t>50853</t>
  </si>
  <si>
    <t>04164</t>
  </si>
  <si>
    <t>04163</t>
  </si>
  <si>
    <t>P053-16</t>
  </si>
  <si>
    <t xml:space="preserve">Trap was fpund on its side </t>
  </si>
  <si>
    <t>50897</t>
  </si>
  <si>
    <t>50896</t>
  </si>
  <si>
    <t>Bot fly under neck</t>
  </si>
  <si>
    <t>50806</t>
  </si>
  <si>
    <t>04140</t>
  </si>
  <si>
    <t>M014-16</t>
  </si>
  <si>
    <t>04162</t>
  </si>
  <si>
    <t>04161</t>
  </si>
  <si>
    <t>M061-16</t>
  </si>
  <si>
    <t>04160</t>
  </si>
  <si>
    <t>04159</t>
  </si>
  <si>
    <t xml:space="preserve">There is a cut on the left ear, this is where the mites are </t>
  </si>
  <si>
    <t>04158</t>
  </si>
  <si>
    <t>50829</t>
  </si>
  <si>
    <t>50828</t>
  </si>
  <si>
    <t>2,5,7</t>
  </si>
  <si>
    <t>N24</t>
  </si>
  <si>
    <t>N26</t>
  </si>
  <si>
    <t>Q19</t>
  </si>
  <si>
    <t>F212-16</t>
  </si>
  <si>
    <t>F242-16</t>
  </si>
  <si>
    <t>F221-16</t>
  </si>
  <si>
    <t>F227-16</t>
  </si>
  <si>
    <t>F206-16</t>
  </si>
  <si>
    <t>*MY BAD ON FECAL TIMES - TAKEN BETWEEN 6 AND 9:15</t>
  </si>
  <si>
    <t xml:space="preserve">4 MIN  </t>
  </si>
  <si>
    <t>Escaped. Pretty sure of the tags but not 100%</t>
  </si>
  <si>
    <t>F260-16</t>
  </si>
  <si>
    <t>F262-16</t>
  </si>
  <si>
    <t>F270-16</t>
  </si>
  <si>
    <t>F259-16</t>
  </si>
  <si>
    <t>F263-16</t>
  </si>
  <si>
    <t>M30</t>
  </si>
  <si>
    <t>F274-16</t>
  </si>
  <si>
    <t>F266-16</t>
  </si>
  <si>
    <t>M11</t>
  </si>
  <si>
    <t>F265-16</t>
  </si>
  <si>
    <t>N25</t>
  </si>
  <si>
    <t>F284-16</t>
  </si>
  <si>
    <t>F294-16</t>
  </si>
  <si>
    <t xml:space="preserve">Juvenile found in nest box </t>
  </si>
  <si>
    <t>F257-16</t>
  </si>
  <si>
    <t xml:space="preserve">4min 45 sec </t>
  </si>
  <si>
    <t>3min 45sec</t>
  </si>
  <si>
    <t>Juvenile found in nest box</t>
  </si>
  <si>
    <t>F286-16</t>
  </si>
  <si>
    <t>Bot fly wound with mites in it</t>
  </si>
  <si>
    <t>04184</t>
  </si>
  <si>
    <t>04187</t>
  </si>
  <si>
    <t>04186</t>
  </si>
  <si>
    <t>04157</t>
  </si>
  <si>
    <t>04156</t>
  </si>
  <si>
    <t>04189</t>
  </si>
  <si>
    <t>04188</t>
  </si>
  <si>
    <t>50954</t>
  </si>
  <si>
    <t>50953</t>
  </si>
  <si>
    <t>50574</t>
  </si>
  <si>
    <t>50573</t>
  </si>
  <si>
    <t>P079-15</t>
  </si>
  <si>
    <t>50891</t>
  </si>
  <si>
    <t>50890</t>
  </si>
  <si>
    <t>50893</t>
  </si>
  <si>
    <t>50892</t>
  </si>
  <si>
    <t>50482</t>
  </si>
  <si>
    <t>Bot fly on genitals</t>
  </si>
  <si>
    <t>50716</t>
  </si>
  <si>
    <t>50715</t>
  </si>
  <si>
    <t>04192</t>
  </si>
  <si>
    <t>04194</t>
  </si>
  <si>
    <t>04193</t>
  </si>
  <si>
    <t>50855</t>
  </si>
  <si>
    <t>Had cut on top of ear</t>
  </si>
  <si>
    <t>M031-16</t>
  </si>
  <si>
    <t>04198</t>
  </si>
  <si>
    <t>04197</t>
  </si>
  <si>
    <t>Bot fly on chest</t>
  </si>
  <si>
    <t>17977</t>
  </si>
  <si>
    <t>17976</t>
  </si>
  <si>
    <t>50952</t>
  </si>
  <si>
    <t>50951</t>
  </si>
  <si>
    <t>04152</t>
  </si>
  <si>
    <t>04151</t>
  </si>
  <si>
    <t>50525</t>
  </si>
  <si>
    <t>50524</t>
  </si>
  <si>
    <t>50804</t>
  </si>
  <si>
    <t>50803</t>
  </si>
  <si>
    <t>50802</t>
  </si>
  <si>
    <t>17979</t>
  </si>
  <si>
    <t>17978</t>
  </si>
  <si>
    <t>15773</t>
  </si>
  <si>
    <t>M002-16</t>
  </si>
  <si>
    <t>04181</t>
  </si>
  <si>
    <t>M039-16</t>
  </si>
  <si>
    <t>15783</t>
  </si>
  <si>
    <t>04179</t>
  </si>
  <si>
    <t>F213-16</t>
  </si>
  <si>
    <t>H21</t>
  </si>
  <si>
    <t>F249-16</t>
  </si>
  <si>
    <t>I29</t>
  </si>
  <si>
    <t>F219-16</t>
  </si>
  <si>
    <t>F230-16</t>
  </si>
  <si>
    <t>F205-16</t>
  </si>
  <si>
    <t>F202-16</t>
  </si>
  <si>
    <t>04180</t>
  </si>
  <si>
    <t>04183</t>
  </si>
  <si>
    <t>04182</t>
  </si>
  <si>
    <t>O16</t>
  </si>
  <si>
    <t>04185</t>
  </si>
  <si>
    <t>L11</t>
  </si>
  <si>
    <t>F228-16</t>
  </si>
  <si>
    <t>P13</t>
  </si>
  <si>
    <t>F226-16</t>
  </si>
  <si>
    <t>P16</t>
  </si>
  <si>
    <t>F250-16</t>
  </si>
  <si>
    <t>F275-16</t>
  </si>
  <si>
    <t>Samuel</t>
  </si>
  <si>
    <t>H17</t>
  </si>
  <si>
    <t>F232-16</t>
  </si>
  <si>
    <t>F295-16</t>
  </si>
  <si>
    <t>L24</t>
  </si>
  <si>
    <t>F267-16</t>
  </si>
  <si>
    <t>F214-16</t>
  </si>
  <si>
    <t>F216-16</t>
  </si>
  <si>
    <t>F279-16</t>
  </si>
  <si>
    <t>P18</t>
  </si>
  <si>
    <t>F253-16</t>
  </si>
  <si>
    <t>17998</t>
  </si>
  <si>
    <t>17997</t>
  </si>
  <si>
    <t>17996</t>
  </si>
  <si>
    <t>17995</t>
  </si>
  <si>
    <t>50964</t>
  </si>
  <si>
    <t>50970</t>
  </si>
  <si>
    <t>Individual was barely moving, was wrapped in cotton an left by trap</t>
  </si>
  <si>
    <t>50971</t>
  </si>
  <si>
    <t>17951</t>
  </si>
  <si>
    <t>17994</t>
  </si>
  <si>
    <t>17993</t>
  </si>
  <si>
    <t>17992</t>
  </si>
  <si>
    <t>16347</t>
  </si>
  <si>
    <t>17991</t>
  </si>
  <si>
    <t>17990</t>
  </si>
  <si>
    <t>50590</t>
  </si>
  <si>
    <t>50589</t>
  </si>
  <si>
    <t>50738</t>
  </si>
  <si>
    <t>17989</t>
  </si>
  <si>
    <t>50780</t>
  </si>
  <si>
    <t>50779</t>
  </si>
  <si>
    <t>50926</t>
  </si>
  <si>
    <t>PREF/PREG</t>
  </si>
  <si>
    <t>50848</t>
  </si>
  <si>
    <t>50847</t>
  </si>
  <si>
    <t>50931</t>
  </si>
  <si>
    <t>50841</t>
  </si>
  <si>
    <t>50950</t>
  </si>
  <si>
    <t>50342</t>
  </si>
  <si>
    <t>50932</t>
  </si>
  <si>
    <t>50838</t>
  </si>
  <si>
    <t>50934</t>
  </si>
  <si>
    <t>50633</t>
  </si>
  <si>
    <t>50634</t>
  </si>
  <si>
    <t>50778</t>
  </si>
  <si>
    <t>50777</t>
  </si>
  <si>
    <t>50938</t>
  </si>
  <si>
    <t>6,7</t>
  </si>
  <si>
    <t>50941</t>
  </si>
  <si>
    <t>50942</t>
  </si>
  <si>
    <t>1,2,3,4</t>
  </si>
  <si>
    <t>1,2,7</t>
  </si>
  <si>
    <t>Bot fly on chest (close to left arm)</t>
  </si>
  <si>
    <t>04155</t>
  </si>
  <si>
    <t>04154</t>
  </si>
  <si>
    <t>04153</t>
  </si>
  <si>
    <t>Patly Cloudy</t>
  </si>
  <si>
    <t>P074-16</t>
  </si>
  <si>
    <t>15800</t>
  </si>
  <si>
    <t>1,4*</t>
  </si>
  <si>
    <t>*Only 1 cluster in zone 4</t>
  </si>
  <si>
    <t>04173</t>
  </si>
  <si>
    <t>Skin beside left side of mouth is missing fur (caused by bot fly?)</t>
  </si>
  <si>
    <t>15799</t>
  </si>
  <si>
    <t>15798</t>
  </si>
  <si>
    <t>15797</t>
  </si>
  <si>
    <t>15796</t>
  </si>
  <si>
    <t>Tail inflamed from previously getting caught in trap door</t>
  </si>
  <si>
    <t>Multiple entry/exit wounds around genitals from bot flies</t>
  </si>
  <si>
    <t>15975</t>
  </si>
  <si>
    <t>15974</t>
  </si>
  <si>
    <t>50900</t>
  </si>
  <si>
    <t>50899</t>
  </si>
  <si>
    <t>Trap was found on its side</t>
  </si>
  <si>
    <t>15793</t>
  </si>
  <si>
    <t>Small black tic on edge of right ear</t>
  </si>
  <si>
    <t>2,3*</t>
  </si>
  <si>
    <t>* Only one mite cluster in zone 3</t>
  </si>
  <si>
    <t>15792</t>
  </si>
  <si>
    <t>P097-16</t>
  </si>
  <si>
    <t>16350</t>
  </si>
  <si>
    <t>15791</t>
  </si>
  <si>
    <t>2*,5,6</t>
  </si>
  <si>
    <t>*Most mites found in zone 2 of left ear</t>
  </si>
  <si>
    <t>MEDIIUM</t>
  </si>
  <si>
    <t>1,4</t>
  </si>
  <si>
    <t>2b</t>
  </si>
  <si>
    <t>15788</t>
  </si>
  <si>
    <t>15787</t>
  </si>
  <si>
    <t>4 min</t>
  </si>
  <si>
    <t>F251-16</t>
  </si>
  <si>
    <t>15786</t>
  </si>
  <si>
    <t>15785</t>
  </si>
  <si>
    <t>50491</t>
  </si>
  <si>
    <t>F210-16</t>
  </si>
  <si>
    <t>Two mice found in trap</t>
  </si>
  <si>
    <t>15784</t>
  </si>
  <si>
    <t>04191</t>
  </si>
  <si>
    <t>04190</t>
  </si>
  <si>
    <t>F258-16</t>
  </si>
  <si>
    <t>Two deer mice found in the trap</t>
  </si>
  <si>
    <t>Two deer mice found in trap</t>
  </si>
  <si>
    <t>F245-16</t>
  </si>
  <si>
    <t>Falls lines:trapline 113, TRAP 4-1a</t>
  </si>
  <si>
    <t xml:space="preserve">Two mice found in trap </t>
  </si>
  <si>
    <t>Falls lines: trapline 111, TRAP 4-2</t>
  </si>
  <si>
    <t>Falls lines: trapline 111, TRAP 6-1</t>
  </si>
  <si>
    <t>Falls lines: trapline 111, TRAP 9-1</t>
  </si>
  <si>
    <t>Falls lines: trapline 111, TRAP 10-1</t>
  </si>
  <si>
    <t>Falls lines: trapline 112, TRAP 10-2b</t>
  </si>
  <si>
    <t xml:space="preserve">Falls lines: trapline 113, TRAP 2-1 </t>
  </si>
  <si>
    <t>Clody</t>
  </si>
  <si>
    <t>Bot fly on left side of face</t>
  </si>
  <si>
    <t>F236-16</t>
  </si>
  <si>
    <t>Falls lines: trapline 113, TRAP 9-2</t>
  </si>
  <si>
    <t>04196</t>
  </si>
  <si>
    <t>04195</t>
  </si>
  <si>
    <t>F273-16</t>
  </si>
  <si>
    <t>1,2,4,7</t>
  </si>
  <si>
    <t>1,7</t>
  </si>
  <si>
    <t>15782</t>
  </si>
  <si>
    <t>1,4,7</t>
  </si>
  <si>
    <t>50815</t>
  </si>
  <si>
    <t>50814</t>
  </si>
  <si>
    <t>15781</t>
  </si>
  <si>
    <t>15780</t>
  </si>
  <si>
    <t>P092-16</t>
  </si>
  <si>
    <t>15779</t>
  </si>
  <si>
    <t>15778</t>
  </si>
  <si>
    <t>P091-16</t>
  </si>
  <si>
    <t>15777</t>
  </si>
  <si>
    <t>Left**</t>
  </si>
  <si>
    <t>** Animal escaped before seeing if there were mites on the right ear</t>
  </si>
  <si>
    <t>F261-16</t>
  </si>
  <si>
    <t>Falls lines: trapline 112, TRAP 8-2</t>
  </si>
  <si>
    <t>Scabs around ear tags</t>
  </si>
  <si>
    <t>Head was caught in trap door</t>
  </si>
  <si>
    <t>50734</t>
  </si>
  <si>
    <t>Caught in trap door</t>
  </si>
  <si>
    <t>17988</t>
  </si>
  <si>
    <t>P095-16</t>
  </si>
  <si>
    <t>50744</t>
  </si>
  <si>
    <t>50743</t>
  </si>
  <si>
    <t>50742</t>
  </si>
  <si>
    <t>50741</t>
  </si>
  <si>
    <t>50347</t>
  </si>
  <si>
    <t>17986</t>
  </si>
  <si>
    <t>17985</t>
  </si>
  <si>
    <t>50959</t>
  </si>
  <si>
    <t>17984</t>
  </si>
  <si>
    <t>17982</t>
  </si>
  <si>
    <t>17981</t>
  </si>
  <si>
    <t>50958</t>
  </si>
  <si>
    <t>17975</t>
  </si>
  <si>
    <t>17974</t>
  </si>
  <si>
    <t>17973</t>
  </si>
  <si>
    <t>17972</t>
  </si>
  <si>
    <t>17971</t>
  </si>
  <si>
    <t>17970</t>
  </si>
  <si>
    <t>17969</t>
  </si>
  <si>
    <t>Bot fly under left leg</t>
  </si>
  <si>
    <t>warm</t>
  </si>
  <si>
    <t>50968</t>
  </si>
  <si>
    <t>50967</t>
  </si>
  <si>
    <t>P080-16</t>
  </si>
  <si>
    <t>17968</t>
  </si>
  <si>
    <t>17967</t>
  </si>
  <si>
    <t>17952</t>
  </si>
  <si>
    <t>17953</t>
  </si>
  <si>
    <t>17965</t>
  </si>
  <si>
    <t>17964</t>
  </si>
  <si>
    <t>17963</t>
  </si>
  <si>
    <t>P073-16; P103-16</t>
  </si>
  <si>
    <t>17957</t>
  </si>
  <si>
    <t>17962</t>
  </si>
  <si>
    <t>2628</t>
  </si>
  <si>
    <t>2621</t>
  </si>
  <si>
    <t>17955</t>
  </si>
  <si>
    <t>M016-16</t>
  </si>
  <si>
    <t>F289-16</t>
  </si>
  <si>
    <t>F281-16</t>
  </si>
  <si>
    <t>F282-16</t>
  </si>
  <si>
    <t>H22</t>
  </si>
  <si>
    <t>Raining to hard to collect blood or fecal</t>
  </si>
  <si>
    <t>Raining to hard to collect blood or fecal/mother with litter released the previous night</t>
  </si>
  <si>
    <t>L32</t>
  </si>
  <si>
    <t>L29</t>
  </si>
  <si>
    <t>F288-16</t>
  </si>
  <si>
    <t>F268-16</t>
  </si>
  <si>
    <t>F264-16</t>
  </si>
  <si>
    <t>F244-16</t>
  </si>
  <si>
    <t>F177-16</t>
  </si>
  <si>
    <t>y</t>
  </si>
  <si>
    <t>Y*</t>
  </si>
  <si>
    <t>*Right ear had not yet had a tag on it</t>
  </si>
  <si>
    <t>*Only have pictures of the left ear</t>
  </si>
  <si>
    <t>50940</t>
  </si>
  <si>
    <t>Ears badly cut up</t>
  </si>
  <si>
    <t>50794</t>
  </si>
  <si>
    <t>50844</t>
  </si>
  <si>
    <t>50843</t>
  </si>
  <si>
    <t>50359</t>
  </si>
  <si>
    <t>50358</t>
  </si>
  <si>
    <t>50357</t>
  </si>
  <si>
    <t>50833</t>
  </si>
  <si>
    <t>50945</t>
  </si>
  <si>
    <t>50947</t>
  </si>
  <si>
    <t>50786</t>
  </si>
  <si>
    <t>50785</t>
  </si>
  <si>
    <t>M065-15</t>
  </si>
  <si>
    <t>50850</t>
  </si>
  <si>
    <t>50849</t>
  </si>
  <si>
    <t>50672</t>
  </si>
  <si>
    <t>1,2,6,5</t>
  </si>
  <si>
    <t>10783</t>
  </si>
  <si>
    <t>4,7</t>
  </si>
  <si>
    <t>M038-16</t>
  </si>
  <si>
    <t>17980</t>
  </si>
  <si>
    <t>5,7</t>
  </si>
  <si>
    <t>1,5,7</t>
  </si>
  <si>
    <t>2,7*</t>
  </si>
  <si>
    <t>50470</t>
  </si>
  <si>
    <t>50469</t>
  </si>
  <si>
    <t>Bot fly wound on left side of chest</t>
  </si>
  <si>
    <t>50857</t>
  </si>
  <si>
    <t>2,4,6</t>
  </si>
  <si>
    <t>2,6</t>
  </si>
  <si>
    <t>Both ears have rips in them(mites are found on these rips)</t>
  </si>
  <si>
    <t>50866</t>
  </si>
  <si>
    <t>50865</t>
  </si>
  <si>
    <t>50700</t>
  </si>
  <si>
    <t>50699</t>
  </si>
  <si>
    <t>50610</t>
  </si>
  <si>
    <t>50609</t>
  </si>
  <si>
    <t>17901</t>
  </si>
  <si>
    <t>M011-16</t>
  </si>
  <si>
    <t>17903</t>
  </si>
  <si>
    <t>17902</t>
  </si>
  <si>
    <t>50384</t>
  </si>
  <si>
    <t>50383</t>
  </si>
  <si>
    <t>50517</t>
  </si>
  <si>
    <t>50516</t>
  </si>
  <si>
    <t>50526</t>
  </si>
  <si>
    <t>50390</t>
  </si>
  <si>
    <t>M072-16</t>
  </si>
  <si>
    <t>50503</t>
  </si>
  <si>
    <t>50502</t>
  </si>
  <si>
    <t>Cut on tail</t>
  </si>
  <si>
    <t>1,5</t>
  </si>
  <si>
    <t>50506</t>
  </si>
  <si>
    <t>50505</t>
  </si>
  <si>
    <t>M007-16</t>
  </si>
  <si>
    <t>1,6*</t>
  </si>
  <si>
    <t>*Mites in zone 6 are found around and under the tag</t>
  </si>
  <si>
    <t>50758</t>
  </si>
  <si>
    <t>50757</t>
  </si>
  <si>
    <t>50761</t>
  </si>
  <si>
    <t>50760</t>
  </si>
  <si>
    <t>50759</t>
  </si>
  <si>
    <t>M021-16</t>
  </si>
  <si>
    <t>17905</t>
  </si>
  <si>
    <t>17904</t>
  </si>
  <si>
    <t>17906</t>
  </si>
  <si>
    <t>50924</t>
  </si>
  <si>
    <t>50756</t>
  </si>
  <si>
    <t>Left ear is ripped from previous tag</t>
  </si>
  <si>
    <t xml:space="preserve">*Left ear is ripped from previous tag, mitesare along the edge </t>
  </si>
  <si>
    <t>50860</t>
  </si>
  <si>
    <t>50859</t>
  </si>
  <si>
    <t>50392</t>
  </si>
  <si>
    <t>Mites are found around the anus</t>
  </si>
  <si>
    <t>50753</t>
  </si>
  <si>
    <t>1,7*</t>
  </si>
  <si>
    <t>*Rip from previous ear tag, mites in zone 7 are on the edge of the rip</t>
  </si>
  <si>
    <t>Animal was realesed before reading tag</t>
  </si>
  <si>
    <t>17908</t>
  </si>
  <si>
    <t>17907</t>
  </si>
  <si>
    <t>P078-16</t>
  </si>
  <si>
    <t>Bot fly on neck</t>
  </si>
  <si>
    <t>50690</t>
  </si>
  <si>
    <t>50689</t>
  </si>
  <si>
    <t>50612</t>
  </si>
  <si>
    <t>50611</t>
  </si>
  <si>
    <t>17909</t>
  </si>
  <si>
    <t>50764</t>
  </si>
  <si>
    <t>17911</t>
  </si>
  <si>
    <t>17910</t>
  </si>
  <si>
    <t>17912</t>
  </si>
  <si>
    <t>M018-16</t>
  </si>
  <si>
    <t>I12</t>
  </si>
  <si>
    <t>F298-16</t>
  </si>
  <si>
    <t>I15</t>
  </si>
  <si>
    <t>RETAG: previous tag was 2789</t>
  </si>
  <si>
    <t>F287-16</t>
  </si>
  <si>
    <t>M28</t>
  </si>
  <si>
    <t>M25</t>
  </si>
  <si>
    <t>M23</t>
  </si>
  <si>
    <t>M18</t>
  </si>
  <si>
    <t>P10</t>
  </si>
  <si>
    <t>P21</t>
  </si>
  <si>
    <t>Raining too hard, unable to collect morphometrics</t>
  </si>
  <si>
    <t xml:space="preserve">Bot fly on right shoulder </t>
  </si>
  <si>
    <t>I18</t>
  </si>
  <si>
    <t>F246-16</t>
  </si>
  <si>
    <t>F299-16</t>
  </si>
  <si>
    <t>F194-16</t>
  </si>
  <si>
    <t>F31-16</t>
  </si>
  <si>
    <t>F324-16</t>
  </si>
  <si>
    <t>Pictures are of zone 6 WITHOUT the grid</t>
  </si>
  <si>
    <t>17914</t>
  </si>
  <si>
    <t>17913</t>
  </si>
  <si>
    <t xml:space="preserve">Bot fly on right side of face </t>
  </si>
  <si>
    <t>50459</t>
  </si>
  <si>
    <t>50458</t>
  </si>
  <si>
    <t>P062-16</t>
  </si>
  <si>
    <t>Patch of skin without fur on left side of neck</t>
  </si>
  <si>
    <t>17916</t>
  </si>
  <si>
    <t>17915</t>
  </si>
  <si>
    <t>2*</t>
  </si>
  <si>
    <t>*There is a small cut on the left ear, this is where the mites are</t>
  </si>
  <si>
    <t>Genital mites are around the anus</t>
  </si>
  <si>
    <t xml:space="preserve">Bot flies on lower abdomen </t>
  </si>
  <si>
    <t>17917</t>
  </si>
  <si>
    <t>P105-16</t>
  </si>
  <si>
    <t>M073-16</t>
  </si>
  <si>
    <t>Cut on left leg</t>
  </si>
  <si>
    <t xml:space="preserve">*Cut in left ear, this is where mites in zone 6 are found </t>
  </si>
  <si>
    <t>K20</t>
  </si>
  <si>
    <t>N28</t>
  </si>
  <si>
    <t>LABELLED WITH EAR TAGS</t>
  </si>
  <si>
    <t>Raining too hard, unable to collect blood</t>
  </si>
  <si>
    <t>Not on the list</t>
  </si>
  <si>
    <t>Had not been cut</t>
  </si>
  <si>
    <t>F336-16</t>
  </si>
  <si>
    <t>F340-16</t>
  </si>
  <si>
    <t>Tag Left</t>
  </si>
  <si>
    <t>Tag Right</t>
  </si>
  <si>
    <t>17918</t>
  </si>
  <si>
    <t>M068-16</t>
  </si>
  <si>
    <t>17919</t>
  </si>
  <si>
    <t>M029-16</t>
  </si>
  <si>
    <t>P051-16</t>
  </si>
  <si>
    <t>Rip in left ear but no mites on it</t>
  </si>
  <si>
    <t>H481</t>
  </si>
  <si>
    <t>50512</t>
  </si>
  <si>
    <t>Bot fly wounds around genitals</t>
  </si>
  <si>
    <t>17921</t>
  </si>
  <si>
    <t>17920</t>
  </si>
  <si>
    <t>17923</t>
  </si>
  <si>
    <t>17922</t>
  </si>
  <si>
    <t>Bot fly on left side of neck</t>
  </si>
  <si>
    <t>50735</t>
  </si>
  <si>
    <t>4,5</t>
  </si>
  <si>
    <t>Rip in left ear but no mites on it (looks healed)</t>
  </si>
  <si>
    <t>15776</t>
  </si>
  <si>
    <t>50615</t>
  </si>
  <si>
    <t>11976</t>
  </si>
  <si>
    <t>11977</t>
  </si>
  <si>
    <t xml:space="preserve">Bot fly beside genitals </t>
  </si>
  <si>
    <t>11978</t>
  </si>
  <si>
    <t>Mites also found on neck!!!!!!</t>
  </si>
  <si>
    <t>Late in the morning animal was processed then released</t>
  </si>
  <si>
    <t>50391</t>
  </si>
  <si>
    <t>Late in morning, animal was processed then released</t>
  </si>
  <si>
    <t>11979</t>
  </si>
  <si>
    <t>11980</t>
  </si>
  <si>
    <t>M032-16</t>
  </si>
  <si>
    <t>2*,7</t>
  </si>
  <si>
    <t>M028-16</t>
  </si>
  <si>
    <t>Bot fly near genitals</t>
  </si>
  <si>
    <t>Small cut on left ear, this is where mites are</t>
  </si>
  <si>
    <t>Released before reading tags</t>
  </si>
  <si>
    <t>11982</t>
  </si>
  <si>
    <t>11981</t>
  </si>
  <si>
    <t xml:space="preserve">Only one mite custer </t>
  </si>
  <si>
    <t>Patch of fur without fur on left side of neck</t>
  </si>
  <si>
    <t>11984</t>
  </si>
  <si>
    <t>11983</t>
  </si>
  <si>
    <t>M079-16</t>
  </si>
  <si>
    <t>*** NO MITES but fecal sample collected since there appears to be orange in it</t>
  </si>
  <si>
    <t>Not cut, on list</t>
  </si>
  <si>
    <t>F307-16</t>
  </si>
  <si>
    <t>F306-16</t>
  </si>
  <si>
    <t>Found in trap with a vole, vagine was really red (raped?)</t>
  </si>
  <si>
    <t>F315-16</t>
  </si>
  <si>
    <t>F338-16</t>
  </si>
  <si>
    <t>No mites but apeared to have orange (mites?) in fecal, sample collected</t>
  </si>
  <si>
    <t>11986</t>
  </si>
  <si>
    <t>11985</t>
  </si>
  <si>
    <t>Bot flies on neck and near genitals</t>
  </si>
  <si>
    <t>5092</t>
  </si>
  <si>
    <t>50872</t>
  </si>
  <si>
    <t>50871</t>
  </si>
  <si>
    <t>P048-16</t>
  </si>
  <si>
    <t>Left ear is bloody and has scabs around the ear tag</t>
  </si>
  <si>
    <t>Left ear is bloddy and has scabs around the ear tag</t>
  </si>
  <si>
    <t>11987</t>
  </si>
  <si>
    <t>11988</t>
  </si>
  <si>
    <t>2*,5</t>
  </si>
  <si>
    <t>* Most mites on left ear are found in zone 2</t>
  </si>
  <si>
    <t xml:space="preserve">Left side of abdomen has an area with scars and no fur (from bot fly?) </t>
  </si>
  <si>
    <t>50874</t>
  </si>
  <si>
    <t>50873</t>
  </si>
  <si>
    <t>Bot fly beside right arm</t>
  </si>
  <si>
    <t>11990</t>
  </si>
  <si>
    <t>11989</t>
  </si>
  <si>
    <t>50695</t>
  </si>
  <si>
    <t>Bot flies around genitals</t>
  </si>
  <si>
    <t>50875</t>
  </si>
  <si>
    <t>50925</t>
  </si>
  <si>
    <t>Trap found on its side</t>
  </si>
  <si>
    <t>50501</t>
  </si>
  <si>
    <t>Scabs around tag (mites on the scabs)</t>
  </si>
  <si>
    <t>Scabs around the ear tag (this is where mites are found)</t>
  </si>
  <si>
    <t>Bot fly around genitals</t>
  </si>
  <si>
    <t>There is a rip in the right ear, but no mites (looks healed)</t>
  </si>
  <si>
    <t>11992</t>
  </si>
  <si>
    <t>11991</t>
  </si>
  <si>
    <t>Late in morning, animal was processed and then released</t>
  </si>
  <si>
    <t>5*</t>
  </si>
  <si>
    <t>* Left ear is riped from previous ear tag. One mite cluster at the base of the rip. There are also mites are the base of the ear</t>
  </si>
  <si>
    <t>F1016-16</t>
  </si>
  <si>
    <t>2,5,6</t>
  </si>
  <si>
    <t>50928</t>
  </si>
  <si>
    <t>50927</t>
  </si>
  <si>
    <t>Released before looking for mites</t>
  </si>
  <si>
    <t>P096-16</t>
  </si>
  <si>
    <t>Cloiudy</t>
  </si>
  <si>
    <t>Growth on lower abdomen (bot fly?)</t>
  </si>
  <si>
    <t>F1019-16</t>
  </si>
  <si>
    <t>50538</t>
  </si>
  <si>
    <t>F1002-16</t>
  </si>
  <si>
    <t>17940</t>
  </si>
  <si>
    <t>Patch of skin without fur on lower left side of jaw/throat (from bot fly?)</t>
  </si>
  <si>
    <t>*Left ear zone 3: small rip in ear, mites are along this rip</t>
  </si>
  <si>
    <t>17927</t>
  </si>
  <si>
    <t>50929</t>
  </si>
  <si>
    <t>Retagged on left ear</t>
  </si>
  <si>
    <t>Retag on left ear</t>
  </si>
  <si>
    <t>Left ear has rip from previous tag</t>
  </si>
  <si>
    <t>Mitesare found at the base of the rip</t>
  </si>
  <si>
    <t>Only 1 cluster</t>
  </si>
  <si>
    <t>50842</t>
  </si>
  <si>
    <t>F1028-16</t>
  </si>
  <si>
    <t>Rip in left ear, mites are found at te base of this rip</t>
  </si>
  <si>
    <t>17926</t>
  </si>
  <si>
    <t>11998</t>
  </si>
  <si>
    <t>Very cold, wrapped in stuffing. No measurements taken</t>
  </si>
  <si>
    <t>Open wound beside genitals</t>
  </si>
  <si>
    <t>50665</t>
  </si>
  <si>
    <t>50664</t>
  </si>
  <si>
    <t>2876</t>
  </si>
  <si>
    <t>2877</t>
  </si>
  <si>
    <t>Not OMNR tags</t>
  </si>
  <si>
    <t>Only 1 mite cluster</t>
  </si>
  <si>
    <t>F1043-16</t>
  </si>
  <si>
    <t>F1006-16</t>
  </si>
  <si>
    <t>F1025-16</t>
  </si>
  <si>
    <t>50836</t>
  </si>
  <si>
    <t>50935</t>
  </si>
  <si>
    <t>50937</t>
  </si>
  <si>
    <t>50936</t>
  </si>
  <si>
    <t>One cluster of mites at each zone</t>
  </si>
  <si>
    <t>F1026-16</t>
  </si>
  <si>
    <t>M084-16; M085-16</t>
  </si>
  <si>
    <t>2,6,7</t>
  </si>
  <si>
    <t xml:space="preserve">Mites seen moving individually!!! </t>
  </si>
  <si>
    <t>M084-16 has one moving mite</t>
  </si>
  <si>
    <t xml:space="preserve">M085-16 has a group of mites collected on a piece of tissue </t>
  </si>
  <si>
    <t>2878</t>
  </si>
  <si>
    <t>Not OMNR tag</t>
  </si>
  <si>
    <t>Subcutaneous botfly in genital region</t>
  </si>
  <si>
    <t>F1001-16</t>
  </si>
  <si>
    <t>2879</t>
  </si>
  <si>
    <t>2,3,4</t>
  </si>
  <si>
    <t>2,5</t>
  </si>
  <si>
    <t>Only 1 cluster of mites in zone 3, 4, 5</t>
  </si>
  <si>
    <t>2880</t>
  </si>
  <si>
    <t>Tick on posterior side of left ear</t>
  </si>
  <si>
    <t>Botfly on left side of abdomen</t>
  </si>
  <si>
    <t>Raining</t>
  </si>
  <si>
    <t>2,4,6,7</t>
  </si>
  <si>
    <t>On the right ear, mites in zone 6 are along rip from previous tag</t>
  </si>
  <si>
    <t>Rip on left ear but no mites on the edge of it</t>
  </si>
  <si>
    <t>2881</t>
  </si>
  <si>
    <t>No measurements taken because of rain</t>
  </si>
  <si>
    <t>Only 1 custer in zone 5</t>
  </si>
  <si>
    <t>2882</t>
  </si>
  <si>
    <t>Botfly wound on shoulder</t>
  </si>
  <si>
    <t>50335</t>
  </si>
  <si>
    <t>50334</t>
  </si>
  <si>
    <t>Only 1 cluster on the right ear</t>
  </si>
  <si>
    <t>F1010-16</t>
  </si>
  <si>
    <t>F1011-16</t>
  </si>
  <si>
    <t>Cut on left ear, mite on cut</t>
  </si>
  <si>
    <t>Round mass on abdomen</t>
  </si>
  <si>
    <t>F1015-16</t>
  </si>
  <si>
    <t>50845</t>
  </si>
  <si>
    <t>50846</t>
  </si>
  <si>
    <t>2883</t>
  </si>
  <si>
    <t>11962</t>
  </si>
  <si>
    <t>11954</t>
  </si>
  <si>
    <t>50996</t>
  </si>
  <si>
    <t>11961</t>
  </si>
  <si>
    <t>3 Bot flies on abdomin</t>
  </si>
  <si>
    <t>Half of tail missing</t>
  </si>
  <si>
    <t>New</t>
  </si>
  <si>
    <t>*Did not take pictures or score because Sarah is the worst</t>
  </si>
  <si>
    <t>F1037-16</t>
  </si>
  <si>
    <t>2884</t>
  </si>
  <si>
    <t>P107-16</t>
  </si>
  <si>
    <t>2886</t>
  </si>
  <si>
    <t>2885</t>
  </si>
  <si>
    <t>F1005-16</t>
  </si>
  <si>
    <t>50656</t>
  </si>
  <si>
    <t>2887</t>
  </si>
  <si>
    <t>2888</t>
  </si>
  <si>
    <t>2889</t>
  </si>
  <si>
    <t>2890</t>
  </si>
  <si>
    <t>M077-16</t>
  </si>
  <si>
    <t xml:space="preserve">Small, circular open wound beside genitals </t>
  </si>
  <si>
    <t>P084-16</t>
  </si>
  <si>
    <t>F1021-16</t>
  </si>
  <si>
    <t>F1000-16</t>
  </si>
  <si>
    <t>2891</t>
  </si>
  <si>
    <t xml:space="preserve">Very cold, wraped in bedding </t>
  </si>
  <si>
    <t>5,6,7</t>
  </si>
  <si>
    <t>Zone 7 has scab, this is where mites are on these</t>
  </si>
  <si>
    <t>50731</t>
  </si>
  <si>
    <t>50832</t>
  </si>
  <si>
    <t>Bot fly on left side of abdomen</t>
  </si>
  <si>
    <t>2,6*,7</t>
  </si>
  <si>
    <t>*Zone 6 on the right ear is from an old tag; there is a cut here and mites are on the cut</t>
  </si>
  <si>
    <t>Left ear is cut up from an old tag (looks healed, 1 mite)</t>
  </si>
  <si>
    <t>2892</t>
  </si>
  <si>
    <t>M037-16</t>
  </si>
  <si>
    <t>2893</t>
  </si>
  <si>
    <t>M037-17</t>
  </si>
  <si>
    <t>2895</t>
  </si>
  <si>
    <t>2894</t>
  </si>
  <si>
    <t>F1041-16</t>
  </si>
  <si>
    <t>2897</t>
  </si>
  <si>
    <t>2896</t>
  </si>
  <si>
    <t>F1020-16</t>
  </si>
  <si>
    <t>Wound on shoulder</t>
  </si>
  <si>
    <t>Scabbing around ear tag but no mites</t>
  </si>
  <si>
    <t>Rip in left ear, but no mites on rip (looks healed)</t>
  </si>
  <si>
    <t>Scabs around ear tags (mites on scabs)</t>
  </si>
  <si>
    <t>F1031-16</t>
  </si>
  <si>
    <t>Bot fly emerging from left arm</t>
  </si>
  <si>
    <t>50840</t>
  </si>
  <si>
    <t>2898</t>
  </si>
  <si>
    <t>M094-16</t>
  </si>
  <si>
    <t>1,4,6</t>
  </si>
  <si>
    <t>F1040-16</t>
  </si>
  <si>
    <t>F1036-16</t>
  </si>
  <si>
    <t>Bot fly beside genitals</t>
  </si>
  <si>
    <t>F1004-16</t>
  </si>
  <si>
    <t>2899</t>
  </si>
  <si>
    <t>2900</t>
  </si>
  <si>
    <t>M096-16</t>
  </si>
  <si>
    <t>2577</t>
  </si>
  <si>
    <t>2576</t>
  </si>
  <si>
    <t>2578</t>
  </si>
  <si>
    <t>2580</t>
  </si>
  <si>
    <t>2579</t>
  </si>
  <si>
    <t>F1012-16</t>
  </si>
  <si>
    <t>2650</t>
  </si>
  <si>
    <t>2589</t>
  </si>
  <si>
    <t>2590</t>
  </si>
  <si>
    <t>2592</t>
  </si>
  <si>
    <t>2591</t>
  </si>
  <si>
    <t>F1067-16</t>
  </si>
  <si>
    <t>2594</t>
  </si>
  <si>
    <t>2593</t>
  </si>
  <si>
    <t>F1071-16</t>
  </si>
  <si>
    <t>2595</t>
  </si>
  <si>
    <t>Area without fur on left side of face</t>
  </si>
  <si>
    <t>F1050-16</t>
  </si>
  <si>
    <t>2597</t>
  </si>
  <si>
    <t>2596</t>
  </si>
  <si>
    <t>F1068-16</t>
  </si>
  <si>
    <t>2598</t>
  </si>
  <si>
    <t>2599</t>
  </si>
  <si>
    <t>M047-16</t>
  </si>
  <si>
    <t>2600</t>
  </si>
  <si>
    <t>Tic on left side of face</t>
  </si>
  <si>
    <t>2526</t>
  </si>
  <si>
    <t>2,4,5,7</t>
  </si>
  <si>
    <t>Only 1 mite at zone 5</t>
  </si>
  <si>
    <t>Rip in zone 4, mites are along therip</t>
  </si>
  <si>
    <t>2527</t>
  </si>
  <si>
    <t>2528</t>
  </si>
  <si>
    <t>Only 1 mite in zone 3 (cut in ear, mite on cut)</t>
  </si>
  <si>
    <t>2529</t>
  </si>
  <si>
    <t>Left ear is riped from previous ear tag</t>
  </si>
  <si>
    <t>Left ear is riped from old tag, mites are here</t>
  </si>
  <si>
    <t>"Circle" in left ear, mites around this circle (this represents zone 5)</t>
  </si>
  <si>
    <t>Bot fly beside hind left leg</t>
  </si>
  <si>
    <t>Last 2 apendiges on left from leg were bloody</t>
  </si>
  <si>
    <t>F1062-16</t>
  </si>
  <si>
    <t>2530</t>
  </si>
  <si>
    <t>F1030-16</t>
  </si>
  <si>
    <t>2531</t>
  </si>
  <si>
    <t>M095-16</t>
  </si>
  <si>
    <t>trap Disturbance</t>
  </si>
  <si>
    <t>F1051-16</t>
  </si>
  <si>
    <t>2533</t>
  </si>
  <si>
    <t>2532</t>
  </si>
  <si>
    <t>F1059-16</t>
  </si>
  <si>
    <t>2534</t>
  </si>
  <si>
    <t>2535</t>
  </si>
  <si>
    <t>Trap found on side</t>
  </si>
  <si>
    <t>Only 1 mite in zone 5</t>
  </si>
  <si>
    <t>2537</t>
  </si>
  <si>
    <t>2536</t>
  </si>
  <si>
    <t>F1046-16</t>
  </si>
  <si>
    <t>F1053-16</t>
  </si>
  <si>
    <t>Bot fly beside genitals and front legs</t>
  </si>
  <si>
    <t>Only 1 mite</t>
  </si>
  <si>
    <t>Very cold, no measurements taken</t>
  </si>
  <si>
    <t>2538</t>
  </si>
  <si>
    <t>F1056-16</t>
  </si>
  <si>
    <t>2,4,7</t>
  </si>
  <si>
    <t>Cut in left ear, this is where the mite from zone 4 is</t>
  </si>
  <si>
    <t>Dead skin around mites</t>
  </si>
  <si>
    <t>2539</t>
  </si>
  <si>
    <t>Most mites from right ear asre in zone 6</t>
  </si>
  <si>
    <t>Rip in right ear, mites are along the ede and at the base of the rip (the base is under the curent ear tag)</t>
  </si>
  <si>
    <t>2540</t>
  </si>
  <si>
    <t>50957</t>
  </si>
  <si>
    <t>50962</t>
  </si>
  <si>
    <t>F1060-16</t>
  </si>
  <si>
    <t>2541</t>
  </si>
  <si>
    <t>Missing part of tail</t>
  </si>
  <si>
    <t>P090-16</t>
  </si>
  <si>
    <t xml:space="preserve">Left ear is riped from old tag, NO  mites </t>
  </si>
  <si>
    <t>F1009-16</t>
  </si>
  <si>
    <t>2a</t>
  </si>
  <si>
    <t>2543</t>
  </si>
  <si>
    <t>2542</t>
  </si>
  <si>
    <t>2,7</t>
  </si>
  <si>
    <t>Dry skin around mites (sign that there used to be more?)</t>
  </si>
  <si>
    <t>Can see where mites fell off</t>
  </si>
  <si>
    <t>2544</t>
  </si>
  <si>
    <t>2545</t>
  </si>
  <si>
    <t>50740</t>
  </si>
  <si>
    <t>Bot fly on abdomen</t>
  </si>
  <si>
    <t>Left ear is riped from old tag, mites are at the base</t>
  </si>
  <si>
    <t>50314</t>
  </si>
  <si>
    <t>Two mites also seen moving around on the left ear</t>
  </si>
  <si>
    <t>Multiple bot flies around genitals</t>
  </si>
  <si>
    <t>26633</t>
  </si>
  <si>
    <t>Bot fly emerging beside right arm</t>
  </si>
  <si>
    <t>Can tell that there used to be more mites in zone 2 (left ear)</t>
  </si>
  <si>
    <t>2546</t>
  </si>
  <si>
    <t>2548</t>
  </si>
  <si>
    <t>2547</t>
  </si>
  <si>
    <t>F1047-16</t>
  </si>
  <si>
    <t>Patch without fur behind right ear</t>
  </si>
  <si>
    <t>M089-16</t>
  </si>
  <si>
    <t>Left ear is riped from old tag</t>
  </si>
  <si>
    <t>"Circle" in ear</t>
  </si>
  <si>
    <t>Mites are aroind circle and under the rip</t>
  </si>
  <si>
    <t>Only a few mites in zone 6 (they are behind the ear tag)</t>
  </si>
  <si>
    <t>F1058-16</t>
  </si>
  <si>
    <t xml:space="preserve">Mites and skin on ears is starting to come off </t>
  </si>
  <si>
    <t>17954</t>
  </si>
  <si>
    <t>2549</t>
  </si>
  <si>
    <t>Bot fly near back right leg</t>
  </si>
  <si>
    <t>Able to rub off mites</t>
  </si>
  <si>
    <t>Rip in right ear from old tag, mites here</t>
  </si>
  <si>
    <t>F1045-16</t>
  </si>
  <si>
    <t>Rip in left ear, no mites on this rip</t>
  </si>
  <si>
    <t>2550</t>
  </si>
  <si>
    <t>M087-16</t>
  </si>
  <si>
    <t>One mite on penis</t>
  </si>
  <si>
    <t>2931</t>
  </si>
  <si>
    <t>F1073-16</t>
  </si>
  <si>
    <t>F316-16</t>
  </si>
  <si>
    <t>F311-16</t>
  </si>
  <si>
    <t>L28</t>
  </si>
  <si>
    <t>O13</t>
  </si>
  <si>
    <t>Unknown</t>
  </si>
  <si>
    <t>11951</t>
  </si>
  <si>
    <t>Escaped before skull length could be taken</t>
  </si>
  <si>
    <t>11953</t>
  </si>
  <si>
    <t>11952</t>
  </si>
  <si>
    <t>P112-16</t>
  </si>
  <si>
    <t xml:space="preserve">Raining </t>
  </si>
  <si>
    <t>Right ear ripped</t>
  </si>
  <si>
    <t>raining</t>
  </si>
  <si>
    <t>P118-16; P119-16</t>
  </si>
  <si>
    <t>Tail very short, partially torn off</t>
  </si>
  <si>
    <t>MV</t>
  </si>
  <si>
    <t>11955</t>
  </si>
  <si>
    <t>11956</t>
  </si>
  <si>
    <t>P116-16</t>
  </si>
  <si>
    <t>15351</t>
  </si>
  <si>
    <t>M083-16</t>
  </si>
  <si>
    <t>11957</t>
  </si>
  <si>
    <t>11958</t>
  </si>
  <si>
    <t>11959</t>
  </si>
  <si>
    <t>Tick on left side of face</t>
  </si>
  <si>
    <t>1,2,6,7</t>
  </si>
  <si>
    <t>1,2,4</t>
  </si>
  <si>
    <t>F1014-16</t>
  </si>
  <si>
    <t>F1027-16</t>
  </si>
  <si>
    <t>F1013-16</t>
  </si>
  <si>
    <t>F1035-16</t>
  </si>
  <si>
    <t>F1022-16</t>
  </si>
  <si>
    <t>F1029-16</t>
  </si>
  <si>
    <t>11960</t>
  </si>
  <si>
    <t>11963</t>
  </si>
  <si>
    <t>SM</t>
  </si>
  <si>
    <t>11966</t>
  </si>
  <si>
    <t>11967</t>
  </si>
  <si>
    <t>bot fly on genitals</t>
  </si>
  <si>
    <t>P115-16</t>
  </si>
  <si>
    <t>11968</t>
  </si>
  <si>
    <t>P120-16</t>
  </si>
  <si>
    <t>50456</t>
  </si>
  <si>
    <t>50995</t>
  </si>
  <si>
    <t>11969</t>
  </si>
  <si>
    <t>11970</t>
  </si>
  <si>
    <t>11972</t>
  </si>
  <si>
    <t>11971</t>
  </si>
  <si>
    <t>Tail broken off</t>
  </si>
  <si>
    <t>11973</t>
  </si>
  <si>
    <t>11974</t>
  </si>
  <si>
    <t>17959</t>
  </si>
  <si>
    <t>50823</t>
  </si>
  <si>
    <t>50822</t>
  </si>
  <si>
    <t>Was getting late in the morning animal had to be released</t>
  </si>
  <si>
    <t>11975</t>
  </si>
  <si>
    <t>17958</t>
  </si>
  <si>
    <t>11964</t>
  </si>
  <si>
    <t>P081-16</t>
  </si>
  <si>
    <t>11965</t>
  </si>
  <si>
    <t>single mite present</t>
  </si>
  <si>
    <t>2802</t>
  </si>
  <si>
    <t>2801</t>
  </si>
  <si>
    <t>P117-16</t>
  </si>
  <si>
    <t>F1017-16</t>
  </si>
  <si>
    <t>F1032-16</t>
  </si>
  <si>
    <t>F1024-16</t>
  </si>
  <si>
    <t>F1003-16</t>
  </si>
  <si>
    <t>F1034-16</t>
  </si>
  <si>
    <t>F1007-16</t>
  </si>
  <si>
    <t>F1038-16</t>
  </si>
  <si>
    <t>F1039-16</t>
  </si>
  <si>
    <t>F1042-16</t>
  </si>
  <si>
    <t>F1033-16</t>
  </si>
  <si>
    <t>F321-16</t>
  </si>
  <si>
    <t>F326-16</t>
  </si>
  <si>
    <t>F329-16</t>
  </si>
  <si>
    <t>R17</t>
  </si>
  <si>
    <t>F342-16</t>
  </si>
  <si>
    <t>50489</t>
  </si>
  <si>
    <t>2950</t>
  </si>
  <si>
    <t>2949</t>
  </si>
  <si>
    <t>P129-16</t>
  </si>
  <si>
    <t>2948</t>
  </si>
  <si>
    <t>P135-16</t>
  </si>
  <si>
    <t>2947</t>
  </si>
  <si>
    <t>P111-16</t>
  </si>
  <si>
    <t>2946</t>
  </si>
  <si>
    <t>2945</t>
  </si>
  <si>
    <t>2944</t>
  </si>
  <si>
    <t>2943</t>
  </si>
  <si>
    <t>A single mite on each ear</t>
  </si>
  <si>
    <t>2942</t>
  </si>
  <si>
    <t>2941</t>
  </si>
  <si>
    <t>P130-16</t>
  </si>
  <si>
    <t>Single mite on each ear</t>
  </si>
  <si>
    <t>2940</t>
  </si>
  <si>
    <t>Animal was cold, therfore it was released</t>
  </si>
  <si>
    <t>Catarach in one eye</t>
  </si>
  <si>
    <t>New Tag/Released</t>
  </si>
  <si>
    <t>2939</t>
  </si>
  <si>
    <t>Left ear had a single mite</t>
  </si>
  <si>
    <t>2938</t>
  </si>
  <si>
    <t>2937</t>
  </si>
  <si>
    <t>Single mite on the right ear</t>
  </si>
  <si>
    <t>Single mite on the left ear</t>
  </si>
  <si>
    <t>F1064-16</t>
  </si>
  <si>
    <t>F1049-16</t>
  </si>
  <si>
    <t>2936</t>
  </si>
  <si>
    <t>2935</t>
  </si>
  <si>
    <t>P086-16</t>
  </si>
  <si>
    <t>P134-16</t>
  </si>
  <si>
    <t>2934</t>
  </si>
  <si>
    <t>M057-16</t>
  </si>
  <si>
    <t>2933</t>
  </si>
  <si>
    <t>P082-16</t>
  </si>
  <si>
    <t>Single mite present on right ear</t>
  </si>
  <si>
    <t>2932</t>
  </si>
  <si>
    <t>P126-16; P136-16</t>
  </si>
  <si>
    <t>P128-16</t>
  </si>
  <si>
    <t>possible bot fly scar on chest</t>
  </si>
  <si>
    <t>50923</t>
  </si>
  <si>
    <t>50922</t>
  </si>
  <si>
    <t>Bot fly on chest or possible scar</t>
  </si>
  <si>
    <t>50799</t>
  </si>
  <si>
    <t>50798</t>
  </si>
  <si>
    <t>NCR</t>
  </si>
  <si>
    <t>Infection around left eye</t>
  </si>
  <si>
    <t>F1069-16</t>
  </si>
  <si>
    <t>F1048-16</t>
  </si>
  <si>
    <t>F1061-16</t>
  </si>
  <si>
    <t>F1066-16</t>
  </si>
  <si>
    <t>F1070-16</t>
  </si>
  <si>
    <t>F1063-16</t>
  </si>
  <si>
    <t>F1052-16</t>
  </si>
  <si>
    <t>F1072-16</t>
  </si>
  <si>
    <t>F1057-16</t>
  </si>
  <si>
    <t>Bot fly scar on right side of chest</t>
  </si>
  <si>
    <t>50577</t>
  </si>
  <si>
    <t>50576</t>
  </si>
  <si>
    <t>50886</t>
  </si>
  <si>
    <t>50885</t>
  </si>
  <si>
    <t>P114-16</t>
  </si>
  <si>
    <t>2825</t>
  </si>
  <si>
    <t>2824</t>
  </si>
  <si>
    <t>Multiple bot flies on genitals</t>
  </si>
  <si>
    <t>2823</t>
  </si>
  <si>
    <t>50767</t>
  </si>
  <si>
    <t>Was getting late in the day, therefore the animal had to be released</t>
  </si>
  <si>
    <t>F1054-16</t>
  </si>
  <si>
    <t>F1065-16</t>
  </si>
  <si>
    <t>Sample was accidentally put in ethanol vila visit, before being transffered to a regular eppendorff</t>
  </si>
  <si>
    <t>2 min</t>
  </si>
  <si>
    <t>F201-16</t>
  </si>
  <si>
    <t>9-10 (Bx3)</t>
  </si>
  <si>
    <t>77-75 (Bx4)</t>
  </si>
  <si>
    <t>F271-16</t>
  </si>
  <si>
    <t>I5</t>
  </si>
  <si>
    <t>75-76 (Bx4)</t>
  </si>
  <si>
    <t>Child of 2698/2697, end of the tail came off</t>
  </si>
  <si>
    <t>F207-16</t>
  </si>
  <si>
    <t>11-12 (Bx3)</t>
  </si>
  <si>
    <t>TBD</t>
  </si>
  <si>
    <t>73-74 (Bx4)</t>
  </si>
  <si>
    <t>F097-16</t>
  </si>
  <si>
    <t>65-66 (Bx4)</t>
  </si>
  <si>
    <t>First capture, child of 2695/2694</t>
  </si>
  <si>
    <t>F225-16</t>
  </si>
  <si>
    <t>67-68 (Bx4)</t>
  </si>
  <si>
    <t>F276-16</t>
  </si>
  <si>
    <t>69-70 (Bx4)</t>
  </si>
  <si>
    <t>Child of 2695/2694</t>
  </si>
  <si>
    <t>F280-16</t>
  </si>
  <si>
    <t>71-72 (Bx4)</t>
  </si>
  <si>
    <t>Child of 2695/2693</t>
  </si>
  <si>
    <t>J2</t>
  </si>
  <si>
    <t>F301-16</t>
  </si>
  <si>
    <t>57-58 (Bx4)</t>
  </si>
  <si>
    <t>56-57 (Bx3)</t>
  </si>
  <si>
    <t>I2</t>
  </si>
  <si>
    <t>74-75 (Bx3)</t>
  </si>
  <si>
    <t>J7</t>
  </si>
  <si>
    <t>68-69 (Bx3)</t>
  </si>
  <si>
    <t>J3</t>
  </si>
  <si>
    <t>59-60 (Bx4)</t>
  </si>
  <si>
    <t>F283-16</t>
  </si>
  <si>
    <t>61-62 (Bx4)</t>
  </si>
  <si>
    <t>J5</t>
  </si>
  <si>
    <t>F239-16</t>
  </si>
  <si>
    <t>64-65 (Bx3)</t>
  </si>
  <si>
    <t>F296-16</t>
  </si>
  <si>
    <t>55-56 (Bx4)</t>
  </si>
  <si>
    <t>J10</t>
  </si>
  <si>
    <t>F256-16</t>
  </si>
  <si>
    <t>I3</t>
  </si>
  <si>
    <t>76-77 (Bx3)</t>
  </si>
  <si>
    <t>F150-16</t>
  </si>
  <si>
    <t>53-54 (Bx4)</t>
  </si>
  <si>
    <t>J8</t>
  </si>
  <si>
    <t>F252-16</t>
  </si>
  <si>
    <t>70-71 (Bx3)</t>
  </si>
  <si>
    <t>F309-16</t>
  </si>
  <si>
    <t>16-17 (Bx4)</t>
  </si>
  <si>
    <t>Child of 50723/50722</t>
  </si>
  <si>
    <t>F278-16</t>
  </si>
  <si>
    <t>38-39 (Bx4)</t>
  </si>
  <si>
    <t>Child of 2699/2700</t>
  </si>
  <si>
    <t xml:space="preserve">2min  </t>
  </si>
  <si>
    <t>F208-16</t>
  </si>
  <si>
    <t>13-14 (Bx3)</t>
  </si>
  <si>
    <t>F255-16</t>
  </si>
  <si>
    <t>3-4 (Bx4)</t>
  </si>
  <si>
    <t>51-52 (Bx4)</t>
  </si>
  <si>
    <t>1min</t>
  </si>
  <si>
    <t>F209-16</t>
  </si>
  <si>
    <t>19-20 (Bx3)</t>
  </si>
  <si>
    <t>F297-16</t>
  </si>
  <si>
    <t>8-9 (Bx4)</t>
  </si>
  <si>
    <t>47-48 (Bx4)</t>
  </si>
  <si>
    <t>F211-16</t>
  </si>
  <si>
    <t>81-83 (Bx3)</t>
  </si>
  <si>
    <t>F224-16</t>
  </si>
  <si>
    <t>41-42 (Bx4)</t>
  </si>
  <si>
    <t>F218-16</t>
  </si>
  <si>
    <t>38-39 (Bx3)</t>
  </si>
  <si>
    <t>F341-16</t>
  </si>
  <si>
    <t>43-44 (Bx4)</t>
  </si>
  <si>
    <t>94-95 (Bx3)</t>
  </si>
  <si>
    <t>F343-16</t>
  </si>
  <si>
    <t>45-46 (Bx4)</t>
  </si>
  <si>
    <t xml:space="preserve">I1 </t>
  </si>
  <si>
    <t>F023-16</t>
  </si>
  <si>
    <t>92-93 (Bx2)</t>
  </si>
  <si>
    <t xml:space="preserve">Child of 2698/2697 </t>
  </si>
  <si>
    <t>5MIN</t>
  </si>
  <si>
    <t>I8</t>
  </si>
  <si>
    <t>90-91 (Bx3)</t>
  </si>
  <si>
    <t>Child of 2698/2697</t>
  </si>
  <si>
    <t>F312-16</t>
  </si>
  <si>
    <t>79-80 (Bx4)</t>
  </si>
  <si>
    <t>18-19 (Bx4)</t>
  </si>
  <si>
    <t>54-55 (Bx3)</t>
  </si>
  <si>
    <t>F009-16</t>
  </si>
  <si>
    <t>94-95 (Bx2)</t>
  </si>
  <si>
    <t>96-97 (Bx2)</t>
  </si>
  <si>
    <t>14-15 (Bx4)</t>
  </si>
  <si>
    <t>20-21 (Bx4)</t>
  </si>
  <si>
    <t>22-23 (Bx4)</t>
  </si>
  <si>
    <t>Child of 50723/50722, only onre sample for hemtocrit ratio</t>
  </si>
  <si>
    <t>TAG NUMB</t>
  </si>
  <si>
    <t>24-25 (Bx4)</t>
  </si>
  <si>
    <t>I7</t>
  </si>
  <si>
    <t>23-24 (Bx3)</t>
  </si>
  <si>
    <t>2447</t>
  </si>
  <si>
    <t>26-27 (Bx4)</t>
  </si>
  <si>
    <t>11994</t>
  </si>
  <si>
    <t>28-29 (Bx4)</t>
  </si>
  <si>
    <t>17596</t>
  </si>
  <si>
    <t>30-31 (Bx4)</t>
  </si>
  <si>
    <t>F234-16</t>
  </si>
  <si>
    <t>17-18 (Bx3)</t>
  </si>
  <si>
    <t>F220-16</t>
  </si>
  <si>
    <t>J4</t>
  </si>
  <si>
    <t>5-7 (Bx3)</t>
  </si>
  <si>
    <t>50918</t>
  </si>
  <si>
    <t>F203-16</t>
  </si>
  <si>
    <t>46-48 (Bx3)</t>
  </si>
  <si>
    <t>I6</t>
  </si>
  <si>
    <t>84-85 (Bx3)</t>
  </si>
  <si>
    <t>50884</t>
  </si>
  <si>
    <t>40-41 (Bx3)</t>
  </si>
  <si>
    <t>86-87 (Bx3)</t>
  </si>
  <si>
    <t>88-89 (Bx3)</t>
  </si>
  <si>
    <t>F243-16</t>
  </si>
  <si>
    <t>5-6 (Bx2)</t>
  </si>
  <si>
    <t>2849</t>
  </si>
  <si>
    <t>2850</t>
  </si>
  <si>
    <t>Child of 50422/50423</t>
  </si>
  <si>
    <t>I9</t>
  </si>
  <si>
    <t>92-93 (Bx3)</t>
  </si>
  <si>
    <t xml:space="preserve">J1 </t>
  </si>
  <si>
    <t>96-97 (Bx3)</t>
  </si>
  <si>
    <t>98-99 (Bx3)</t>
  </si>
  <si>
    <t>I4</t>
  </si>
  <si>
    <t>F024-16</t>
  </si>
  <si>
    <t>98-99 (Bx2)</t>
  </si>
  <si>
    <t>7min</t>
  </si>
  <si>
    <t>1-2 (Bx4)</t>
  </si>
  <si>
    <t>2788</t>
  </si>
  <si>
    <t>2787</t>
  </si>
  <si>
    <t>28-29 (Bx3)</t>
  </si>
  <si>
    <t>F188-16</t>
  </si>
  <si>
    <t>53-54 (Bx2)</t>
  </si>
  <si>
    <t>50701</t>
  </si>
  <si>
    <t>50703</t>
  </si>
  <si>
    <t>30-31 (Bx3)</t>
  </si>
  <si>
    <t>F237-16</t>
  </si>
  <si>
    <t>12-13 (Bx4)</t>
  </si>
  <si>
    <t>F231-16</t>
  </si>
  <si>
    <t>J6</t>
  </si>
  <si>
    <t>10-11 (Bx4)</t>
  </si>
  <si>
    <t>F215-16</t>
  </si>
  <si>
    <t>7-8 (Bx3)</t>
  </si>
  <si>
    <t>36-37 (Bx3)</t>
  </si>
  <si>
    <t>42-43 (Bx3)</t>
  </si>
  <si>
    <t>44-45 (Bx3)</t>
  </si>
  <si>
    <t>50341</t>
  </si>
  <si>
    <t>50340</t>
  </si>
  <si>
    <t>F247-16</t>
  </si>
  <si>
    <t xml:space="preserve">H1 </t>
  </si>
  <si>
    <t>49-51 (Bx3)</t>
  </si>
  <si>
    <t>2min</t>
  </si>
  <si>
    <t>F229-16</t>
  </si>
  <si>
    <t>21-22 (Bx3)</t>
  </si>
  <si>
    <t>F217-16</t>
  </si>
  <si>
    <t>15-16 (Bx3)</t>
  </si>
  <si>
    <t>32-33 (Bx3)</t>
  </si>
  <si>
    <t>25-27 (Bx3)</t>
  </si>
  <si>
    <t>Only 1 hematocrit sample</t>
  </si>
  <si>
    <t>78-79 (Bx3)</t>
  </si>
  <si>
    <t>NH</t>
  </si>
  <si>
    <t>F241-16</t>
  </si>
  <si>
    <t>80 (Bx3)</t>
  </si>
  <si>
    <t>Only 1 hep ratio sample</t>
  </si>
  <si>
    <t>52-53 (Bx3)</t>
  </si>
  <si>
    <t>F222-16</t>
  </si>
  <si>
    <t>60-61 (Bx3)</t>
  </si>
  <si>
    <t>62-63 (Bx3)</t>
  </si>
  <si>
    <t>66-67 (BX3)</t>
  </si>
  <si>
    <t>72-73 (Bx3)</t>
  </si>
  <si>
    <t>F290-16</t>
  </si>
  <si>
    <t>40 (Bx4)</t>
  </si>
  <si>
    <t>Child of 2699/2700, single hematocrit sample</t>
  </si>
  <si>
    <t>F272-16</t>
  </si>
  <si>
    <t>36-37 (Bx4)</t>
  </si>
  <si>
    <t>F291-16</t>
  </si>
  <si>
    <t>34-35 (Bx4)</t>
  </si>
  <si>
    <t>F277-16</t>
  </si>
  <si>
    <t>32-33 (Bx4)</t>
  </si>
  <si>
    <t>Experimental group</t>
  </si>
  <si>
    <t>Inhibted Exposure</t>
  </si>
  <si>
    <t>Delayed Exposure</t>
  </si>
  <si>
    <t>Full Exposure</t>
  </si>
  <si>
    <t>20, 39 (Bx2)</t>
  </si>
  <si>
    <t>1 (Bx1)</t>
  </si>
  <si>
    <t>58-59 (Bx1)</t>
  </si>
  <si>
    <t>26-27 (Bx1)</t>
  </si>
  <si>
    <t>42 (Bx2)</t>
  </si>
  <si>
    <t>F129-16</t>
  </si>
  <si>
    <t>75-76 (Bx1)</t>
  </si>
  <si>
    <t>40-41 (Bx2)</t>
  </si>
  <si>
    <t>85-86 (Bx1)</t>
  </si>
  <si>
    <t>51-52 (Bx1)</t>
  </si>
  <si>
    <t>88-90 (Bx1)</t>
  </si>
  <si>
    <t>28-29 (Bx1)</t>
  </si>
  <si>
    <t>77-78 (Bx1)</t>
  </si>
  <si>
    <t>36-37 (Bx1)</t>
  </si>
  <si>
    <t>F105-16</t>
  </si>
  <si>
    <t>81-82 (Bx1)</t>
  </si>
  <si>
    <t>16 (Bx1)</t>
  </si>
  <si>
    <t>F116-16</t>
  </si>
  <si>
    <t xml:space="preserve">D1 </t>
  </si>
  <si>
    <t>83-83 (Bx1)</t>
  </si>
  <si>
    <t>Limited Exposure</t>
  </si>
  <si>
    <t>69-70 (Bx1)</t>
  </si>
  <si>
    <t>73-74 (Bx1)</t>
  </si>
  <si>
    <t>67-68 (Bx1)</t>
  </si>
  <si>
    <t>71-72 (Bx1)</t>
  </si>
  <si>
    <t>66 (Bx1)</t>
  </si>
  <si>
    <t>34-35 (Bx3)</t>
  </si>
  <si>
    <t>87 (Bx1)</t>
  </si>
  <si>
    <t>58-59 (Bx3)</t>
  </si>
  <si>
    <t>63-64 (Bx4)</t>
  </si>
  <si>
    <t>Mystery mouse</t>
  </si>
  <si>
    <t>3-5 (Bx1)</t>
  </si>
  <si>
    <t>30-32 (Bx1)</t>
  </si>
  <si>
    <t>7-8 (Bx1)</t>
  </si>
  <si>
    <t>12-13 (Bx1)</t>
  </si>
  <si>
    <t>17 (Bx1)</t>
  </si>
  <si>
    <t>60-61 (Bx1)</t>
  </si>
  <si>
    <t xml:space="preserve">A1 </t>
  </si>
  <si>
    <t>18 (Bx1)</t>
  </si>
  <si>
    <t>62-63 (Bx1)</t>
  </si>
  <si>
    <t>38 (Bx1)</t>
  </si>
  <si>
    <t>2-3 (Bx1)</t>
  </si>
  <si>
    <t>19-20 (Bx1)</t>
  </si>
  <si>
    <t>49-50 (Bx1)</t>
  </si>
  <si>
    <t>46-48 (Bx1)</t>
  </si>
  <si>
    <t>F079-16</t>
  </si>
  <si>
    <t>91-92 (Bx1)</t>
  </si>
  <si>
    <t>C8?</t>
  </si>
  <si>
    <t>36-37 (Bx2)</t>
  </si>
  <si>
    <t>44-45 (Bx1)</t>
  </si>
  <si>
    <t>F095-16</t>
  </si>
  <si>
    <t>93-94 (Bx1)</t>
  </si>
  <si>
    <t>42-43 (Bx1)</t>
  </si>
  <si>
    <t>39-41 (Bx1)</t>
  </si>
  <si>
    <t>36-38 (Bx1)</t>
  </si>
  <si>
    <t>21-22 (Bx1)</t>
  </si>
  <si>
    <t>33-35 (Bx1)</t>
  </si>
  <si>
    <t>11 (Bx1)</t>
  </si>
  <si>
    <t>9-10 (Bx1)</t>
  </si>
  <si>
    <t>64-65 (Bx1)</t>
  </si>
  <si>
    <t>15 (Bx1)</t>
  </si>
  <si>
    <t>14 (Bx1)</t>
  </si>
  <si>
    <t>79-80 (Bx1)</t>
  </si>
  <si>
    <t>23-25 (Bx1)</t>
  </si>
  <si>
    <t>95,99 (Bx1)</t>
  </si>
  <si>
    <t>100 (Bx1)</t>
  </si>
  <si>
    <t>53-55 (Bx1)</t>
  </si>
  <si>
    <t>10-11 (Bx2)</t>
  </si>
  <si>
    <t>1-2 (Bx2)</t>
  </si>
  <si>
    <t>29-30 (Bx2)</t>
  </si>
  <si>
    <t>31-32 (Bx2)</t>
  </si>
  <si>
    <t>F199-16</t>
  </si>
  <si>
    <t>3-4 (Bx3)</t>
  </si>
  <si>
    <t>F021-16</t>
  </si>
  <si>
    <t>1-2 (Bx3)</t>
  </si>
  <si>
    <t>15-16 (Bx2)</t>
  </si>
  <si>
    <t>50321</t>
  </si>
  <si>
    <t>50320</t>
  </si>
  <si>
    <t>50581</t>
  </si>
  <si>
    <t>50643</t>
  </si>
  <si>
    <t>50346</t>
  </si>
  <si>
    <t>50930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</si>
</sst>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/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/>
    <xf numFmtId="0" fontId="5" fillId="0" borderId="0" xfId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20" fontId="0" fillId="0" borderId="0" xfId="0" applyNumberFormat="1"/>
    <xf numFmtId="17" fontId="0" fillId="0" borderId="0" xfId="0" applyNumberFormat="1"/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1" applyFont="1" applyFill="1"/>
    <xf numFmtId="0" fontId="0" fillId="0" borderId="0" xfId="0" applyNumberFormat="1"/>
    <xf numFmtId="49" fontId="0" fillId="0" borderId="0" xfId="0" applyNumberFormat="1"/>
    <xf numFmtId="49" fontId="2" fillId="0" borderId="0" xfId="1" applyNumberFormat="1" applyFont="1"/>
    <xf numFmtId="49" fontId="5" fillId="0" borderId="0" xfId="1" applyNumberFormat="1" applyFont="1" applyFill="1" applyBorder="1" applyAlignment="1">
      <alignment horizontal="center" vertical="center"/>
    </xf>
    <xf numFmtId="0" fontId="0" fillId="0" borderId="0" xfId="0" quotePrefix="1"/>
    <xf numFmtId="14" fontId="7" fillId="0" borderId="0" xfId="0" applyNumberFormat="1" applyFont="1"/>
    <xf numFmtId="0" fontId="7" fillId="0" borderId="0" xfId="0" applyFont="1"/>
    <xf numFmtId="49" fontId="7" fillId="0" borderId="0" xfId="0" applyNumberFormat="1" applyFont="1"/>
    <xf numFmtId="20" fontId="7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" fontId="3" fillId="0" borderId="0" xfId="0" applyNumberFormat="1" applyFont="1"/>
    <xf numFmtId="1" fontId="7" fillId="0" borderId="0" xfId="0" applyNumberFormat="1" applyFont="1"/>
    <xf numFmtId="1" fontId="0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64" fontId="7" fillId="0" borderId="0" xfId="0" applyNumberFormat="1" applyFont="1"/>
    <xf numFmtId="164" fontId="0" fillId="0" borderId="0" xfId="0" applyNumberFormat="1" applyFont="1"/>
    <xf numFmtId="14" fontId="5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74"/>
  <sheetViews>
    <sheetView tabSelected="1" topLeftCell="G1" zoomScale="134" workbookViewId="0">
      <pane ySplit="1" topLeftCell="A1544" activePane="bottomLeft" state="frozen"/>
      <selection pane="bottomLeft" activeCell="Q1559" sqref="Q1559"/>
    </sheetView>
  </sheetViews>
  <sheetFormatPr baseColWidth="10" defaultColWidth="8.83203125" defaultRowHeight="15" x14ac:dyDescent="0.2"/>
  <cols>
    <col min="1" max="1" width="12.6640625" customWidth="1"/>
    <col min="2" max="5" width="8.83203125" customWidth="1"/>
    <col min="6" max="6" width="14.83203125" customWidth="1"/>
    <col min="7" max="7" width="12.83203125" customWidth="1"/>
    <col min="8" max="8" width="15.83203125" customWidth="1"/>
    <col min="9" max="9" width="10.5" customWidth="1"/>
    <col min="10" max="10" width="17" customWidth="1"/>
    <col min="11" max="12" width="8.83203125" customWidth="1"/>
    <col min="13" max="13" width="12.83203125" customWidth="1"/>
    <col min="14" max="14" width="8.83203125" customWidth="1"/>
    <col min="15" max="15" width="10.5" style="17" customWidth="1"/>
    <col min="16" max="16" width="13.1640625" style="17" customWidth="1"/>
    <col min="17" max="17" width="8.83203125" customWidth="1"/>
    <col min="18" max="18" width="17" customWidth="1"/>
    <col min="19" max="22" width="11.5" customWidth="1"/>
    <col min="23" max="23" width="13.33203125" customWidth="1"/>
    <col min="24" max="24" width="13.6640625" customWidth="1"/>
    <col min="25" max="25" width="11.5" customWidth="1"/>
    <col min="26" max="26" width="21" customWidth="1"/>
    <col min="27" max="27" width="18.83203125" customWidth="1"/>
    <col min="28" max="28" width="15.5" customWidth="1"/>
    <col min="29" max="29" width="14.83203125" customWidth="1"/>
    <col min="30" max="30" width="27.16406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8" t="s">
        <v>14</v>
      </c>
      <c r="P1" s="18" t="s">
        <v>15</v>
      </c>
      <c r="Q1" s="1" t="s">
        <v>16</v>
      </c>
      <c r="R1" s="1" t="s">
        <v>17</v>
      </c>
      <c r="S1" s="1" t="s">
        <v>18</v>
      </c>
      <c r="T1" s="5" t="s">
        <v>49</v>
      </c>
      <c r="U1" s="5" t="s">
        <v>50</v>
      </c>
      <c r="V1" s="5" t="s">
        <v>51</v>
      </c>
      <c r="W1" s="5" t="s">
        <v>136</v>
      </c>
      <c r="X1" s="5" t="s">
        <v>137</v>
      </c>
      <c r="Y1" s="1" t="s">
        <v>22</v>
      </c>
      <c r="Z1" s="1" t="s">
        <v>426</v>
      </c>
      <c r="AA1" s="1" t="s">
        <v>484</v>
      </c>
      <c r="AB1" s="1" t="s">
        <v>43</v>
      </c>
      <c r="AC1" s="1" t="s">
        <v>58</v>
      </c>
      <c r="AD1" s="2" t="s">
        <v>103</v>
      </c>
    </row>
    <row r="2" spans="1:30" x14ac:dyDescent="0.2">
      <c r="A2" s="3">
        <v>42605</v>
      </c>
      <c r="B2" t="s">
        <v>23</v>
      </c>
      <c r="C2">
        <v>501</v>
      </c>
      <c r="D2">
        <v>4</v>
      </c>
      <c r="E2">
        <v>2</v>
      </c>
      <c r="F2" t="s">
        <v>64</v>
      </c>
      <c r="G2" t="s">
        <v>25</v>
      </c>
      <c r="H2" t="s">
        <v>26</v>
      </c>
      <c r="I2" t="s">
        <v>27</v>
      </c>
      <c r="J2" t="s">
        <v>34</v>
      </c>
      <c r="K2" t="s">
        <v>123</v>
      </c>
      <c r="L2" t="s">
        <v>30</v>
      </c>
      <c r="M2">
        <v>0</v>
      </c>
      <c r="N2">
        <v>1</v>
      </c>
      <c r="O2" s="17" t="s">
        <v>1716</v>
      </c>
      <c r="P2" s="17" t="s">
        <v>1717</v>
      </c>
      <c r="Q2">
        <f>28-15</f>
        <v>13</v>
      </c>
      <c r="R2" t="s">
        <v>31</v>
      </c>
      <c r="S2" t="s">
        <v>32</v>
      </c>
      <c r="T2">
        <v>20</v>
      </c>
      <c r="U2">
        <v>88</v>
      </c>
      <c r="V2">
        <v>105</v>
      </c>
      <c r="W2">
        <v>12.9</v>
      </c>
      <c r="X2">
        <v>27.8</v>
      </c>
      <c r="Z2" t="s">
        <v>32</v>
      </c>
      <c r="AB2" t="s">
        <v>121</v>
      </c>
      <c r="AC2" t="s">
        <v>59</v>
      </c>
      <c r="AD2" t="s">
        <v>1562</v>
      </c>
    </row>
    <row r="3" spans="1:30" x14ac:dyDescent="0.2">
      <c r="A3" s="3">
        <v>42605</v>
      </c>
      <c r="B3" t="s">
        <v>23</v>
      </c>
      <c r="C3">
        <v>503</v>
      </c>
      <c r="D3">
        <v>7</v>
      </c>
      <c r="E3">
        <v>1</v>
      </c>
      <c r="F3" t="s">
        <v>64</v>
      </c>
      <c r="G3" t="s">
        <v>25</v>
      </c>
      <c r="H3" t="s">
        <v>26</v>
      </c>
      <c r="I3" t="s">
        <v>27</v>
      </c>
      <c r="J3" t="s">
        <v>34</v>
      </c>
      <c r="K3" t="s">
        <v>123</v>
      </c>
      <c r="L3" t="s">
        <v>35</v>
      </c>
      <c r="M3">
        <v>0</v>
      </c>
      <c r="N3">
        <v>1</v>
      </c>
      <c r="O3" s="17" t="s">
        <v>1723</v>
      </c>
      <c r="P3" s="17" t="s">
        <v>1724</v>
      </c>
      <c r="Q3">
        <f>30-14.5</f>
        <v>15.5</v>
      </c>
      <c r="R3" t="s">
        <v>63</v>
      </c>
      <c r="T3">
        <v>20</v>
      </c>
      <c r="U3">
        <v>82</v>
      </c>
      <c r="V3">
        <v>17</v>
      </c>
      <c r="W3">
        <v>13</v>
      </c>
      <c r="X3">
        <v>27</v>
      </c>
      <c r="Z3" t="s">
        <v>32</v>
      </c>
      <c r="AB3" t="s">
        <v>121</v>
      </c>
      <c r="AC3" t="s">
        <v>59</v>
      </c>
      <c r="AD3" t="s">
        <v>1562</v>
      </c>
    </row>
    <row r="4" spans="1:30" x14ac:dyDescent="0.2">
      <c r="A4" s="3">
        <v>42606</v>
      </c>
      <c r="B4" t="s">
        <v>23</v>
      </c>
      <c r="C4">
        <v>503</v>
      </c>
      <c r="D4">
        <v>9</v>
      </c>
      <c r="E4">
        <v>1</v>
      </c>
      <c r="F4" t="s">
        <v>64</v>
      </c>
      <c r="G4" t="s">
        <v>25</v>
      </c>
      <c r="H4" t="s">
        <v>26</v>
      </c>
      <c r="I4" t="s">
        <v>27</v>
      </c>
      <c r="J4" t="s">
        <v>28</v>
      </c>
      <c r="K4" t="s">
        <v>123</v>
      </c>
      <c r="L4" t="s">
        <v>35</v>
      </c>
      <c r="M4">
        <v>0</v>
      </c>
      <c r="N4">
        <v>0</v>
      </c>
      <c r="O4" s="17" t="s">
        <v>1723</v>
      </c>
      <c r="P4" s="17" t="s">
        <v>1724</v>
      </c>
      <c r="Q4">
        <f>30-15</f>
        <v>15</v>
      </c>
      <c r="R4" t="s">
        <v>63</v>
      </c>
      <c r="T4">
        <v>20</v>
      </c>
      <c r="U4">
        <v>80</v>
      </c>
      <c r="V4">
        <v>17</v>
      </c>
      <c r="W4">
        <v>12.9</v>
      </c>
      <c r="X4">
        <v>26.7</v>
      </c>
      <c r="Z4" t="s">
        <v>32</v>
      </c>
      <c r="AB4" t="s">
        <v>53</v>
      </c>
      <c r="AC4" t="s">
        <v>122</v>
      </c>
      <c r="AD4" t="s">
        <v>1665</v>
      </c>
    </row>
    <row r="5" spans="1:30" x14ac:dyDescent="0.2">
      <c r="A5" s="3">
        <v>42606</v>
      </c>
      <c r="B5" t="s">
        <v>23</v>
      </c>
      <c r="C5">
        <v>501</v>
      </c>
      <c r="D5">
        <v>3</v>
      </c>
      <c r="E5">
        <v>1</v>
      </c>
      <c r="F5" t="s">
        <v>64</v>
      </c>
      <c r="G5" t="s">
        <v>25</v>
      </c>
      <c r="H5" t="s">
        <v>26</v>
      </c>
      <c r="I5" t="s">
        <v>27</v>
      </c>
      <c r="J5" t="s">
        <v>34</v>
      </c>
      <c r="K5" t="s">
        <v>123</v>
      </c>
      <c r="L5" t="s">
        <v>35</v>
      </c>
      <c r="M5">
        <v>0</v>
      </c>
      <c r="N5">
        <v>1</v>
      </c>
      <c r="O5" s="17" t="s">
        <v>1748</v>
      </c>
      <c r="P5" s="17" t="s">
        <v>1749</v>
      </c>
      <c r="Q5">
        <f>30-15</f>
        <v>15</v>
      </c>
      <c r="R5" t="s">
        <v>63</v>
      </c>
      <c r="T5">
        <v>19</v>
      </c>
      <c r="U5">
        <v>78</v>
      </c>
      <c r="V5">
        <v>17</v>
      </c>
      <c r="W5">
        <v>12.8</v>
      </c>
      <c r="X5">
        <v>26.5</v>
      </c>
      <c r="Z5" t="s">
        <v>145</v>
      </c>
      <c r="AA5" t="s">
        <v>260</v>
      </c>
      <c r="AB5" t="s">
        <v>53</v>
      </c>
      <c r="AC5" t="s">
        <v>122</v>
      </c>
      <c r="AD5" t="s">
        <v>1579</v>
      </c>
    </row>
    <row r="6" spans="1:30" x14ac:dyDescent="0.2">
      <c r="A6" s="3">
        <v>42606</v>
      </c>
      <c r="B6" t="s">
        <v>23</v>
      </c>
      <c r="C6">
        <v>503</v>
      </c>
      <c r="D6">
        <v>2</v>
      </c>
      <c r="E6">
        <v>1</v>
      </c>
      <c r="F6" t="s">
        <v>64</v>
      </c>
      <c r="G6" t="s">
        <v>25</v>
      </c>
      <c r="H6" t="s">
        <v>26</v>
      </c>
      <c r="I6" t="s">
        <v>27</v>
      </c>
      <c r="J6" t="s">
        <v>34</v>
      </c>
      <c r="K6" t="s">
        <v>123</v>
      </c>
      <c r="L6" t="s">
        <v>35</v>
      </c>
      <c r="M6">
        <v>0</v>
      </c>
      <c r="N6">
        <v>1</v>
      </c>
      <c r="O6" s="17" t="s">
        <v>1765</v>
      </c>
      <c r="P6" s="17" t="s">
        <v>1766</v>
      </c>
      <c r="Q6">
        <f>26-13</f>
        <v>13</v>
      </c>
      <c r="R6" t="s">
        <v>63</v>
      </c>
      <c r="T6">
        <v>20.5</v>
      </c>
      <c r="U6">
        <v>85</v>
      </c>
      <c r="V6">
        <v>17</v>
      </c>
      <c r="W6">
        <v>12.8</v>
      </c>
      <c r="X6">
        <v>26.4</v>
      </c>
      <c r="Z6" t="s">
        <v>32</v>
      </c>
      <c r="AB6" t="s">
        <v>53</v>
      </c>
      <c r="AC6" t="s">
        <v>122</v>
      </c>
      <c r="AD6" t="s">
        <v>1579</v>
      </c>
    </row>
    <row r="7" spans="1:30" x14ac:dyDescent="0.2">
      <c r="A7" s="3">
        <v>42600</v>
      </c>
      <c r="B7" t="s">
        <v>23</v>
      </c>
      <c r="C7">
        <v>304</v>
      </c>
      <c r="D7">
        <v>10</v>
      </c>
      <c r="E7">
        <v>1</v>
      </c>
      <c r="F7" t="s">
        <v>64</v>
      </c>
      <c r="G7" t="s">
        <v>25</v>
      </c>
      <c r="H7" t="s">
        <v>26</v>
      </c>
      <c r="I7" t="s">
        <v>27</v>
      </c>
      <c r="J7" t="s">
        <v>34</v>
      </c>
      <c r="K7" t="s">
        <v>123</v>
      </c>
      <c r="L7" t="s">
        <v>30</v>
      </c>
      <c r="M7">
        <v>0</v>
      </c>
      <c r="N7">
        <v>1</v>
      </c>
      <c r="O7" s="17" t="s">
        <v>1670</v>
      </c>
      <c r="P7" s="17" t="s">
        <v>1671</v>
      </c>
      <c r="Q7">
        <f>33-20.5</f>
        <v>12.5</v>
      </c>
      <c r="R7" t="s">
        <v>31</v>
      </c>
      <c r="S7" t="s">
        <v>32</v>
      </c>
      <c r="T7">
        <v>16.5</v>
      </c>
      <c r="U7">
        <v>82</v>
      </c>
      <c r="V7">
        <v>16</v>
      </c>
      <c r="W7">
        <v>12.9</v>
      </c>
      <c r="X7">
        <v>27</v>
      </c>
      <c r="Z7" t="s">
        <v>32</v>
      </c>
      <c r="AB7" t="s">
        <v>121</v>
      </c>
      <c r="AC7" t="s">
        <v>122</v>
      </c>
      <c r="AD7" t="s">
        <v>1579</v>
      </c>
    </row>
    <row r="8" spans="1:30" x14ac:dyDescent="0.2">
      <c r="A8" s="3">
        <v>42600</v>
      </c>
      <c r="B8" t="s">
        <v>23</v>
      </c>
      <c r="C8">
        <v>304</v>
      </c>
      <c r="D8">
        <v>3</v>
      </c>
      <c r="E8">
        <v>1</v>
      </c>
      <c r="F8" t="s">
        <v>64</v>
      </c>
      <c r="G8" t="s">
        <v>25</v>
      </c>
      <c r="H8" t="s">
        <v>26</v>
      </c>
      <c r="I8" t="s">
        <v>27</v>
      </c>
      <c r="J8" t="s">
        <v>34</v>
      </c>
      <c r="K8" t="s">
        <v>188</v>
      </c>
      <c r="L8" t="s">
        <v>35</v>
      </c>
      <c r="M8">
        <v>0</v>
      </c>
      <c r="N8">
        <v>1</v>
      </c>
      <c r="O8" s="17" t="s">
        <v>1673</v>
      </c>
      <c r="P8" s="17" t="s">
        <v>1674</v>
      </c>
      <c r="Q8">
        <f>34-18</f>
        <v>16</v>
      </c>
      <c r="R8" t="s">
        <v>63</v>
      </c>
      <c r="T8">
        <v>18</v>
      </c>
      <c r="U8">
        <v>74</v>
      </c>
      <c r="V8">
        <v>16</v>
      </c>
      <c r="W8">
        <v>13.1</v>
      </c>
      <c r="X8">
        <v>27.7</v>
      </c>
      <c r="Z8" t="s">
        <v>32</v>
      </c>
      <c r="AA8" t="s">
        <v>260</v>
      </c>
      <c r="AB8" t="s">
        <v>121</v>
      </c>
      <c r="AC8" t="s">
        <v>122</v>
      </c>
      <c r="AD8" t="s">
        <v>1579</v>
      </c>
    </row>
    <row r="9" spans="1:30" x14ac:dyDescent="0.2">
      <c r="A9" s="3">
        <v>42604</v>
      </c>
      <c r="B9" t="s">
        <v>23</v>
      </c>
      <c r="C9">
        <v>501</v>
      </c>
      <c r="D9">
        <v>6</v>
      </c>
      <c r="E9">
        <v>1</v>
      </c>
      <c r="F9" t="s">
        <v>64</v>
      </c>
      <c r="G9" t="s">
        <v>25</v>
      </c>
      <c r="H9" t="s">
        <v>26</v>
      </c>
      <c r="I9" t="s">
        <v>27</v>
      </c>
      <c r="J9" t="s">
        <v>34</v>
      </c>
      <c r="K9" t="s">
        <v>29</v>
      </c>
      <c r="L9" t="s">
        <v>30</v>
      </c>
      <c r="M9">
        <v>0</v>
      </c>
      <c r="N9">
        <v>1</v>
      </c>
      <c r="O9" s="17" t="s">
        <v>1679</v>
      </c>
      <c r="P9" s="17" t="s">
        <v>1680</v>
      </c>
      <c r="Q9">
        <f>40-15.5</f>
        <v>24.5</v>
      </c>
      <c r="R9" t="s">
        <v>31</v>
      </c>
      <c r="S9" t="s">
        <v>32</v>
      </c>
      <c r="T9">
        <v>20</v>
      </c>
      <c r="U9">
        <v>94</v>
      </c>
      <c r="V9">
        <v>17.5</v>
      </c>
      <c r="W9">
        <v>13</v>
      </c>
      <c r="X9">
        <v>26.8</v>
      </c>
      <c r="Z9" t="s">
        <v>32</v>
      </c>
      <c r="AB9" t="s">
        <v>121</v>
      </c>
      <c r="AC9" t="s">
        <v>59</v>
      </c>
      <c r="AD9" t="s">
        <v>1579</v>
      </c>
    </row>
    <row r="10" spans="1:30" x14ac:dyDescent="0.2">
      <c r="A10" s="3">
        <v>42604</v>
      </c>
      <c r="B10" t="s">
        <v>23</v>
      </c>
      <c r="C10">
        <v>501</v>
      </c>
      <c r="D10">
        <v>7</v>
      </c>
      <c r="E10">
        <v>1</v>
      </c>
      <c r="F10" t="s">
        <v>64</v>
      </c>
      <c r="G10" t="s">
        <v>25</v>
      </c>
      <c r="H10" t="s">
        <v>26</v>
      </c>
      <c r="I10" t="s">
        <v>27</v>
      </c>
      <c r="J10" t="s">
        <v>34</v>
      </c>
      <c r="K10" t="s">
        <v>123</v>
      </c>
      <c r="L10" t="s">
        <v>30</v>
      </c>
      <c r="M10">
        <v>0</v>
      </c>
      <c r="N10">
        <v>1</v>
      </c>
      <c r="O10" s="17" t="s">
        <v>1682</v>
      </c>
      <c r="P10" s="17" t="s">
        <v>1683</v>
      </c>
      <c r="Q10">
        <f>31-15.5</f>
        <v>15.5</v>
      </c>
      <c r="R10" t="s">
        <v>31</v>
      </c>
      <c r="S10" t="s">
        <v>32</v>
      </c>
      <c r="T10">
        <v>19</v>
      </c>
      <c r="U10">
        <v>80</v>
      </c>
      <c r="V10">
        <v>16</v>
      </c>
      <c r="W10">
        <v>13</v>
      </c>
      <c r="X10">
        <v>26.3</v>
      </c>
      <c r="Z10" t="s">
        <v>32</v>
      </c>
      <c r="AB10" t="s">
        <v>121</v>
      </c>
      <c r="AC10" t="s">
        <v>59</v>
      </c>
      <c r="AD10" t="s">
        <v>1579</v>
      </c>
    </row>
    <row r="11" spans="1:30" x14ac:dyDescent="0.2">
      <c r="A11" s="3">
        <v>42606</v>
      </c>
      <c r="B11" t="s">
        <v>23</v>
      </c>
      <c r="C11">
        <v>501</v>
      </c>
      <c r="D11">
        <v>10</v>
      </c>
      <c r="E11">
        <v>2</v>
      </c>
      <c r="F11" t="s">
        <v>64</v>
      </c>
      <c r="G11" t="s">
        <v>25</v>
      </c>
      <c r="H11" t="s">
        <v>26</v>
      </c>
      <c r="I11" t="s">
        <v>27</v>
      </c>
      <c r="J11" t="s">
        <v>28</v>
      </c>
      <c r="K11" t="s">
        <v>123</v>
      </c>
      <c r="L11" t="s">
        <v>30</v>
      </c>
      <c r="M11">
        <v>0</v>
      </c>
      <c r="N11">
        <v>0</v>
      </c>
      <c r="O11" s="17" t="s">
        <v>1682</v>
      </c>
      <c r="P11" s="17" t="s">
        <v>1683</v>
      </c>
      <c r="Q11">
        <f>30.5-16</f>
        <v>14.5</v>
      </c>
      <c r="R11" t="s">
        <v>31</v>
      </c>
      <c r="S11" t="s">
        <v>32</v>
      </c>
      <c r="T11">
        <v>19.5</v>
      </c>
      <c r="U11">
        <v>80</v>
      </c>
      <c r="V11">
        <v>16</v>
      </c>
      <c r="W11">
        <v>13</v>
      </c>
      <c r="X11">
        <v>26</v>
      </c>
      <c r="Z11" t="s">
        <v>32</v>
      </c>
      <c r="AB11" t="s">
        <v>53</v>
      </c>
      <c r="AC11" t="s">
        <v>122</v>
      </c>
    </row>
    <row r="12" spans="1:30" x14ac:dyDescent="0.2">
      <c r="A12" s="3">
        <v>42604</v>
      </c>
      <c r="B12" t="s">
        <v>23</v>
      </c>
      <c r="C12">
        <v>503</v>
      </c>
      <c r="D12">
        <v>5</v>
      </c>
      <c r="E12">
        <v>2</v>
      </c>
      <c r="F12" t="s">
        <v>64</v>
      </c>
      <c r="G12" t="s">
        <v>25</v>
      </c>
      <c r="H12" t="s">
        <v>26</v>
      </c>
      <c r="I12" t="s">
        <v>27</v>
      </c>
      <c r="J12" t="s">
        <v>34</v>
      </c>
      <c r="K12" t="s">
        <v>123</v>
      </c>
      <c r="L12" t="s">
        <v>30</v>
      </c>
      <c r="M12">
        <v>0</v>
      </c>
      <c r="N12">
        <v>1</v>
      </c>
      <c r="O12" s="17" t="s">
        <v>1688</v>
      </c>
      <c r="P12" s="17" t="s">
        <v>1689</v>
      </c>
      <c r="Q12">
        <f>36.5-22</f>
        <v>14.5</v>
      </c>
      <c r="R12" t="s">
        <v>31</v>
      </c>
      <c r="S12" t="s">
        <v>32</v>
      </c>
      <c r="T12">
        <v>19</v>
      </c>
      <c r="U12">
        <v>78</v>
      </c>
      <c r="V12">
        <v>16</v>
      </c>
      <c r="Z12" t="s">
        <v>32</v>
      </c>
      <c r="AB12" t="s">
        <v>121</v>
      </c>
      <c r="AC12" t="s">
        <v>59</v>
      </c>
      <c r="AD12" t="s">
        <v>1579</v>
      </c>
    </row>
    <row r="13" spans="1:30" x14ac:dyDescent="0.2">
      <c r="A13" s="3">
        <v>42493</v>
      </c>
      <c r="B13" t="s">
        <v>23</v>
      </c>
      <c r="C13">
        <v>201</v>
      </c>
      <c r="D13">
        <v>1</v>
      </c>
      <c r="E13">
        <v>1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>
        <v>0</v>
      </c>
      <c r="N13">
        <v>1</v>
      </c>
      <c r="O13" s="17">
        <v>2707</v>
      </c>
      <c r="P13" s="17">
        <v>2708</v>
      </c>
      <c r="Q13">
        <f>25.25-8.25</f>
        <v>17</v>
      </c>
      <c r="R13" t="s">
        <v>31</v>
      </c>
      <c r="S13" t="s">
        <v>32</v>
      </c>
      <c r="T13">
        <v>19</v>
      </c>
      <c r="U13">
        <v>90</v>
      </c>
      <c r="V13">
        <v>14</v>
      </c>
      <c r="Z13" t="s">
        <v>32</v>
      </c>
      <c r="AB13" t="s">
        <v>44</v>
      </c>
    </row>
    <row r="14" spans="1:30" x14ac:dyDescent="0.2">
      <c r="A14" s="3">
        <v>42494</v>
      </c>
      <c r="B14" t="s">
        <v>23</v>
      </c>
      <c r="C14">
        <v>201</v>
      </c>
      <c r="D14">
        <v>8</v>
      </c>
      <c r="E14">
        <v>1</v>
      </c>
      <c r="F14" t="s">
        <v>33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>
        <v>0</v>
      </c>
      <c r="N14">
        <v>0</v>
      </c>
      <c r="O14" s="17">
        <v>2707</v>
      </c>
      <c r="P14" s="17">
        <v>2708</v>
      </c>
      <c r="Q14">
        <f>35.5-12</f>
        <v>23.5</v>
      </c>
      <c r="R14" t="s">
        <v>31</v>
      </c>
      <c r="S14" t="s">
        <v>32</v>
      </c>
      <c r="T14">
        <v>21</v>
      </c>
      <c r="U14">
        <v>97</v>
      </c>
      <c r="V14">
        <v>14</v>
      </c>
      <c r="Z14" t="s">
        <v>32</v>
      </c>
      <c r="AB14" t="s">
        <v>60</v>
      </c>
      <c r="AC14" t="s">
        <v>59</v>
      </c>
    </row>
    <row r="15" spans="1:30" x14ac:dyDescent="0.2">
      <c r="A15" s="3">
        <v>42495</v>
      </c>
      <c r="B15" t="s">
        <v>23</v>
      </c>
      <c r="C15">
        <v>201</v>
      </c>
      <c r="D15">
        <v>5</v>
      </c>
      <c r="E15">
        <v>1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>
        <v>0</v>
      </c>
      <c r="N15">
        <v>0</v>
      </c>
      <c r="O15" s="17">
        <v>2707</v>
      </c>
      <c r="P15" s="17">
        <v>2708</v>
      </c>
      <c r="Q15">
        <f>28-8.75</f>
        <v>19.25</v>
      </c>
      <c r="R15" t="s">
        <v>31</v>
      </c>
      <c r="S15" t="s">
        <v>32</v>
      </c>
      <c r="T15">
        <v>19</v>
      </c>
      <c r="U15">
        <v>96</v>
      </c>
      <c r="V15">
        <v>16</v>
      </c>
      <c r="Z15" t="s">
        <v>32</v>
      </c>
      <c r="AB15" t="s">
        <v>53</v>
      </c>
      <c r="AC15" t="s">
        <v>59</v>
      </c>
    </row>
    <row r="16" spans="1:30" x14ac:dyDescent="0.2">
      <c r="A16" s="3">
        <v>42507</v>
      </c>
      <c r="B16" t="s">
        <v>23</v>
      </c>
      <c r="C16">
        <v>201</v>
      </c>
      <c r="D16">
        <v>3</v>
      </c>
      <c r="E16">
        <v>1</v>
      </c>
      <c r="F16" t="s">
        <v>33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>
        <v>0</v>
      </c>
      <c r="N16">
        <v>0</v>
      </c>
      <c r="O16" s="17">
        <v>2707</v>
      </c>
      <c r="P16" s="17">
        <v>2708</v>
      </c>
      <c r="Q16">
        <f>31-12.5</f>
        <v>18.5</v>
      </c>
      <c r="R16" t="s">
        <v>31</v>
      </c>
      <c r="S16" t="s">
        <v>32</v>
      </c>
      <c r="T16">
        <v>20</v>
      </c>
      <c r="U16">
        <v>95</v>
      </c>
      <c r="V16">
        <v>14</v>
      </c>
      <c r="Z16" t="s">
        <v>32</v>
      </c>
      <c r="AB16" t="s">
        <v>44</v>
      </c>
      <c r="AC16" t="s">
        <v>116</v>
      </c>
    </row>
    <row r="17" spans="1:30" x14ac:dyDescent="0.2">
      <c r="A17" s="3">
        <v>42600</v>
      </c>
      <c r="B17" t="s">
        <v>23</v>
      </c>
      <c r="C17">
        <v>304</v>
      </c>
      <c r="D17">
        <v>5</v>
      </c>
      <c r="E17">
        <v>1</v>
      </c>
      <c r="F17" t="s">
        <v>24</v>
      </c>
      <c r="G17" t="s">
        <v>25</v>
      </c>
      <c r="H17" t="s">
        <v>26</v>
      </c>
      <c r="I17" t="s">
        <v>27</v>
      </c>
      <c r="J17" t="s">
        <v>34</v>
      </c>
      <c r="K17" t="s">
        <v>188</v>
      </c>
      <c r="L17" t="s">
        <v>30</v>
      </c>
      <c r="M17">
        <v>0</v>
      </c>
      <c r="N17">
        <v>1</v>
      </c>
      <c r="O17" s="17" t="s">
        <v>1849</v>
      </c>
      <c r="P17" s="17" t="s">
        <v>1850</v>
      </c>
      <c r="Q17">
        <f>29.5-14.5</f>
        <v>15</v>
      </c>
      <c r="R17" t="s">
        <v>31</v>
      </c>
      <c r="S17" t="s">
        <v>32</v>
      </c>
      <c r="T17">
        <v>19</v>
      </c>
      <c r="U17">
        <v>87</v>
      </c>
      <c r="V17">
        <v>16</v>
      </c>
      <c r="W17">
        <v>13</v>
      </c>
      <c r="X17">
        <v>25</v>
      </c>
      <c r="Z17" t="s">
        <v>145</v>
      </c>
      <c r="AB17" t="s">
        <v>121</v>
      </c>
      <c r="AC17" t="s">
        <v>59</v>
      </c>
    </row>
    <row r="18" spans="1:30" x14ac:dyDescent="0.2">
      <c r="A18" s="3">
        <v>42598</v>
      </c>
      <c r="B18" t="s">
        <v>23</v>
      </c>
      <c r="C18">
        <v>203</v>
      </c>
      <c r="D18">
        <v>9</v>
      </c>
      <c r="E18">
        <v>2</v>
      </c>
      <c r="F18" t="s">
        <v>64</v>
      </c>
      <c r="G18" t="s">
        <v>25</v>
      </c>
      <c r="H18" t="s">
        <v>26</v>
      </c>
      <c r="I18" t="s">
        <v>27</v>
      </c>
      <c r="J18" t="s">
        <v>34</v>
      </c>
      <c r="K18" t="s">
        <v>123</v>
      </c>
      <c r="L18" t="s">
        <v>30</v>
      </c>
      <c r="M18">
        <v>0</v>
      </c>
      <c r="N18">
        <v>1</v>
      </c>
      <c r="O18" s="17" t="s">
        <v>1561</v>
      </c>
      <c r="P18" s="17" t="s">
        <v>1560</v>
      </c>
      <c r="Q18">
        <f>23.5-13.5</f>
        <v>10</v>
      </c>
      <c r="R18" t="s">
        <v>31</v>
      </c>
      <c r="S18" t="s">
        <v>32</v>
      </c>
      <c r="T18">
        <v>18</v>
      </c>
      <c r="U18">
        <v>70</v>
      </c>
      <c r="V18">
        <v>14</v>
      </c>
      <c r="W18">
        <v>12.7</v>
      </c>
      <c r="X18">
        <v>25.1</v>
      </c>
      <c r="Z18" t="s">
        <v>145</v>
      </c>
      <c r="AA18" t="s">
        <v>260</v>
      </c>
      <c r="AB18" t="s">
        <v>121</v>
      </c>
      <c r="AC18" t="s">
        <v>122</v>
      </c>
      <c r="AD18" t="s">
        <v>1562</v>
      </c>
    </row>
    <row r="19" spans="1:30" x14ac:dyDescent="0.2">
      <c r="A19" s="3">
        <v>42599</v>
      </c>
      <c r="B19" t="s">
        <v>23</v>
      </c>
      <c r="C19">
        <v>203</v>
      </c>
      <c r="D19">
        <v>10</v>
      </c>
      <c r="E19">
        <v>2</v>
      </c>
      <c r="F19" t="s">
        <v>64</v>
      </c>
      <c r="G19" t="s">
        <v>25</v>
      </c>
      <c r="H19" t="s">
        <v>26</v>
      </c>
      <c r="I19" t="s">
        <v>27</v>
      </c>
      <c r="J19" t="s">
        <v>28</v>
      </c>
      <c r="K19" t="s">
        <v>123</v>
      </c>
      <c r="L19" t="s">
        <v>30</v>
      </c>
      <c r="M19">
        <v>0</v>
      </c>
      <c r="N19">
        <v>0</v>
      </c>
      <c r="O19" s="17" t="s">
        <v>1561</v>
      </c>
      <c r="P19" s="17" t="s">
        <v>1560</v>
      </c>
      <c r="Q19">
        <f>32-21.5</f>
        <v>10.5</v>
      </c>
      <c r="R19" t="s">
        <v>31</v>
      </c>
      <c r="S19" t="s">
        <v>32</v>
      </c>
      <c r="T19">
        <v>17.5</v>
      </c>
      <c r="U19">
        <v>72</v>
      </c>
      <c r="V19">
        <v>15</v>
      </c>
      <c r="W19">
        <v>12.8</v>
      </c>
      <c r="X19">
        <v>24.8</v>
      </c>
      <c r="Z19" t="s">
        <v>145</v>
      </c>
      <c r="AA19" t="s">
        <v>260</v>
      </c>
      <c r="AB19" t="s">
        <v>121</v>
      </c>
      <c r="AC19" t="s">
        <v>59</v>
      </c>
    </row>
    <row r="20" spans="1:30" x14ac:dyDescent="0.2">
      <c r="A20" s="3">
        <v>42600</v>
      </c>
      <c r="B20" t="s">
        <v>23</v>
      </c>
      <c r="C20">
        <v>203</v>
      </c>
      <c r="D20">
        <v>8</v>
      </c>
      <c r="E20">
        <v>2</v>
      </c>
      <c r="F20" t="s">
        <v>64</v>
      </c>
      <c r="G20" t="s">
        <v>25</v>
      </c>
      <c r="H20" t="s">
        <v>26</v>
      </c>
      <c r="I20" t="s">
        <v>27</v>
      </c>
      <c r="J20" t="s">
        <v>28</v>
      </c>
      <c r="K20" t="s">
        <v>123</v>
      </c>
      <c r="L20" t="s">
        <v>30</v>
      </c>
      <c r="M20">
        <v>0</v>
      </c>
      <c r="N20">
        <v>0</v>
      </c>
      <c r="O20" s="17" t="s">
        <v>1561</v>
      </c>
      <c r="P20" s="17" t="s">
        <v>1560</v>
      </c>
      <c r="Q20">
        <f>25-14.5</f>
        <v>10.5</v>
      </c>
      <c r="R20" t="s">
        <v>31</v>
      </c>
      <c r="S20" t="s">
        <v>32</v>
      </c>
      <c r="T20">
        <v>17</v>
      </c>
      <c r="U20">
        <v>75</v>
      </c>
      <c r="V20">
        <v>15</v>
      </c>
      <c r="W20">
        <v>12.9</v>
      </c>
      <c r="X20">
        <v>26.1</v>
      </c>
      <c r="Z20" t="s">
        <v>145</v>
      </c>
      <c r="AA20" t="s">
        <v>260</v>
      </c>
      <c r="AB20" t="s">
        <v>121</v>
      </c>
      <c r="AC20" t="s">
        <v>122</v>
      </c>
    </row>
    <row r="21" spans="1:30" x14ac:dyDescent="0.2">
      <c r="A21" s="3">
        <v>42599</v>
      </c>
      <c r="B21" t="s">
        <v>23</v>
      </c>
      <c r="C21">
        <v>203</v>
      </c>
      <c r="D21">
        <v>2</v>
      </c>
      <c r="E21">
        <v>1</v>
      </c>
      <c r="F21" t="s">
        <v>64</v>
      </c>
      <c r="G21" t="s">
        <v>25</v>
      </c>
      <c r="H21" t="s">
        <v>26</v>
      </c>
      <c r="I21" t="s">
        <v>27</v>
      </c>
      <c r="J21" t="s">
        <v>34</v>
      </c>
      <c r="K21" t="s">
        <v>123</v>
      </c>
      <c r="L21" t="s">
        <v>30</v>
      </c>
      <c r="M21">
        <v>0</v>
      </c>
      <c r="N21">
        <v>1</v>
      </c>
      <c r="O21" s="17" t="s">
        <v>1620</v>
      </c>
      <c r="P21" s="17" t="s">
        <v>1621</v>
      </c>
      <c r="Q21">
        <f>27.5-14</f>
        <v>13.5</v>
      </c>
      <c r="R21" t="s">
        <v>31</v>
      </c>
      <c r="S21" t="s">
        <v>145</v>
      </c>
      <c r="T21">
        <v>18.5</v>
      </c>
      <c r="U21">
        <v>88</v>
      </c>
      <c r="V21">
        <v>15</v>
      </c>
      <c r="W21">
        <v>12.9</v>
      </c>
      <c r="X21">
        <v>27</v>
      </c>
      <c r="Z21" t="s">
        <v>32</v>
      </c>
      <c r="AB21" t="s">
        <v>121</v>
      </c>
      <c r="AC21" t="s">
        <v>59</v>
      </c>
      <c r="AD21" t="s">
        <v>1562</v>
      </c>
    </row>
    <row r="22" spans="1:30" x14ac:dyDescent="0.2">
      <c r="A22" s="3">
        <v>42600</v>
      </c>
      <c r="B22" t="s">
        <v>23</v>
      </c>
      <c r="C22">
        <v>201</v>
      </c>
      <c r="D22">
        <v>1</v>
      </c>
      <c r="E22">
        <v>2</v>
      </c>
      <c r="F22" t="s">
        <v>64</v>
      </c>
      <c r="G22" t="s">
        <v>25</v>
      </c>
      <c r="H22" t="s">
        <v>26</v>
      </c>
      <c r="I22" t="s">
        <v>27</v>
      </c>
      <c r="J22" t="s">
        <v>34</v>
      </c>
      <c r="K22" t="s">
        <v>188</v>
      </c>
      <c r="L22" t="s">
        <v>35</v>
      </c>
      <c r="M22">
        <v>0</v>
      </c>
      <c r="N22">
        <v>1</v>
      </c>
      <c r="O22" s="17" t="s">
        <v>1647</v>
      </c>
      <c r="P22" s="17" t="s">
        <v>1648</v>
      </c>
      <c r="Q22">
        <f>30-14.5</f>
        <v>15.5</v>
      </c>
      <c r="R22" t="s">
        <v>63</v>
      </c>
      <c r="T22">
        <v>19</v>
      </c>
      <c r="U22">
        <v>15</v>
      </c>
      <c r="V22">
        <v>88</v>
      </c>
      <c r="W22">
        <v>13.3</v>
      </c>
      <c r="X22">
        <v>27.8</v>
      </c>
      <c r="Z22" t="s">
        <v>32</v>
      </c>
      <c r="AB22" t="s">
        <v>121</v>
      </c>
      <c r="AC22" t="s">
        <v>122</v>
      </c>
      <c r="AD22" t="s">
        <v>1579</v>
      </c>
    </row>
    <row r="23" spans="1:30" x14ac:dyDescent="0.2">
      <c r="A23" s="3">
        <v>42600</v>
      </c>
      <c r="B23" t="s">
        <v>23</v>
      </c>
      <c r="C23">
        <v>201</v>
      </c>
      <c r="D23">
        <v>2</v>
      </c>
      <c r="E23">
        <v>2</v>
      </c>
      <c r="F23" t="s">
        <v>64</v>
      </c>
      <c r="G23" t="s">
        <v>25</v>
      </c>
      <c r="H23" t="s">
        <v>26</v>
      </c>
      <c r="I23" t="s">
        <v>27</v>
      </c>
      <c r="J23" t="s">
        <v>34</v>
      </c>
      <c r="K23" t="s">
        <v>123</v>
      </c>
      <c r="L23" t="s">
        <v>35</v>
      </c>
      <c r="M23">
        <v>0</v>
      </c>
      <c r="N23">
        <v>1</v>
      </c>
      <c r="O23" s="17" t="s">
        <v>1650</v>
      </c>
      <c r="P23" s="17" t="s">
        <v>1651</v>
      </c>
      <c r="Q23">
        <f>34-19</f>
        <v>15</v>
      </c>
      <c r="R23" t="s">
        <v>63</v>
      </c>
      <c r="T23">
        <v>20</v>
      </c>
      <c r="U23">
        <v>91</v>
      </c>
      <c r="V23">
        <v>16</v>
      </c>
      <c r="W23">
        <v>13.2</v>
      </c>
      <c r="X23">
        <v>28.2</v>
      </c>
      <c r="Z23" t="s">
        <v>32</v>
      </c>
      <c r="AB23" t="s">
        <v>121</v>
      </c>
      <c r="AC23" t="s">
        <v>122</v>
      </c>
      <c r="AD23" t="s">
        <v>1579</v>
      </c>
    </row>
    <row r="24" spans="1:30" x14ac:dyDescent="0.2">
      <c r="A24" s="3">
        <v>42604</v>
      </c>
      <c r="B24" t="s">
        <v>23</v>
      </c>
      <c r="C24">
        <v>901</v>
      </c>
      <c r="D24">
        <v>3</v>
      </c>
      <c r="E24">
        <v>1</v>
      </c>
      <c r="F24" t="s">
        <v>24</v>
      </c>
      <c r="G24" t="s">
        <v>25</v>
      </c>
      <c r="H24" t="s">
        <v>26</v>
      </c>
      <c r="I24" t="s">
        <v>27</v>
      </c>
      <c r="J24" t="s">
        <v>34</v>
      </c>
      <c r="K24" t="s">
        <v>188</v>
      </c>
      <c r="L24" t="s">
        <v>35</v>
      </c>
      <c r="M24">
        <v>0</v>
      </c>
      <c r="N24">
        <v>1</v>
      </c>
      <c r="O24" s="17" t="s">
        <v>1890</v>
      </c>
      <c r="P24" s="17" t="s">
        <v>1891</v>
      </c>
      <c r="Q24">
        <v>15</v>
      </c>
      <c r="R24" t="s">
        <v>63</v>
      </c>
      <c r="T24">
        <v>20</v>
      </c>
      <c r="U24">
        <v>92</v>
      </c>
      <c r="V24">
        <v>17</v>
      </c>
      <c r="W24">
        <v>13.2</v>
      </c>
      <c r="X24">
        <v>24.9</v>
      </c>
      <c r="Z24" t="s">
        <v>145</v>
      </c>
      <c r="AB24" t="s">
        <v>582</v>
      </c>
      <c r="AC24" t="s">
        <v>116</v>
      </c>
      <c r="AD24" t="s">
        <v>1892</v>
      </c>
    </row>
    <row r="25" spans="1:30" x14ac:dyDescent="0.2">
      <c r="A25" s="3">
        <v>42605</v>
      </c>
      <c r="B25" t="s">
        <v>23</v>
      </c>
      <c r="C25">
        <v>901</v>
      </c>
      <c r="D25">
        <v>2</v>
      </c>
      <c r="E25">
        <v>2</v>
      </c>
      <c r="F25" t="s">
        <v>24</v>
      </c>
      <c r="G25" t="s">
        <v>25</v>
      </c>
      <c r="H25" t="s">
        <v>26</v>
      </c>
      <c r="I25" t="s">
        <v>27</v>
      </c>
      <c r="J25" t="s">
        <v>28</v>
      </c>
      <c r="K25" t="s">
        <v>188</v>
      </c>
      <c r="L25" t="s">
        <v>35</v>
      </c>
      <c r="M25">
        <v>0</v>
      </c>
      <c r="N25">
        <v>0</v>
      </c>
      <c r="O25" s="17" t="s">
        <v>1890</v>
      </c>
      <c r="P25" s="17" t="s">
        <v>1891</v>
      </c>
      <c r="Q25">
        <f>30-14</f>
        <v>16</v>
      </c>
      <c r="R25" t="s">
        <v>63</v>
      </c>
      <c r="T25">
        <v>18.5</v>
      </c>
      <c r="U25">
        <v>91</v>
      </c>
      <c r="V25">
        <v>17</v>
      </c>
      <c r="W25">
        <v>13.1</v>
      </c>
      <c r="X25">
        <v>24.8</v>
      </c>
      <c r="Z25" t="s">
        <v>145</v>
      </c>
      <c r="AB25" t="s">
        <v>44</v>
      </c>
      <c r="AC25" t="s">
        <v>59</v>
      </c>
    </row>
    <row r="26" spans="1:30" x14ac:dyDescent="0.2">
      <c r="A26" s="3">
        <v>42604</v>
      </c>
      <c r="B26" t="s">
        <v>23</v>
      </c>
      <c r="C26">
        <v>801</v>
      </c>
      <c r="D26">
        <v>8</v>
      </c>
      <c r="E26">
        <v>2</v>
      </c>
      <c r="F26" t="s">
        <v>24</v>
      </c>
      <c r="G26" t="s">
        <v>25</v>
      </c>
      <c r="H26" t="s">
        <v>26</v>
      </c>
      <c r="I26" t="s">
        <v>27</v>
      </c>
      <c r="J26" t="s">
        <v>34</v>
      </c>
      <c r="K26" t="s">
        <v>123</v>
      </c>
      <c r="L26" t="s">
        <v>30</v>
      </c>
      <c r="M26">
        <v>0</v>
      </c>
      <c r="N26">
        <v>1</v>
      </c>
      <c r="O26" s="17" t="s">
        <v>1880</v>
      </c>
      <c r="P26" s="17" t="s">
        <v>1881</v>
      </c>
      <c r="Q26">
        <f>25-13</f>
        <v>12</v>
      </c>
      <c r="R26" t="s">
        <v>31</v>
      </c>
      <c r="S26" t="s">
        <v>32</v>
      </c>
      <c r="T26">
        <v>18</v>
      </c>
      <c r="U26">
        <v>81</v>
      </c>
      <c r="V26">
        <v>16</v>
      </c>
      <c r="W26">
        <v>12.9</v>
      </c>
      <c r="X26">
        <v>25.7</v>
      </c>
      <c r="Y26" t="s">
        <v>1882</v>
      </c>
      <c r="AB26" t="s">
        <v>582</v>
      </c>
      <c r="AC26" t="s">
        <v>116</v>
      </c>
    </row>
    <row r="27" spans="1:30" x14ac:dyDescent="0.2">
      <c r="A27" s="3">
        <v>42604</v>
      </c>
      <c r="B27" t="s">
        <v>23</v>
      </c>
      <c r="C27">
        <v>801</v>
      </c>
      <c r="D27">
        <v>7</v>
      </c>
      <c r="E27">
        <v>1</v>
      </c>
      <c r="F27" t="s">
        <v>24</v>
      </c>
      <c r="G27" t="s">
        <v>25</v>
      </c>
      <c r="H27" t="s">
        <v>26</v>
      </c>
      <c r="I27" t="s">
        <v>27</v>
      </c>
      <c r="J27" t="s">
        <v>34</v>
      </c>
      <c r="K27" t="s">
        <v>188</v>
      </c>
      <c r="L27" t="s">
        <v>35</v>
      </c>
      <c r="M27">
        <v>0</v>
      </c>
      <c r="N27">
        <v>1</v>
      </c>
      <c r="O27" s="17" t="s">
        <v>1877</v>
      </c>
      <c r="P27" s="17" t="s">
        <v>1878</v>
      </c>
      <c r="Q27">
        <f>27.5-13</f>
        <v>14.5</v>
      </c>
      <c r="R27" t="s">
        <v>63</v>
      </c>
      <c r="T27">
        <v>19</v>
      </c>
      <c r="U27">
        <v>85</v>
      </c>
      <c r="V27">
        <v>16.5</v>
      </c>
      <c r="W27">
        <v>13.2</v>
      </c>
      <c r="X27">
        <v>26.1</v>
      </c>
      <c r="AB27" t="s">
        <v>582</v>
      </c>
      <c r="AC27" t="s">
        <v>116</v>
      </c>
    </row>
    <row r="28" spans="1:30" x14ac:dyDescent="0.2">
      <c r="A28" s="3">
        <v>42586</v>
      </c>
      <c r="B28" t="s">
        <v>23</v>
      </c>
      <c r="C28">
        <v>202</v>
      </c>
      <c r="D28">
        <v>10</v>
      </c>
      <c r="E28">
        <v>1</v>
      </c>
      <c r="F28" t="s">
        <v>24</v>
      </c>
      <c r="G28" t="s">
        <v>25</v>
      </c>
      <c r="H28" t="s">
        <v>26</v>
      </c>
      <c r="I28" t="s">
        <v>27</v>
      </c>
      <c r="J28" t="s">
        <v>34</v>
      </c>
      <c r="K28" t="s">
        <v>188</v>
      </c>
      <c r="L28" t="s">
        <v>35</v>
      </c>
      <c r="M28">
        <v>0</v>
      </c>
      <c r="N28">
        <v>1</v>
      </c>
      <c r="O28" s="17" t="s">
        <v>890</v>
      </c>
      <c r="P28" s="17" t="s">
        <v>891</v>
      </c>
      <c r="Q28">
        <f>30.5-13</f>
        <v>17.5</v>
      </c>
      <c r="R28" t="s">
        <v>63</v>
      </c>
      <c r="T28">
        <v>17</v>
      </c>
      <c r="U28">
        <v>85</v>
      </c>
      <c r="V28">
        <v>15</v>
      </c>
      <c r="W28">
        <v>13.3</v>
      </c>
      <c r="X28">
        <v>27.3</v>
      </c>
      <c r="Z28" t="s">
        <v>32</v>
      </c>
      <c r="AB28" t="s">
        <v>44</v>
      </c>
      <c r="AC28" t="s">
        <v>59</v>
      </c>
    </row>
    <row r="29" spans="1:30" x14ac:dyDescent="0.2">
      <c r="A29" s="3">
        <v>42586</v>
      </c>
      <c r="B29" t="s">
        <v>23</v>
      </c>
      <c r="C29">
        <v>202</v>
      </c>
      <c r="D29">
        <v>3</v>
      </c>
      <c r="E29">
        <v>1</v>
      </c>
      <c r="F29" t="s">
        <v>24</v>
      </c>
      <c r="G29" t="s">
        <v>25</v>
      </c>
      <c r="H29" t="s">
        <v>26</v>
      </c>
      <c r="I29" t="s">
        <v>27</v>
      </c>
      <c r="J29" t="s">
        <v>34</v>
      </c>
      <c r="K29" t="s">
        <v>188</v>
      </c>
      <c r="L29" t="s">
        <v>35</v>
      </c>
      <c r="M29">
        <v>0</v>
      </c>
      <c r="N29">
        <v>1</v>
      </c>
      <c r="O29" s="17" t="s">
        <v>888</v>
      </c>
      <c r="P29" s="17" t="s">
        <v>889</v>
      </c>
      <c r="Q29">
        <f>29-14</f>
        <v>15</v>
      </c>
      <c r="R29" t="s">
        <v>63</v>
      </c>
      <c r="T29">
        <v>19</v>
      </c>
      <c r="U29">
        <v>26</v>
      </c>
      <c r="V29">
        <v>20</v>
      </c>
      <c r="W29">
        <v>13.5</v>
      </c>
      <c r="X29">
        <v>29</v>
      </c>
      <c r="Z29" t="s">
        <v>32</v>
      </c>
      <c r="AB29" t="s">
        <v>44</v>
      </c>
      <c r="AC29" t="s">
        <v>59</v>
      </c>
    </row>
    <row r="30" spans="1:30" x14ac:dyDescent="0.2">
      <c r="A30" s="3">
        <v>42586</v>
      </c>
      <c r="B30" t="s">
        <v>23</v>
      </c>
      <c r="C30">
        <v>203</v>
      </c>
      <c r="D30">
        <v>10</v>
      </c>
      <c r="E30">
        <v>1</v>
      </c>
      <c r="F30" t="s">
        <v>24</v>
      </c>
      <c r="G30" t="s">
        <v>25</v>
      </c>
      <c r="H30" t="s">
        <v>26</v>
      </c>
      <c r="I30" t="s">
        <v>27</v>
      </c>
      <c r="J30" t="s">
        <v>34</v>
      </c>
      <c r="K30" t="s">
        <v>123</v>
      </c>
      <c r="L30" t="s">
        <v>35</v>
      </c>
      <c r="M30">
        <v>0</v>
      </c>
      <c r="N30">
        <v>1</v>
      </c>
      <c r="O30" s="17" t="s">
        <v>886</v>
      </c>
      <c r="P30" s="17" t="s">
        <v>887</v>
      </c>
      <c r="Q30">
        <f>26.5-15.5</f>
        <v>11</v>
      </c>
      <c r="R30" t="s">
        <v>63</v>
      </c>
      <c r="T30">
        <v>17</v>
      </c>
      <c r="U30">
        <v>63</v>
      </c>
      <c r="V30">
        <v>14</v>
      </c>
      <c r="W30">
        <v>11.5</v>
      </c>
      <c r="X30">
        <v>24.7</v>
      </c>
      <c r="Z30" t="s">
        <v>32</v>
      </c>
      <c r="AB30" t="s">
        <v>44</v>
      </c>
      <c r="AC30" t="s">
        <v>59</v>
      </c>
    </row>
    <row r="31" spans="1:30" x14ac:dyDescent="0.2">
      <c r="A31" s="3">
        <v>42586</v>
      </c>
      <c r="B31" t="s">
        <v>23</v>
      </c>
      <c r="C31">
        <v>203</v>
      </c>
      <c r="D31">
        <v>8</v>
      </c>
      <c r="E31">
        <v>1</v>
      </c>
      <c r="F31" t="s">
        <v>24</v>
      </c>
      <c r="G31" t="s">
        <v>25</v>
      </c>
      <c r="H31" t="s">
        <v>26</v>
      </c>
      <c r="I31" t="s">
        <v>27</v>
      </c>
      <c r="J31" t="s">
        <v>34</v>
      </c>
      <c r="K31" t="s">
        <v>123</v>
      </c>
      <c r="L31" t="s">
        <v>30</v>
      </c>
      <c r="M31">
        <v>0</v>
      </c>
      <c r="N31">
        <v>1</v>
      </c>
      <c r="O31" s="17" t="s">
        <v>881</v>
      </c>
      <c r="P31" s="17" t="s">
        <v>882</v>
      </c>
      <c r="Q31">
        <f>21-13</f>
        <v>8</v>
      </c>
      <c r="R31" t="s">
        <v>31</v>
      </c>
      <c r="S31" t="s">
        <v>32</v>
      </c>
      <c r="T31">
        <v>16</v>
      </c>
      <c r="U31">
        <v>64</v>
      </c>
      <c r="V31">
        <v>13</v>
      </c>
      <c r="W31">
        <v>11.6</v>
      </c>
      <c r="X31">
        <v>23.8</v>
      </c>
      <c r="Y31" t="s">
        <v>883</v>
      </c>
      <c r="Z31" t="s">
        <v>32</v>
      </c>
      <c r="AB31" t="s">
        <v>44</v>
      </c>
      <c r="AC31" t="s">
        <v>59</v>
      </c>
    </row>
    <row r="32" spans="1:30" x14ac:dyDescent="0.2">
      <c r="A32" s="3">
        <v>42600</v>
      </c>
      <c r="B32" t="s">
        <v>23</v>
      </c>
      <c r="C32">
        <v>203</v>
      </c>
      <c r="D32">
        <v>8</v>
      </c>
      <c r="E32">
        <v>1</v>
      </c>
      <c r="F32" t="s">
        <v>64</v>
      </c>
      <c r="G32" t="s">
        <v>25</v>
      </c>
      <c r="H32" t="s">
        <v>26</v>
      </c>
      <c r="I32" t="s">
        <v>27</v>
      </c>
      <c r="J32" t="s">
        <v>28</v>
      </c>
      <c r="K32" t="s">
        <v>123</v>
      </c>
      <c r="L32" t="s">
        <v>30</v>
      </c>
      <c r="M32">
        <v>0</v>
      </c>
      <c r="N32">
        <v>0</v>
      </c>
      <c r="O32" s="17" t="s">
        <v>881</v>
      </c>
      <c r="P32" s="17" t="s">
        <v>882</v>
      </c>
      <c r="Q32">
        <f>25-15</f>
        <v>10</v>
      </c>
      <c r="R32" t="s">
        <v>31</v>
      </c>
      <c r="S32" t="s">
        <v>32</v>
      </c>
      <c r="T32">
        <v>18</v>
      </c>
      <c r="U32">
        <v>70</v>
      </c>
      <c r="V32">
        <v>16</v>
      </c>
      <c r="W32">
        <v>12.9</v>
      </c>
      <c r="X32">
        <v>26</v>
      </c>
      <c r="Z32" t="s">
        <v>145</v>
      </c>
      <c r="AA32" t="s">
        <v>260</v>
      </c>
      <c r="AB32" t="s">
        <v>121</v>
      </c>
      <c r="AC32" t="s">
        <v>122</v>
      </c>
    </row>
    <row r="33" spans="1:30" x14ac:dyDescent="0.2">
      <c r="A33" s="3">
        <v>42586</v>
      </c>
      <c r="B33" t="s">
        <v>23</v>
      </c>
      <c r="C33">
        <v>203</v>
      </c>
      <c r="D33">
        <v>3</v>
      </c>
      <c r="E33">
        <v>1</v>
      </c>
      <c r="F33" t="s">
        <v>24</v>
      </c>
      <c r="G33" t="s">
        <v>25</v>
      </c>
      <c r="H33" t="s">
        <v>26</v>
      </c>
      <c r="I33" t="s">
        <v>27</v>
      </c>
      <c r="J33" t="s">
        <v>34</v>
      </c>
      <c r="K33" t="s">
        <v>188</v>
      </c>
      <c r="L33" t="s">
        <v>35</v>
      </c>
      <c r="M33">
        <v>0</v>
      </c>
      <c r="N33">
        <v>1</v>
      </c>
      <c r="O33" s="17" t="s">
        <v>879</v>
      </c>
      <c r="P33" s="17" t="s">
        <v>880</v>
      </c>
      <c r="Q33">
        <f>29.5-13</f>
        <v>16.5</v>
      </c>
      <c r="R33" t="s">
        <v>39</v>
      </c>
      <c r="T33">
        <v>17</v>
      </c>
      <c r="U33">
        <v>85</v>
      </c>
      <c r="V33">
        <v>15</v>
      </c>
      <c r="W33">
        <v>13</v>
      </c>
      <c r="X33">
        <v>25.3</v>
      </c>
      <c r="Z33" t="s">
        <v>32</v>
      </c>
      <c r="AB33" t="s">
        <v>44</v>
      </c>
      <c r="AC33" t="s">
        <v>59</v>
      </c>
    </row>
    <row r="34" spans="1:30" x14ac:dyDescent="0.2">
      <c r="A34" s="3">
        <v>42586</v>
      </c>
      <c r="B34" t="s">
        <v>23</v>
      </c>
      <c r="C34">
        <v>203</v>
      </c>
      <c r="D34">
        <v>2</v>
      </c>
      <c r="E34">
        <v>1</v>
      </c>
      <c r="F34" t="s">
        <v>24</v>
      </c>
      <c r="G34" t="s">
        <v>25</v>
      </c>
      <c r="H34" t="s">
        <v>26</v>
      </c>
      <c r="I34" t="s">
        <v>27</v>
      </c>
      <c r="J34" t="s">
        <v>34</v>
      </c>
      <c r="K34" t="s">
        <v>188</v>
      </c>
      <c r="L34" t="s">
        <v>30</v>
      </c>
      <c r="M34">
        <v>0</v>
      </c>
      <c r="N34">
        <v>1</v>
      </c>
      <c r="O34" s="17" t="s">
        <v>876</v>
      </c>
      <c r="P34" s="17" t="s">
        <v>877</v>
      </c>
      <c r="Q34">
        <f>27-13.5</f>
        <v>13.5</v>
      </c>
      <c r="R34" t="s">
        <v>31</v>
      </c>
      <c r="S34" t="s">
        <v>32</v>
      </c>
      <c r="T34">
        <v>18</v>
      </c>
      <c r="U34">
        <v>75</v>
      </c>
      <c r="V34">
        <v>15</v>
      </c>
      <c r="W34">
        <v>12.9</v>
      </c>
      <c r="X34">
        <v>24.6</v>
      </c>
      <c r="Z34" t="s">
        <v>32</v>
      </c>
      <c r="AB34" t="s">
        <v>44</v>
      </c>
      <c r="AC34" t="s">
        <v>59</v>
      </c>
    </row>
    <row r="35" spans="1:30" x14ac:dyDescent="0.2">
      <c r="A35" s="3">
        <v>42586</v>
      </c>
      <c r="B35" t="s">
        <v>23</v>
      </c>
      <c r="C35">
        <v>201</v>
      </c>
      <c r="D35">
        <v>5</v>
      </c>
      <c r="E35">
        <v>1</v>
      </c>
      <c r="F35" t="s">
        <v>24</v>
      </c>
      <c r="G35" t="s">
        <v>25</v>
      </c>
      <c r="H35" t="s">
        <v>26</v>
      </c>
      <c r="I35" t="s">
        <v>27</v>
      </c>
      <c r="J35" t="s">
        <v>34</v>
      </c>
      <c r="K35" t="s">
        <v>123</v>
      </c>
      <c r="L35" t="s">
        <v>35</v>
      </c>
      <c r="M35">
        <v>0</v>
      </c>
      <c r="N35">
        <v>1</v>
      </c>
      <c r="O35" s="17" t="s">
        <v>871</v>
      </c>
      <c r="P35" s="17" t="s">
        <v>872</v>
      </c>
      <c r="Q35">
        <f>27-13</f>
        <v>14</v>
      </c>
      <c r="R35" t="s">
        <v>63</v>
      </c>
      <c r="T35">
        <v>17.5</v>
      </c>
      <c r="U35">
        <v>92</v>
      </c>
      <c r="V35">
        <v>16.5</v>
      </c>
      <c r="W35">
        <v>12.7</v>
      </c>
      <c r="X35">
        <v>27.2</v>
      </c>
      <c r="Z35" t="s">
        <v>32</v>
      </c>
      <c r="AB35" t="s">
        <v>44</v>
      </c>
      <c r="AC35" t="s">
        <v>59</v>
      </c>
      <c r="AD35" t="s">
        <v>873</v>
      </c>
    </row>
    <row r="36" spans="1:30" x14ac:dyDescent="0.2">
      <c r="A36" s="3">
        <v>42586</v>
      </c>
      <c r="B36" t="s">
        <v>23</v>
      </c>
      <c r="C36">
        <v>201</v>
      </c>
      <c r="D36">
        <v>5</v>
      </c>
      <c r="E36">
        <v>1</v>
      </c>
      <c r="F36" t="s">
        <v>24</v>
      </c>
      <c r="G36" t="s">
        <v>25</v>
      </c>
      <c r="H36" t="s">
        <v>26</v>
      </c>
      <c r="I36" t="s">
        <v>27</v>
      </c>
      <c r="J36" t="s">
        <v>34</v>
      </c>
      <c r="K36" t="s">
        <v>123</v>
      </c>
      <c r="L36" t="s">
        <v>30</v>
      </c>
      <c r="M36">
        <v>0</v>
      </c>
      <c r="N36">
        <v>1</v>
      </c>
      <c r="O36" s="17" t="s">
        <v>869</v>
      </c>
      <c r="P36" s="17" t="s">
        <v>870</v>
      </c>
      <c r="Q36">
        <f>27-13</f>
        <v>14</v>
      </c>
      <c r="R36" t="s">
        <v>31</v>
      </c>
      <c r="S36" t="s">
        <v>32</v>
      </c>
      <c r="T36">
        <v>17</v>
      </c>
      <c r="U36">
        <v>86</v>
      </c>
      <c r="V36">
        <v>17</v>
      </c>
      <c r="W36">
        <v>13.1</v>
      </c>
      <c r="X36">
        <v>25.8</v>
      </c>
      <c r="Z36" t="s">
        <v>32</v>
      </c>
      <c r="AB36" t="s">
        <v>44</v>
      </c>
      <c r="AC36" t="s">
        <v>59</v>
      </c>
      <c r="AD36" t="s">
        <v>873</v>
      </c>
    </row>
    <row r="37" spans="1:30" x14ac:dyDescent="0.2">
      <c r="A37" s="3">
        <v>42585</v>
      </c>
      <c r="B37" t="s">
        <v>23</v>
      </c>
      <c r="C37">
        <v>403</v>
      </c>
      <c r="D37">
        <v>4</v>
      </c>
      <c r="E37">
        <v>1</v>
      </c>
      <c r="F37" t="s">
        <v>24</v>
      </c>
      <c r="G37" t="s">
        <v>25</v>
      </c>
      <c r="H37" t="s">
        <v>26</v>
      </c>
      <c r="I37" t="s">
        <v>27</v>
      </c>
      <c r="J37" t="s">
        <v>34</v>
      </c>
      <c r="K37" t="s">
        <v>123</v>
      </c>
      <c r="L37" t="s">
        <v>30</v>
      </c>
      <c r="M37">
        <v>0</v>
      </c>
      <c r="N37">
        <v>1</v>
      </c>
      <c r="O37" s="17" t="s">
        <v>865</v>
      </c>
      <c r="P37" s="17" t="s">
        <v>866</v>
      </c>
      <c r="Q37">
        <f>29.5-14</f>
        <v>15.5</v>
      </c>
      <c r="R37" t="s">
        <v>31</v>
      </c>
      <c r="S37" t="s">
        <v>32</v>
      </c>
      <c r="T37">
        <v>16</v>
      </c>
      <c r="U37">
        <v>75</v>
      </c>
      <c r="V37">
        <v>16</v>
      </c>
      <c r="W37">
        <v>13</v>
      </c>
      <c r="X37">
        <v>26.85</v>
      </c>
      <c r="Z37" t="s">
        <v>32</v>
      </c>
      <c r="AB37" t="s">
        <v>44</v>
      </c>
      <c r="AC37" t="s">
        <v>59</v>
      </c>
    </row>
    <row r="38" spans="1:30" x14ac:dyDescent="0.2">
      <c r="A38" s="3">
        <v>42586</v>
      </c>
      <c r="B38" t="s">
        <v>23</v>
      </c>
      <c r="C38">
        <v>304</v>
      </c>
      <c r="D38">
        <v>5</v>
      </c>
      <c r="E38">
        <v>1</v>
      </c>
      <c r="F38" t="s">
        <v>64</v>
      </c>
      <c r="G38" t="s">
        <v>25</v>
      </c>
      <c r="H38" t="s">
        <v>26</v>
      </c>
      <c r="I38" t="s">
        <v>27</v>
      </c>
      <c r="J38" t="s">
        <v>28</v>
      </c>
      <c r="K38" t="s">
        <v>123</v>
      </c>
      <c r="L38" t="s">
        <v>30</v>
      </c>
      <c r="M38">
        <v>0</v>
      </c>
      <c r="N38">
        <v>0</v>
      </c>
      <c r="O38" s="17" t="s">
        <v>865</v>
      </c>
      <c r="P38" s="17" t="s">
        <v>866</v>
      </c>
      <c r="Q38">
        <f>30-16</f>
        <v>14</v>
      </c>
      <c r="R38" t="s">
        <v>31</v>
      </c>
      <c r="S38" t="s">
        <v>32</v>
      </c>
      <c r="Z38" t="s">
        <v>32</v>
      </c>
      <c r="AB38" t="s">
        <v>53</v>
      </c>
      <c r="AC38" t="s">
        <v>122</v>
      </c>
      <c r="AD38" t="s">
        <v>1470</v>
      </c>
    </row>
    <row r="39" spans="1:30" x14ac:dyDescent="0.2">
      <c r="A39" s="3">
        <v>42585</v>
      </c>
      <c r="B39" t="s">
        <v>23</v>
      </c>
      <c r="C39">
        <v>202</v>
      </c>
      <c r="D39">
        <v>7</v>
      </c>
      <c r="E39">
        <v>1</v>
      </c>
      <c r="F39" t="s">
        <v>24</v>
      </c>
      <c r="G39" t="s">
        <v>25</v>
      </c>
      <c r="H39" t="s">
        <v>26</v>
      </c>
      <c r="I39" t="s">
        <v>27</v>
      </c>
      <c r="J39" t="s">
        <v>34</v>
      </c>
      <c r="K39" t="s">
        <v>123</v>
      </c>
      <c r="L39" t="s">
        <v>35</v>
      </c>
      <c r="M39">
        <v>0</v>
      </c>
      <c r="N39">
        <v>1</v>
      </c>
      <c r="O39" s="17" t="s">
        <v>861</v>
      </c>
      <c r="P39" s="17" t="s">
        <v>862</v>
      </c>
      <c r="Q39">
        <f>28-13</f>
        <v>15</v>
      </c>
      <c r="R39" t="s">
        <v>63</v>
      </c>
      <c r="T39">
        <v>18</v>
      </c>
      <c r="U39">
        <v>85</v>
      </c>
      <c r="V39">
        <v>18</v>
      </c>
      <c r="W39">
        <v>12.7</v>
      </c>
      <c r="X39">
        <v>26.8</v>
      </c>
      <c r="Z39" t="s">
        <v>32</v>
      </c>
      <c r="AB39" t="s">
        <v>44</v>
      </c>
      <c r="AC39" t="s">
        <v>59</v>
      </c>
    </row>
    <row r="40" spans="1:30" x14ac:dyDescent="0.2">
      <c r="A40" s="3">
        <v>42598</v>
      </c>
      <c r="B40" t="s">
        <v>23</v>
      </c>
      <c r="C40">
        <v>202</v>
      </c>
      <c r="D40">
        <v>8</v>
      </c>
      <c r="E40">
        <v>2</v>
      </c>
      <c r="F40" t="s">
        <v>64</v>
      </c>
      <c r="G40" t="s">
        <v>25</v>
      </c>
      <c r="H40" t="s">
        <v>26</v>
      </c>
      <c r="I40" t="s">
        <v>27</v>
      </c>
      <c r="J40" t="s">
        <v>28</v>
      </c>
      <c r="K40" t="s">
        <v>123</v>
      </c>
      <c r="L40" t="s">
        <v>35</v>
      </c>
      <c r="M40">
        <v>0</v>
      </c>
      <c r="N40">
        <v>0</v>
      </c>
      <c r="O40" s="17" t="s">
        <v>861</v>
      </c>
      <c r="P40" s="17" t="s">
        <v>862</v>
      </c>
      <c r="Q40">
        <f>35-20</f>
        <v>15</v>
      </c>
      <c r="R40" t="s">
        <v>63</v>
      </c>
      <c r="T40">
        <v>19</v>
      </c>
      <c r="U40">
        <v>87</v>
      </c>
      <c r="V40">
        <v>17</v>
      </c>
      <c r="W40">
        <v>13</v>
      </c>
      <c r="X40">
        <v>28.4</v>
      </c>
      <c r="Z40" t="s">
        <v>145</v>
      </c>
      <c r="AA40" t="s">
        <v>260</v>
      </c>
      <c r="AB40" t="s">
        <v>121</v>
      </c>
      <c r="AC40" t="s">
        <v>122</v>
      </c>
      <c r="AD40" t="s">
        <v>1580</v>
      </c>
    </row>
    <row r="41" spans="1:30" x14ac:dyDescent="0.2">
      <c r="A41" s="3">
        <v>42586</v>
      </c>
      <c r="B41" t="s">
        <v>23</v>
      </c>
      <c r="C41">
        <v>111</v>
      </c>
      <c r="D41">
        <v>2</v>
      </c>
      <c r="E41">
        <v>2</v>
      </c>
      <c r="F41" t="s">
        <v>64</v>
      </c>
      <c r="G41" t="s">
        <v>25</v>
      </c>
      <c r="H41" t="s">
        <v>26</v>
      </c>
      <c r="I41" t="s">
        <v>27</v>
      </c>
      <c r="J41" t="s">
        <v>34</v>
      </c>
      <c r="K41" t="s">
        <v>188</v>
      </c>
      <c r="L41" t="s">
        <v>35</v>
      </c>
      <c r="M41">
        <v>0</v>
      </c>
      <c r="N41">
        <v>1</v>
      </c>
      <c r="O41" s="17" t="s">
        <v>950</v>
      </c>
      <c r="P41" s="17" t="s">
        <v>951</v>
      </c>
      <c r="Q41">
        <f>30-13</f>
        <v>17</v>
      </c>
      <c r="R41" t="s">
        <v>39</v>
      </c>
      <c r="T41">
        <v>19</v>
      </c>
      <c r="U41">
        <v>90</v>
      </c>
      <c r="V41">
        <v>16</v>
      </c>
      <c r="W41">
        <v>12.9</v>
      </c>
      <c r="X41">
        <v>27.2</v>
      </c>
      <c r="Z41" t="s">
        <v>145</v>
      </c>
      <c r="AA41" t="s">
        <v>260</v>
      </c>
      <c r="AB41" t="s">
        <v>53</v>
      </c>
      <c r="AC41" t="s">
        <v>122</v>
      </c>
    </row>
    <row r="42" spans="1:30" x14ac:dyDescent="0.2">
      <c r="A42" s="3">
        <v>42587</v>
      </c>
      <c r="B42" t="s">
        <v>23</v>
      </c>
      <c r="C42">
        <v>111</v>
      </c>
      <c r="D42">
        <v>2</v>
      </c>
      <c r="E42">
        <v>2</v>
      </c>
      <c r="F42" t="s">
        <v>64</v>
      </c>
      <c r="G42" t="s">
        <v>25</v>
      </c>
      <c r="H42" t="s">
        <v>26</v>
      </c>
      <c r="I42" t="s">
        <v>27</v>
      </c>
      <c r="J42" t="s">
        <v>28</v>
      </c>
      <c r="K42" t="s">
        <v>188</v>
      </c>
      <c r="L42" t="s">
        <v>35</v>
      </c>
      <c r="M42">
        <v>0</v>
      </c>
      <c r="N42">
        <v>0</v>
      </c>
      <c r="O42" s="17" t="s">
        <v>950</v>
      </c>
      <c r="P42" s="17" t="s">
        <v>951</v>
      </c>
      <c r="Q42">
        <f>34-16.5</f>
        <v>17.5</v>
      </c>
      <c r="R42" t="s">
        <v>39</v>
      </c>
      <c r="T42">
        <v>19</v>
      </c>
      <c r="U42">
        <v>90</v>
      </c>
      <c r="V42">
        <v>16</v>
      </c>
      <c r="W42">
        <v>13</v>
      </c>
      <c r="X42">
        <v>27.6</v>
      </c>
      <c r="Z42" t="s">
        <v>145</v>
      </c>
      <c r="AA42" t="s">
        <v>260</v>
      </c>
      <c r="AB42" t="s">
        <v>53</v>
      </c>
      <c r="AC42" t="s">
        <v>254</v>
      </c>
    </row>
    <row r="43" spans="1:30" x14ac:dyDescent="0.2">
      <c r="A43" s="3">
        <v>42588</v>
      </c>
      <c r="B43" t="s">
        <v>23</v>
      </c>
      <c r="C43">
        <v>111</v>
      </c>
      <c r="D43">
        <v>1</v>
      </c>
      <c r="E43">
        <v>1</v>
      </c>
      <c r="F43" t="s">
        <v>64</v>
      </c>
      <c r="G43" t="s">
        <v>25</v>
      </c>
      <c r="H43" t="s">
        <v>26</v>
      </c>
      <c r="I43" t="s">
        <v>27</v>
      </c>
      <c r="J43" t="s">
        <v>28</v>
      </c>
      <c r="K43" t="s">
        <v>188</v>
      </c>
      <c r="L43" t="s">
        <v>35</v>
      </c>
      <c r="M43">
        <v>0</v>
      </c>
      <c r="N43">
        <v>0</v>
      </c>
      <c r="O43" s="17" t="s">
        <v>950</v>
      </c>
      <c r="P43" s="17" t="s">
        <v>951</v>
      </c>
      <c r="Q43">
        <f>31-14</f>
        <v>17</v>
      </c>
      <c r="R43" t="s">
        <v>39</v>
      </c>
      <c r="T43">
        <v>20</v>
      </c>
      <c r="U43">
        <v>94</v>
      </c>
      <c r="V43">
        <v>16</v>
      </c>
      <c r="W43">
        <v>12.8</v>
      </c>
      <c r="X43">
        <v>27.8</v>
      </c>
      <c r="Z43" t="s">
        <v>145</v>
      </c>
      <c r="AA43" t="s">
        <v>260</v>
      </c>
      <c r="AB43" t="s">
        <v>121</v>
      </c>
      <c r="AC43" t="s">
        <v>59</v>
      </c>
    </row>
    <row r="44" spans="1:30" x14ac:dyDescent="0.2">
      <c r="A44" s="3">
        <v>42589</v>
      </c>
      <c r="B44" t="s">
        <v>23</v>
      </c>
      <c r="C44">
        <v>111</v>
      </c>
      <c r="D44">
        <v>3</v>
      </c>
      <c r="E44">
        <v>2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 t="s">
        <v>188</v>
      </c>
      <c r="L44" t="s">
        <v>35</v>
      </c>
      <c r="M44">
        <v>0</v>
      </c>
      <c r="N44">
        <v>0</v>
      </c>
      <c r="O44" s="17" t="s">
        <v>950</v>
      </c>
      <c r="P44" s="17" t="s">
        <v>951</v>
      </c>
      <c r="Q44">
        <f>31.5-12.5</f>
        <v>19</v>
      </c>
      <c r="R44" t="s">
        <v>39</v>
      </c>
      <c r="T44">
        <v>19</v>
      </c>
      <c r="U44">
        <v>89</v>
      </c>
      <c r="V44">
        <v>17.5</v>
      </c>
      <c r="W44">
        <v>13</v>
      </c>
      <c r="X44">
        <v>24.8</v>
      </c>
      <c r="Z44" t="s">
        <v>145</v>
      </c>
      <c r="AB44" t="s">
        <v>121</v>
      </c>
      <c r="AC44" t="s">
        <v>59</v>
      </c>
    </row>
    <row r="45" spans="1:30" x14ac:dyDescent="0.2">
      <c r="A45" s="3">
        <v>42586</v>
      </c>
      <c r="B45" t="s">
        <v>23</v>
      </c>
      <c r="C45">
        <v>111</v>
      </c>
      <c r="D45">
        <v>2</v>
      </c>
      <c r="E45">
        <v>1</v>
      </c>
      <c r="F45" t="s">
        <v>64</v>
      </c>
      <c r="G45" t="s">
        <v>25</v>
      </c>
      <c r="H45" t="s">
        <v>26</v>
      </c>
      <c r="I45" t="s">
        <v>27</v>
      </c>
      <c r="J45" t="s">
        <v>34</v>
      </c>
      <c r="K45" t="s">
        <v>29</v>
      </c>
      <c r="L45" t="s">
        <v>35</v>
      </c>
      <c r="M45">
        <v>0</v>
      </c>
      <c r="N45">
        <v>1</v>
      </c>
      <c r="O45" s="17" t="s">
        <v>947</v>
      </c>
      <c r="P45" s="17" t="s">
        <v>948</v>
      </c>
      <c r="Q45">
        <f>38-17</f>
        <v>21</v>
      </c>
      <c r="R45" t="s">
        <v>39</v>
      </c>
      <c r="T45">
        <v>18</v>
      </c>
      <c r="U45">
        <v>95</v>
      </c>
      <c r="V45">
        <v>17</v>
      </c>
      <c r="W45">
        <v>12.9</v>
      </c>
      <c r="X45">
        <v>26.8</v>
      </c>
      <c r="Z45" t="s">
        <v>32</v>
      </c>
      <c r="AB45" t="s">
        <v>44</v>
      </c>
      <c r="AC45" t="s">
        <v>59</v>
      </c>
      <c r="AD45" t="s">
        <v>949</v>
      </c>
    </row>
    <row r="46" spans="1:30" x14ac:dyDescent="0.2">
      <c r="A46" s="3">
        <v>42587</v>
      </c>
      <c r="B46" t="s">
        <v>23</v>
      </c>
      <c r="C46">
        <v>111</v>
      </c>
      <c r="D46">
        <v>2</v>
      </c>
      <c r="E46">
        <v>1</v>
      </c>
      <c r="F46" t="s">
        <v>64</v>
      </c>
      <c r="G46" t="s">
        <v>25</v>
      </c>
      <c r="H46" t="s">
        <v>26</v>
      </c>
      <c r="I46" t="s">
        <v>27</v>
      </c>
      <c r="J46" t="s">
        <v>28</v>
      </c>
      <c r="K46" t="s">
        <v>188</v>
      </c>
      <c r="L46" t="s">
        <v>35</v>
      </c>
      <c r="M46">
        <v>0</v>
      </c>
      <c r="N46">
        <v>0</v>
      </c>
      <c r="O46" s="17" t="s">
        <v>947</v>
      </c>
      <c r="P46" s="17" t="s">
        <v>948</v>
      </c>
      <c r="Q46">
        <f>37-18</f>
        <v>19</v>
      </c>
      <c r="R46" t="s">
        <v>39</v>
      </c>
      <c r="T46">
        <v>18.5</v>
      </c>
      <c r="U46">
        <v>95</v>
      </c>
      <c r="V46">
        <v>14</v>
      </c>
      <c r="W46">
        <v>13</v>
      </c>
      <c r="X46">
        <v>26.7</v>
      </c>
      <c r="Z46" t="s">
        <v>32</v>
      </c>
      <c r="AB46" t="s">
        <v>53</v>
      </c>
      <c r="AC46" t="s">
        <v>254</v>
      </c>
      <c r="AD46" t="s">
        <v>1161</v>
      </c>
    </row>
    <row r="47" spans="1:30" x14ac:dyDescent="0.2">
      <c r="A47" s="3">
        <v>42588</v>
      </c>
      <c r="B47" t="s">
        <v>23</v>
      </c>
      <c r="C47">
        <v>111</v>
      </c>
      <c r="D47">
        <v>3</v>
      </c>
      <c r="E47">
        <v>1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188</v>
      </c>
      <c r="L47" t="s">
        <v>35</v>
      </c>
      <c r="M47">
        <v>0</v>
      </c>
      <c r="N47">
        <v>0</v>
      </c>
      <c r="O47" s="17" t="s">
        <v>947</v>
      </c>
      <c r="P47" s="17" t="s">
        <v>948</v>
      </c>
      <c r="R47" t="s">
        <v>39</v>
      </c>
      <c r="T47">
        <v>19</v>
      </c>
      <c r="U47">
        <v>16.5</v>
      </c>
      <c r="V47">
        <v>89</v>
      </c>
      <c r="W47">
        <v>13.5</v>
      </c>
      <c r="X47">
        <v>27.2</v>
      </c>
      <c r="Z47" t="s">
        <v>32</v>
      </c>
      <c r="AB47" t="s">
        <v>121</v>
      </c>
      <c r="AC47" t="s">
        <v>59</v>
      </c>
    </row>
    <row r="48" spans="1:30" x14ac:dyDescent="0.2">
      <c r="A48" s="3">
        <v>42589</v>
      </c>
      <c r="B48" t="s">
        <v>23</v>
      </c>
      <c r="C48">
        <v>111</v>
      </c>
      <c r="D48">
        <v>3</v>
      </c>
      <c r="E48">
        <v>1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188</v>
      </c>
      <c r="L48" t="s">
        <v>35</v>
      </c>
      <c r="M48">
        <v>0</v>
      </c>
      <c r="N48">
        <v>0</v>
      </c>
      <c r="O48" s="17" t="s">
        <v>947</v>
      </c>
      <c r="P48" s="17" t="s">
        <v>948</v>
      </c>
      <c r="Q48">
        <f>35-14.5</f>
        <v>20.5</v>
      </c>
      <c r="R48" t="s">
        <v>39</v>
      </c>
      <c r="T48">
        <v>19</v>
      </c>
      <c r="U48">
        <v>91</v>
      </c>
      <c r="V48">
        <v>15</v>
      </c>
      <c r="W48">
        <v>13.5</v>
      </c>
      <c r="X48">
        <v>76.2</v>
      </c>
      <c r="Z48" t="s">
        <v>32</v>
      </c>
      <c r="AB48" t="s">
        <v>121</v>
      </c>
      <c r="AC48" t="s">
        <v>59</v>
      </c>
      <c r="AD48" t="s">
        <v>1068</v>
      </c>
    </row>
    <row r="49" spans="1:30" x14ac:dyDescent="0.2">
      <c r="A49" s="3">
        <v>42585</v>
      </c>
      <c r="B49" t="s">
        <v>23</v>
      </c>
      <c r="C49">
        <v>304</v>
      </c>
      <c r="D49">
        <v>2</v>
      </c>
      <c r="E49">
        <v>2</v>
      </c>
      <c r="F49" t="s">
        <v>64</v>
      </c>
      <c r="G49" t="s">
        <v>25</v>
      </c>
      <c r="H49" t="s">
        <v>26</v>
      </c>
      <c r="I49" t="s">
        <v>27</v>
      </c>
      <c r="J49" t="s">
        <v>34</v>
      </c>
      <c r="K49" t="s">
        <v>188</v>
      </c>
      <c r="L49" t="s">
        <v>35</v>
      </c>
      <c r="M49">
        <v>0</v>
      </c>
      <c r="N49">
        <v>1</v>
      </c>
      <c r="O49" s="17" t="s">
        <v>897</v>
      </c>
      <c r="P49" s="17" t="s">
        <v>898</v>
      </c>
      <c r="Q49">
        <f>24-8.5</f>
        <v>15.5</v>
      </c>
      <c r="R49" t="s">
        <v>63</v>
      </c>
      <c r="T49">
        <v>20</v>
      </c>
      <c r="U49">
        <v>91</v>
      </c>
      <c r="V49">
        <v>15</v>
      </c>
      <c r="W49">
        <v>12.9</v>
      </c>
      <c r="X49">
        <v>26.8</v>
      </c>
      <c r="Z49" t="s">
        <v>32</v>
      </c>
      <c r="AB49" t="s">
        <v>53</v>
      </c>
      <c r="AC49" t="s">
        <v>122</v>
      </c>
    </row>
    <row r="50" spans="1:30" x14ac:dyDescent="0.2">
      <c r="A50" s="3">
        <v>42586</v>
      </c>
      <c r="B50" t="s">
        <v>23</v>
      </c>
      <c r="C50">
        <v>304</v>
      </c>
      <c r="D50">
        <v>2</v>
      </c>
      <c r="E50">
        <v>2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188</v>
      </c>
      <c r="L50" t="s">
        <v>35</v>
      </c>
      <c r="M50">
        <v>0</v>
      </c>
      <c r="N50">
        <v>0</v>
      </c>
      <c r="O50" s="17" t="s">
        <v>897</v>
      </c>
      <c r="P50" s="17" t="s">
        <v>898</v>
      </c>
      <c r="Q50">
        <f>29.5-14</f>
        <v>15.5</v>
      </c>
      <c r="R50" t="s">
        <v>63</v>
      </c>
      <c r="AB50" t="s">
        <v>44</v>
      </c>
      <c r="AC50" t="s">
        <v>59</v>
      </c>
      <c r="AD50" t="s">
        <v>899</v>
      </c>
    </row>
    <row r="51" spans="1:30" x14ac:dyDescent="0.2">
      <c r="A51" s="3">
        <v>42600</v>
      </c>
      <c r="B51" t="s">
        <v>23</v>
      </c>
      <c r="C51">
        <v>304</v>
      </c>
      <c r="D51">
        <v>1</v>
      </c>
      <c r="E51">
        <v>2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188</v>
      </c>
      <c r="L51" t="s">
        <v>35</v>
      </c>
      <c r="M51">
        <v>0</v>
      </c>
      <c r="N51">
        <v>0</v>
      </c>
      <c r="O51" s="17" t="s">
        <v>897</v>
      </c>
      <c r="P51" s="17" t="s">
        <v>898</v>
      </c>
      <c r="Q51">
        <f>33.5-16</f>
        <v>17.5</v>
      </c>
      <c r="R51" t="s">
        <v>63</v>
      </c>
      <c r="T51">
        <v>19</v>
      </c>
      <c r="U51">
        <v>86</v>
      </c>
      <c r="V51">
        <v>15</v>
      </c>
      <c r="W51">
        <v>13</v>
      </c>
      <c r="X51">
        <v>26.9</v>
      </c>
      <c r="Y51" t="s">
        <v>1851</v>
      </c>
      <c r="AB51" t="s">
        <v>121</v>
      </c>
      <c r="AC51" t="s">
        <v>59</v>
      </c>
    </row>
    <row r="52" spans="1:30" x14ac:dyDescent="0.2">
      <c r="A52" s="3">
        <v>42585</v>
      </c>
      <c r="B52" t="s">
        <v>23</v>
      </c>
      <c r="C52">
        <v>304</v>
      </c>
      <c r="D52">
        <v>3</v>
      </c>
      <c r="E52">
        <v>2</v>
      </c>
      <c r="F52" t="s">
        <v>64</v>
      </c>
      <c r="G52" t="s">
        <v>25</v>
      </c>
      <c r="H52" t="s">
        <v>26</v>
      </c>
      <c r="I52" t="s">
        <v>27</v>
      </c>
      <c r="J52" t="s">
        <v>34</v>
      </c>
      <c r="K52" t="s">
        <v>188</v>
      </c>
      <c r="L52" t="s">
        <v>30</v>
      </c>
      <c r="M52">
        <v>0</v>
      </c>
      <c r="N52">
        <v>1</v>
      </c>
      <c r="O52" s="17" t="s">
        <v>943</v>
      </c>
      <c r="P52" s="17" t="s">
        <v>944</v>
      </c>
      <c r="Q52">
        <f>25.5-9</f>
        <v>16.5</v>
      </c>
      <c r="R52" t="s">
        <v>31</v>
      </c>
      <c r="S52" t="s">
        <v>32</v>
      </c>
      <c r="T52">
        <v>19</v>
      </c>
      <c r="U52">
        <v>80</v>
      </c>
      <c r="V52">
        <v>17</v>
      </c>
      <c r="W52">
        <v>12.9</v>
      </c>
      <c r="X52">
        <v>25.7</v>
      </c>
      <c r="Z52" t="s">
        <v>145</v>
      </c>
      <c r="AA52" t="s">
        <v>260</v>
      </c>
      <c r="AB52" t="s">
        <v>53</v>
      </c>
      <c r="AC52" t="s">
        <v>122</v>
      </c>
      <c r="AD52" t="s">
        <v>945</v>
      </c>
    </row>
    <row r="53" spans="1:30" x14ac:dyDescent="0.2">
      <c r="A53" s="3">
        <v>42586</v>
      </c>
      <c r="B53" t="s">
        <v>23</v>
      </c>
      <c r="C53">
        <v>304</v>
      </c>
      <c r="D53">
        <v>3</v>
      </c>
      <c r="E53">
        <v>1</v>
      </c>
      <c r="F53" t="s">
        <v>64</v>
      </c>
      <c r="G53" t="s">
        <v>25</v>
      </c>
      <c r="H53" t="s">
        <v>26</v>
      </c>
      <c r="I53" t="s">
        <v>27</v>
      </c>
      <c r="J53" t="s">
        <v>28</v>
      </c>
      <c r="K53" t="s">
        <v>188</v>
      </c>
      <c r="L53" t="s">
        <v>30</v>
      </c>
      <c r="M53">
        <v>0</v>
      </c>
      <c r="N53">
        <v>0</v>
      </c>
      <c r="O53" s="17" t="s">
        <v>943</v>
      </c>
      <c r="P53" s="17" t="s">
        <v>944</v>
      </c>
      <c r="Q53">
        <f>33-17.5</f>
        <v>15.5</v>
      </c>
      <c r="R53" t="s">
        <v>31</v>
      </c>
      <c r="S53" t="s">
        <v>32</v>
      </c>
      <c r="T53">
        <v>19.5</v>
      </c>
      <c r="U53">
        <v>78</v>
      </c>
      <c r="Z53" t="s">
        <v>145</v>
      </c>
      <c r="AA53" t="s">
        <v>260</v>
      </c>
      <c r="AB53" t="s">
        <v>53</v>
      </c>
      <c r="AC53" t="s">
        <v>122</v>
      </c>
      <c r="AD53" t="s">
        <v>1470</v>
      </c>
    </row>
    <row r="54" spans="1:30" x14ac:dyDescent="0.2">
      <c r="A54" s="3">
        <v>42585</v>
      </c>
      <c r="B54" t="s">
        <v>23</v>
      </c>
      <c r="C54">
        <v>304</v>
      </c>
      <c r="D54">
        <v>9</v>
      </c>
      <c r="E54">
        <v>1</v>
      </c>
      <c r="F54" t="s">
        <v>64</v>
      </c>
      <c r="G54" t="s">
        <v>25</v>
      </c>
      <c r="H54" t="s">
        <v>26</v>
      </c>
      <c r="I54" t="s">
        <v>27</v>
      </c>
      <c r="J54" t="s">
        <v>34</v>
      </c>
      <c r="K54" t="s">
        <v>123</v>
      </c>
      <c r="L54" t="s">
        <v>30</v>
      </c>
      <c r="M54">
        <v>0</v>
      </c>
      <c r="N54">
        <v>1</v>
      </c>
      <c r="O54" s="17" t="s">
        <v>938</v>
      </c>
      <c r="P54" s="17" t="s">
        <v>939</v>
      </c>
      <c r="Q54">
        <f>18-4.5</f>
        <v>13.5</v>
      </c>
      <c r="R54" t="s">
        <v>31</v>
      </c>
      <c r="S54" t="s">
        <v>32</v>
      </c>
      <c r="T54">
        <v>19</v>
      </c>
      <c r="U54">
        <v>79</v>
      </c>
      <c r="V54">
        <v>15</v>
      </c>
      <c r="W54">
        <v>12.7</v>
      </c>
      <c r="X54">
        <v>26.8</v>
      </c>
      <c r="Z54" t="s">
        <v>32</v>
      </c>
      <c r="AB54" t="s">
        <v>53</v>
      </c>
      <c r="AC54" t="s">
        <v>122</v>
      </c>
    </row>
    <row r="55" spans="1:30" x14ac:dyDescent="0.2">
      <c r="A55" s="3">
        <v>42586</v>
      </c>
      <c r="B55" t="s">
        <v>23</v>
      </c>
      <c r="C55">
        <v>304</v>
      </c>
      <c r="D55">
        <v>9</v>
      </c>
      <c r="E55">
        <v>2</v>
      </c>
      <c r="F55" t="s">
        <v>64</v>
      </c>
      <c r="G55" t="s">
        <v>25</v>
      </c>
      <c r="H55" t="s">
        <v>26</v>
      </c>
      <c r="I55" t="s">
        <v>27</v>
      </c>
      <c r="J55" t="s">
        <v>28</v>
      </c>
      <c r="K55" t="s">
        <v>123</v>
      </c>
      <c r="L55" t="s">
        <v>30</v>
      </c>
      <c r="M55">
        <v>0</v>
      </c>
      <c r="N55">
        <v>0</v>
      </c>
      <c r="O55" s="17" t="s">
        <v>938</v>
      </c>
      <c r="P55" s="17" t="s">
        <v>939</v>
      </c>
      <c r="Q55">
        <f>29.5-17</f>
        <v>12.5</v>
      </c>
      <c r="R55" t="s">
        <v>31</v>
      </c>
      <c r="S55" t="s">
        <v>32</v>
      </c>
      <c r="T55">
        <v>21</v>
      </c>
      <c r="U55">
        <v>79</v>
      </c>
      <c r="V55">
        <v>15</v>
      </c>
      <c r="W55">
        <v>12.9</v>
      </c>
      <c r="X55">
        <v>27.6</v>
      </c>
      <c r="Z55" t="s">
        <v>32</v>
      </c>
      <c r="AB55" t="s">
        <v>53</v>
      </c>
      <c r="AC55" t="s">
        <v>122</v>
      </c>
    </row>
    <row r="56" spans="1:30" x14ac:dyDescent="0.2">
      <c r="A56" s="3">
        <v>42598</v>
      </c>
      <c r="B56" t="s">
        <v>23</v>
      </c>
      <c r="C56">
        <v>304</v>
      </c>
      <c r="D56">
        <v>10</v>
      </c>
      <c r="E56">
        <v>1</v>
      </c>
      <c r="F56" t="s">
        <v>64</v>
      </c>
      <c r="G56" t="s">
        <v>25</v>
      </c>
      <c r="H56" t="s">
        <v>26</v>
      </c>
      <c r="I56" t="s">
        <v>27</v>
      </c>
      <c r="J56" t="s">
        <v>28</v>
      </c>
      <c r="K56" t="s">
        <v>123</v>
      </c>
      <c r="L56" t="s">
        <v>30</v>
      </c>
      <c r="M56">
        <v>0</v>
      </c>
      <c r="N56">
        <v>0</v>
      </c>
      <c r="O56" s="17" t="s">
        <v>938</v>
      </c>
      <c r="P56" s="17" t="s">
        <v>939</v>
      </c>
      <c r="Q56">
        <f>33-21</f>
        <v>12</v>
      </c>
      <c r="R56" t="s">
        <v>31</v>
      </c>
      <c r="S56" t="s">
        <v>32</v>
      </c>
      <c r="T56">
        <v>20</v>
      </c>
      <c r="U56">
        <v>85</v>
      </c>
      <c r="V56">
        <v>17</v>
      </c>
      <c r="W56">
        <v>13.1</v>
      </c>
      <c r="X56">
        <v>27.8</v>
      </c>
      <c r="Z56" t="s">
        <v>145</v>
      </c>
      <c r="AA56" t="s">
        <v>260</v>
      </c>
      <c r="AB56" t="s">
        <v>121</v>
      </c>
      <c r="AC56" t="s">
        <v>122</v>
      </c>
    </row>
    <row r="57" spans="1:30" x14ac:dyDescent="0.2">
      <c r="A57" s="3">
        <v>42599</v>
      </c>
      <c r="B57" t="s">
        <v>23</v>
      </c>
      <c r="C57">
        <v>304</v>
      </c>
      <c r="D57">
        <v>10</v>
      </c>
      <c r="E57">
        <v>2</v>
      </c>
      <c r="F57" t="s">
        <v>64</v>
      </c>
      <c r="G57" t="s">
        <v>25</v>
      </c>
      <c r="H57" t="s">
        <v>26</v>
      </c>
      <c r="I57" t="s">
        <v>27</v>
      </c>
      <c r="J57" s="17" t="s">
        <v>28</v>
      </c>
      <c r="K57" s="17" t="s">
        <v>123</v>
      </c>
      <c r="L57" t="s">
        <v>30</v>
      </c>
      <c r="M57">
        <v>0</v>
      </c>
      <c r="N57">
        <v>0</v>
      </c>
      <c r="O57" s="17" t="s">
        <v>938</v>
      </c>
      <c r="P57" s="17" t="s">
        <v>939</v>
      </c>
      <c r="Q57">
        <f>43-27</f>
        <v>16</v>
      </c>
      <c r="R57" t="s">
        <v>31</v>
      </c>
      <c r="S57" t="s">
        <v>32</v>
      </c>
      <c r="T57">
        <v>20</v>
      </c>
      <c r="U57">
        <v>79</v>
      </c>
      <c r="V57">
        <v>15</v>
      </c>
      <c r="W57">
        <v>13.4</v>
      </c>
      <c r="X57">
        <v>27.4</v>
      </c>
      <c r="Z57" t="s">
        <v>145</v>
      </c>
      <c r="AB57" t="s">
        <v>121</v>
      </c>
      <c r="AC57" t="s">
        <v>59</v>
      </c>
    </row>
    <row r="58" spans="1:30" x14ac:dyDescent="0.2">
      <c r="A58" s="3">
        <v>42585</v>
      </c>
      <c r="B58" t="s">
        <v>23</v>
      </c>
      <c r="C58">
        <v>112</v>
      </c>
      <c r="D58">
        <v>6</v>
      </c>
      <c r="E58">
        <v>2</v>
      </c>
      <c r="F58" t="s">
        <v>64</v>
      </c>
      <c r="G58" t="s">
        <v>25</v>
      </c>
      <c r="H58" t="s">
        <v>26</v>
      </c>
      <c r="I58" t="s">
        <v>27</v>
      </c>
      <c r="J58" t="s">
        <v>34</v>
      </c>
      <c r="K58" t="s">
        <v>123</v>
      </c>
      <c r="L58" t="s">
        <v>35</v>
      </c>
      <c r="M58">
        <v>0</v>
      </c>
      <c r="N58">
        <v>1</v>
      </c>
      <c r="O58" s="17" t="s">
        <v>917</v>
      </c>
      <c r="P58" s="17" t="s">
        <v>918</v>
      </c>
      <c r="Q58">
        <f>19-5</f>
        <v>14</v>
      </c>
      <c r="R58" t="s">
        <v>63</v>
      </c>
      <c r="T58">
        <v>18.5</v>
      </c>
      <c r="U58">
        <v>84</v>
      </c>
      <c r="V58">
        <v>15</v>
      </c>
      <c r="W58">
        <v>12.8</v>
      </c>
      <c r="X58">
        <v>26.8</v>
      </c>
      <c r="Z58" t="s">
        <v>145</v>
      </c>
      <c r="AB58" t="s">
        <v>53</v>
      </c>
      <c r="AC58" t="s">
        <v>122</v>
      </c>
    </row>
    <row r="59" spans="1:30" x14ac:dyDescent="0.2">
      <c r="A59" s="3">
        <v>42586</v>
      </c>
      <c r="B59" t="s">
        <v>23</v>
      </c>
      <c r="C59">
        <v>112</v>
      </c>
      <c r="D59">
        <v>6</v>
      </c>
      <c r="E59">
        <v>1</v>
      </c>
      <c r="F59" t="s">
        <v>64</v>
      </c>
      <c r="G59" t="s">
        <v>25</v>
      </c>
      <c r="H59" t="s">
        <v>26</v>
      </c>
      <c r="I59" t="s">
        <v>27</v>
      </c>
      <c r="J59" t="s">
        <v>28</v>
      </c>
      <c r="K59" t="s">
        <v>123</v>
      </c>
      <c r="L59" t="s">
        <v>35</v>
      </c>
      <c r="M59">
        <v>0</v>
      </c>
      <c r="N59">
        <v>0</v>
      </c>
      <c r="O59" s="17" t="s">
        <v>917</v>
      </c>
      <c r="P59" s="17" t="s">
        <v>918</v>
      </c>
      <c r="Q59">
        <f>28-15</f>
        <v>13</v>
      </c>
      <c r="R59" t="s">
        <v>63</v>
      </c>
      <c r="T59">
        <v>18</v>
      </c>
      <c r="U59">
        <v>89</v>
      </c>
      <c r="V59">
        <v>15</v>
      </c>
      <c r="W59">
        <v>12.7</v>
      </c>
      <c r="X59">
        <v>26.9</v>
      </c>
      <c r="Z59" t="s">
        <v>145</v>
      </c>
      <c r="AA59" t="s">
        <v>260</v>
      </c>
      <c r="AB59" t="s">
        <v>53</v>
      </c>
      <c r="AC59" t="s">
        <v>122</v>
      </c>
    </row>
    <row r="60" spans="1:30" x14ac:dyDescent="0.2">
      <c r="A60" s="3">
        <v>42588</v>
      </c>
      <c r="B60" t="s">
        <v>23</v>
      </c>
      <c r="C60">
        <v>112</v>
      </c>
      <c r="D60">
        <v>10</v>
      </c>
      <c r="E60" t="s">
        <v>1195</v>
      </c>
      <c r="F60" t="s">
        <v>64</v>
      </c>
      <c r="G60" t="s">
        <v>25</v>
      </c>
      <c r="H60" t="s">
        <v>26</v>
      </c>
      <c r="I60" t="s">
        <v>27</v>
      </c>
      <c r="J60" t="s">
        <v>28</v>
      </c>
      <c r="K60" t="s">
        <v>123</v>
      </c>
      <c r="L60" t="s">
        <v>35</v>
      </c>
      <c r="M60">
        <v>0</v>
      </c>
      <c r="N60">
        <v>0</v>
      </c>
      <c r="O60" s="17" t="s">
        <v>917</v>
      </c>
      <c r="P60" s="17" t="s">
        <v>918</v>
      </c>
      <c r="Q60">
        <f>25-11</f>
        <v>14</v>
      </c>
      <c r="R60" t="s">
        <v>63</v>
      </c>
      <c r="T60">
        <v>18</v>
      </c>
      <c r="V60">
        <v>16</v>
      </c>
      <c r="W60">
        <v>12.9</v>
      </c>
      <c r="X60">
        <v>26.3</v>
      </c>
      <c r="Z60" t="s">
        <v>145</v>
      </c>
      <c r="AA60" t="s">
        <v>260</v>
      </c>
      <c r="AB60" t="s">
        <v>121</v>
      </c>
      <c r="AC60" t="s">
        <v>59</v>
      </c>
      <c r="AD60" t="s">
        <v>1210</v>
      </c>
    </row>
    <row r="61" spans="1:30" x14ac:dyDescent="0.2">
      <c r="A61" s="3">
        <v>42585</v>
      </c>
      <c r="B61" t="s">
        <v>23</v>
      </c>
      <c r="C61">
        <v>112</v>
      </c>
      <c r="D61">
        <v>3</v>
      </c>
      <c r="E61">
        <v>2</v>
      </c>
      <c r="F61" t="s">
        <v>64</v>
      </c>
      <c r="G61" t="s">
        <v>25</v>
      </c>
      <c r="H61" t="s">
        <v>26</v>
      </c>
      <c r="I61" t="s">
        <v>27</v>
      </c>
      <c r="J61" t="s">
        <v>34</v>
      </c>
      <c r="K61" t="s">
        <v>188</v>
      </c>
      <c r="L61" t="s">
        <v>30</v>
      </c>
      <c r="M61">
        <v>0</v>
      </c>
      <c r="N61">
        <v>1</v>
      </c>
      <c r="O61" s="17" t="s">
        <v>914</v>
      </c>
      <c r="P61" s="17" t="s">
        <v>915</v>
      </c>
      <c r="Q61">
        <f>24.5-5</f>
        <v>19.5</v>
      </c>
      <c r="R61" t="s">
        <v>279</v>
      </c>
      <c r="S61" t="s">
        <v>145</v>
      </c>
      <c r="T61">
        <v>20</v>
      </c>
      <c r="U61">
        <v>88</v>
      </c>
      <c r="V61">
        <v>14</v>
      </c>
      <c r="W61">
        <v>12.9</v>
      </c>
      <c r="X61">
        <v>27.2</v>
      </c>
      <c r="Z61" t="s">
        <v>32</v>
      </c>
      <c r="AB61" t="s">
        <v>53</v>
      </c>
      <c r="AC61" t="s">
        <v>122</v>
      </c>
    </row>
    <row r="62" spans="1:30" x14ac:dyDescent="0.2">
      <c r="A62" s="3">
        <v>42587</v>
      </c>
      <c r="B62" t="s">
        <v>23</v>
      </c>
      <c r="C62">
        <v>111</v>
      </c>
      <c r="D62">
        <v>10</v>
      </c>
      <c r="E62">
        <v>2</v>
      </c>
      <c r="F62" t="s">
        <v>64</v>
      </c>
      <c r="G62" t="s">
        <v>25</v>
      </c>
      <c r="H62" t="s">
        <v>26</v>
      </c>
      <c r="I62" t="s">
        <v>27</v>
      </c>
      <c r="J62" t="s">
        <v>34</v>
      </c>
      <c r="K62" t="s">
        <v>123</v>
      </c>
      <c r="L62" t="s">
        <v>35</v>
      </c>
      <c r="M62">
        <v>0</v>
      </c>
      <c r="N62">
        <v>1</v>
      </c>
      <c r="O62" s="17" t="s">
        <v>1073</v>
      </c>
      <c r="P62" s="17" t="s">
        <v>1074</v>
      </c>
      <c r="Q62">
        <f>33-18</f>
        <v>15</v>
      </c>
      <c r="R62" t="s">
        <v>63</v>
      </c>
      <c r="T62">
        <v>19</v>
      </c>
      <c r="U62">
        <v>88</v>
      </c>
      <c r="V62">
        <v>15</v>
      </c>
      <c r="W62">
        <v>12.9</v>
      </c>
      <c r="X62">
        <v>26.6</v>
      </c>
      <c r="Y62" t="s">
        <v>1166</v>
      </c>
      <c r="Z62" t="s">
        <v>32</v>
      </c>
      <c r="AB62" t="s">
        <v>1165</v>
      </c>
      <c r="AC62" t="s">
        <v>254</v>
      </c>
    </row>
    <row r="63" spans="1:30" x14ac:dyDescent="0.2">
      <c r="A63" s="3">
        <v>42588</v>
      </c>
      <c r="B63" t="s">
        <v>23</v>
      </c>
      <c r="C63">
        <v>111</v>
      </c>
      <c r="D63">
        <v>9</v>
      </c>
      <c r="E63">
        <v>1</v>
      </c>
      <c r="F63" t="s">
        <v>64</v>
      </c>
      <c r="G63" t="s">
        <v>25</v>
      </c>
      <c r="H63" t="s">
        <v>26</v>
      </c>
      <c r="I63" t="s">
        <v>27</v>
      </c>
      <c r="J63" t="s">
        <v>28</v>
      </c>
      <c r="K63" t="s">
        <v>123</v>
      </c>
      <c r="L63" t="s">
        <v>35</v>
      </c>
      <c r="M63">
        <v>0</v>
      </c>
      <c r="N63">
        <v>0</v>
      </c>
      <c r="O63" s="17" t="s">
        <v>1073</v>
      </c>
      <c r="P63" s="17" t="s">
        <v>1074</v>
      </c>
      <c r="Q63">
        <f>30-16</f>
        <v>14</v>
      </c>
      <c r="R63" t="s">
        <v>63</v>
      </c>
      <c r="T63">
        <v>20</v>
      </c>
      <c r="V63">
        <v>16</v>
      </c>
      <c r="W63">
        <v>12.7</v>
      </c>
      <c r="X63">
        <v>26.7</v>
      </c>
      <c r="Z63" t="s">
        <v>32</v>
      </c>
      <c r="AB63" t="s">
        <v>121</v>
      </c>
      <c r="AC63" t="s">
        <v>59</v>
      </c>
    </row>
    <row r="64" spans="1:30" x14ac:dyDescent="0.2">
      <c r="A64" s="3">
        <v>42589</v>
      </c>
      <c r="B64" t="s">
        <v>23</v>
      </c>
      <c r="C64">
        <v>111</v>
      </c>
      <c r="D64">
        <v>9</v>
      </c>
      <c r="E64">
        <v>2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123</v>
      </c>
      <c r="L64" t="s">
        <v>35</v>
      </c>
      <c r="M64">
        <v>0</v>
      </c>
      <c r="N64">
        <v>0</v>
      </c>
      <c r="O64" s="17" t="s">
        <v>1073</v>
      </c>
      <c r="P64" s="17" t="s">
        <v>1074</v>
      </c>
      <c r="Q64">
        <f>30.5-15.5</f>
        <v>15</v>
      </c>
      <c r="R64" t="s">
        <v>63</v>
      </c>
      <c r="T64">
        <v>19</v>
      </c>
      <c r="V64">
        <v>17</v>
      </c>
      <c r="W64">
        <v>13</v>
      </c>
      <c r="X64">
        <v>25.7</v>
      </c>
      <c r="Z64" t="s">
        <v>32</v>
      </c>
      <c r="AB64" t="s">
        <v>121</v>
      </c>
      <c r="AC64" t="s">
        <v>59</v>
      </c>
    </row>
    <row r="65" spans="1:30" x14ac:dyDescent="0.2">
      <c r="A65" s="3">
        <v>42600</v>
      </c>
      <c r="B65" t="s">
        <v>23</v>
      </c>
      <c r="C65">
        <v>111</v>
      </c>
      <c r="D65">
        <v>9</v>
      </c>
      <c r="E65">
        <v>1</v>
      </c>
      <c r="F65" t="s">
        <v>66</v>
      </c>
      <c r="G65" t="s">
        <v>25</v>
      </c>
      <c r="H65" t="s">
        <v>26</v>
      </c>
      <c r="I65" t="s">
        <v>27</v>
      </c>
      <c r="J65" t="s">
        <v>28</v>
      </c>
      <c r="K65" t="s">
        <v>123</v>
      </c>
      <c r="L65" t="s">
        <v>35</v>
      </c>
      <c r="M65">
        <v>0</v>
      </c>
      <c r="N65">
        <v>0</v>
      </c>
      <c r="O65" s="17" t="s">
        <v>1073</v>
      </c>
      <c r="P65" s="17" t="s">
        <v>1074</v>
      </c>
      <c r="Q65">
        <v>14</v>
      </c>
      <c r="R65" t="s">
        <v>63</v>
      </c>
      <c r="T65">
        <v>20</v>
      </c>
      <c r="U65">
        <v>76</v>
      </c>
      <c r="V65">
        <v>17</v>
      </c>
      <c r="W65">
        <v>14.2</v>
      </c>
      <c r="X65">
        <v>27.1</v>
      </c>
    </row>
    <row r="66" spans="1:30" x14ac:dyDescent="0.2">
      <c r="A66" s="3">
        <v>42587</v>
      </c>
      <c r="B66" t="s">
        <v>23</v>
      </c>
      <c r="C66">
        <v>111</v>
      </c>
      <c r="D66">
        <v>10</v>
      </c>
      <c r="E66">
        <v>1</v>
      </c>
      <c r="F66" t="s">
        <v>64</v>
      </c>
      <c r="G66" t="s">
        <v>25</v>
      </c>
      <c r="H66" t="s">
        <v>26</v>
      </c>
      <c r="I66" t="s">
        <v>27</v>
      </c>
      <c r="J66" t="s">
        <v>34</v>
      </c>
      <c r="K66" t="s">
        <v>188</v>
      </c>
      <c r="L66" t="s">
        <v>35</v>
      </c>
      <c r="M66">
        <v>0</v>
      </c>
      <c r="N66">
        <v>1</v>
      </c>
      <c r="O66" s="17" t="s">
        <v>1163</v>
      </c>
      <c r="P66" s="17" t="s">
        <v>1164</v>
      </c>
      <c r="R66" t="s">
        <v>63</v>
      </c>
      <c r="T66">
        <v>20.5</v>
      </c>
      <c r="U66">
        <v>95</v>
      </c>
      <c r="V66">
        <v>15</v>
      </c>
      <c r="W66">
        <v>13</v>
      </c>
      <c r="X66">
        <v>28</v>
      </c>
      <c r="Z66" t="s">
        <v>32</v>
      </c>
      <c r="AB66" t="s">
        <v>1165</v>
      </c>
      <c r="AC66" t="s">
        <v>254</v>
      </c>
    </row>
    <row r="67" spans="1:30" x14ac:dyDescent="0.2">
      <c r="A67" s="3">
        <v>42587</v>
      </c>
      <c r="B67" t="s">
        <v>23</v>
      </c>
      <c r="C67">
        <v>111</v>
      </c>
      <c r="D67">
        <v>7</v>
      </c>
      <c r="E67">
        <v>1</v>
      </c>
      <c r="F67" t="s">
        <v>64</v>
      </c>
      <c r="G67" t="s">
        <v>25</v>
      </c>
      <c r="H67" t="s">
        <v>26</v>
      </c>
      <c r="I67" t="s">
        <v>27</v>
      </c>
      <c r="J67" t="s">
        <v>34</v>
      </c>
      <c r="K67" t="s">
        <v>29</v>
      </c>
      <c r="L67" t="s">
        <v>30</v>
      </c>
      <c r="M67">
        <v>0</v>
      </c>
      <c r="N67">
        <v>1</v>
      </c>
      <c r="O67" s="17" t="s">
        <v>1043</v>
      </c>
      <c r="P67" s="17" t="s">
        <v>1044</v>
      </c>
      <c r="Q67">
        <f>39.5-11.5</f>
        <v>28</v>
      </c>
      <c r="R67" t="s">
        <v>273</v>
      </c>
      <c r="S67" t="s">
        <v>145</v>
      </c>
      <c r="T67">
        <v>18</v>
      </c>
      <c r="U67">
        <v>90</v>
      </c>
      <c r="V67">
        <v>16</v>
      </c>
      <c r="W67">
        <v>12.9</v>
      </c>
      <c r="X67">
        <v>28.5</v>
      </c>
      <c r="Z67" t="s">
        <v>32</v>
      </c>
      <c r="AB67" t="s">
        <v>53</v>
      </c>
      <c r="AC67" t="s">
        <v>254</v>
      </c>
    </row>
    <row r="68" spans="1:30" x14ac:dyDescent="0.2">
      <c r="A68" s="3">
        <v>42588</v>
      </c>
      <c r="B68" t="s">
        <v>23</v>
      </c>
      <c r="C68">
        <v>111</v>
      </c>
      <c r="D68">
        <v>5</v>
      </c>
      <c r="E68">
        <v>2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 t="s">
        <v>29</v>
      </c>
      <c r="L68" t="s">
        <v>30</v>
      </c>
      <c r="M68">
        <v>0</v>
      </c>
      <c r="N68">
        <v>0</v>
      </c>
      <c r="O68" s="17" t="s">
        <v>1043</v>
      </c>
      <c r="P68" s="17" t="s">
        <v>1044</v>
      </c>
      <c r="Q68">
        <f>37.5-16</f>
        <v>21.5</v>
      </c>
      <c r="R68" t="s">
        <v>75</v>
      </c>
      <c r="S68" t="s">
        <v>145</v>
      </c>
      <c r="T68">
        <v>19</v>
      </c>
      <c r="U68">
        <v>88</v>
      </c>
      <c r="V68">
        <v>15</v>
      </c>
      <c r="W68">
        <v>13.5</v>
      </c>
      <c r="X68">
        <v>27.2</v>
      </c>
      <c r="Z68" t="s">
        <v>32</v>
      </c>
      <c r="AB68" t="s">
        <v>121</v>
      </c>
      <c r="AC68" t="s">
        <v>59</v>
      </c>
    </row>
    <row r="69" spans="1:30" x14ac:dyDescent="0.2">
      <c r="A69" s="3">
        <v>42589</v>
      </c>
      <c r="B69" t="s">
        <v>23</v>
      </c>
      <c r="C69">
        <v>111</v>
      </c>
      <c r="D69">
        <v>4</v>
      </c>
      <c r="E69">
        <v>1</v>
      </c>
      <c r="F69" t="s">
        <v>64</v>
      </c>
      <c r="G69" t="s">
        <v>25</v>
      </c>
      <c r="H69" t="s">
        <v>26</v>
      </c>
      <c r="I69" t="s">
        <v>27</v>
      </c>
      <c r="J69" t="s">
        <v>28</v>
      </c>
      <c r="K69" t="s">
        <v>29</v>
      </c>
      <c r="L69" t="s">
        <v>30</v>
      </c>
      <c r="M69">
        <v>0</v>
      </c>
      <c r="N69">
        <v>0</v>
      </c>
      <c r="O69" s="17" t="s">
        <v>1043</v>
      </c>
      <c r="P69" s="17" t="s">
        <v>1044</v>
      </c>
      <c r="Q69">
        <f>36-13</f>
        <v>23</v>
      </c>
      <c r="R69" t="s">
        <v>273</v>
      </c>
      <c r="S69" t="s">
        <v>145</v>
      </c>
      <c r="T69">
        <v>20</v>
      </c>
      <c r="U69">
        <v>90</v>
      </c>
      <c r="V69">
        <v>15</v>
      </c>
      <c r="W69">
        <v>13.1</v>
      </c>
      <c r="X69">
        <v>28.2</v>
      </c>
      <c r="Z69" t="s">
        <v>32</v>
      </c>
      <c r="AB69" t="s">
        <v>121</v>
      </c>
      <c r="AC69" t="s">
        <v>59</v>
      </c>
    </row>
    <row r="70" spans="1:30" x14ac:dyDescent="0.2">
      <c r="A70" s="3">
        <v>42586</v>
      </c>
      <c r="B70" t="s">
        <v>23</v>
      </c>
      <c r="C70">
        <v>304</v>
      </c>
      <c r="D70">
        <v>7</v>
      </c>
      <c r="E70">
        <v>1</v>
      </c>
      <c r="F70" t="s">
        <v>64</v>
      </c>
      <c r="G70" t="s">
        <v>25</v>
      </c>
      <c r="H70" t="s">
        <v>26</v>
      </c>
      <c r="I70" t="s">
        <v>27</v>
      </c>
      <c r="J70" t="s">
        <v>34</v>
      </c>
      <c r="K70" t="s">
        <v>29</v>
      </c>
      <c r="L70" t="s">
        <v>35</v>
      </c>
      <c r="M70">
        <v>0</v>
      </c>
      <c r="N70">
        <v>1</v>
      </c>
      <c r="O70" s="17" t="s">
        <v>1002</v>
      </c>
      <c r="P70" s="17" t="s">
        <v>1003</v>
      </c>
      <c r="Q70">
        <f>35-14.5</f>
        <v>20.5</v>
      </c>
      <c r="R70" t="s">
        <v>39</v>
      </c>
      <c r="Z70" t="s">
        <v>145</v>
      </c>
      <c r="AA70" t="s">
        <v>260</v>
      </c>
      <c r="AB70" t="s">
        <v>53</v>
      </c>
      <c r="AC70" t="s">
        <v>122</v>
      </c>
    </row>
    <row r="71" spans="1:30" x14ac:dyDescent="0.2">
      <c r="A71" s="3">
        <v>42586</v>
      </c>
      <c r="B71" t="s">
        <v>23</v>
      </c>
      <c r="C71">
        <v>113</v>
      </c>
      <c r="D71">
        <v>10</v>
      </c>
      <c r="E71">
        <v>1</v>
      </c>
      <c r="F71" t="s">
        <v>64</v>
      </c>
      <c r="G71" t="s">
        <v>25</v>
      </c>
      <c r="H71" t="s">
        <v>26</v>
      </c>
      <c r="I71" t="s">
        <v>27</v>
      </c>
      <c r="J71" t="s">
        <v>28</v>
      </c>
      <c r="K71" t="s">
        <v>123</v>
      </c>
      <c r="L71" t="s">
        <v>30</v>
      </c>
      <c r="M71">
        <v>0</v>
      </c>
      <c r="N71">
        <v>0</v>
      </c>
      <c r="O71" s="17" t="s">
        <v>989</v>
      </c>
      <c r="P71" s="17" t="s">
        <v>990</v>
      </c>
      <c r="Q71">
        <f>30-17</f>
        <v>13</v>
      </c>
      <c r="R71" t="s">
        <v>31</v>
      </c>
      <c r="S71" t="s">
        <v>32</v>
      </c>
      <c r="T71">
        <v>18</v>
      </c>
      <c r="U71">
        <v>75</v>
      </c>
      <c r="V71">
        <v>14</v>
      </c>
      <c r="W71">
        <v>12.7</v>
      </c>
      <c r="X71">
        <v>25.7</v>
      </c>
      <c r="Y71" t="s">
        <v>991</v>
      </c>
      <c r="Z71" t="s">
        <v>32</v>
      </c>
      <c r="AB71" t="s">
        <v>53</v>
      </c>
      <c r="AC71" t="s">
        <v>122</v>
      </c>
      <c r="AD71" t="s">
        <v>992</v>
      </c>
    </row>
    <row r="72" spans="1:30" x14ac:dyDescent="0.2">
      <c r="A72" s="3">
        <v>42588</v>
      </c>
      <c r="B72" t="s">
        <v>23</v>
      </c>
      <c r="C72">
        <v>113</v>
      </c>
      <c r="D72">
        <v>6</v>
      </c>
      <c r="E72">
        <v>2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 t="s">
        <v>123</v>
      </c>
      <c r="L72" t="s">
        <v>30</v>
      </c>
      <c r="M72">
        <v>0</v>
      </c>
      <c r="N72">
        <v>0</v>
      </c>
      <c r="O72" s="17" t="s">
        <v>989</v>
      </c>
      <c r="P72" s="17" t="s">
        <v>990</v>
      </c>
      <c r="R72" t="s">
        <v>31</v>
      </c>
      <c r="T72">
        <v>17</v>
      </c>
      <c r="U72">
        <v>76</v>
      </c>
      <c r="V72">
        <v>19</v>
      </c>
      <c r="W72">
        <v>12.5</v>
      </c>
      <c r="X72">
        <v>24.6</v>
      </c>
      <c r="Z72" t="s">
        <v>32</v>
      </c>
      <c r="AB72" t="s">
        <v>121</v>
      </c>
      <c r="AC72" t="s">
        <v>59</v>
      </c>
    </row>
    <row r="73" spans="1:30" x14ac:dyDescent="0.2">
      <c r="A73" s="3">
        <v>42598</v>
      </c>
      <c r="B73" t="s">
        <v>23</v>
      </c>
      <c r="C73">
        <v>113</v>
      </c>
      <c r="D73">
        <v>5</v>
      </c>
      <c r="E73">
        <v>2</v>
      </c>
      <c r="F73" t="s">
        <v>24</v>
      </c>
      <c r="G73" t="s">
        <v>25</v>
      </c>
      <c r="H73" t="s">
        <v>26</v>
      </c>
      <c r="I73" t="s">
        <v>27</v>
      </c>
      <c r="J73" t="s">
        <v>28</v>
      </c>
      <c r="K73" t="s">
        <v>123</v>
      </c>
      <c r="L73" t="s">
        <v>30</v>
      </c>
      <c r="M73">
        <v>0</v>
      </c>
      <c r="N73">
        <v>0</v>
      </c>
      <c r="O73" s="17" t="s">
        <v>989</v>
      </c>
      <c r="P73" s="17" t="s">
        <v>990</v>
      </c>
      <c r="Q73">
        <f>28.5-13.5</f>
        <v>15</v>
      </c>
      <c r="R73" t="s">
        <v>31</v>
      </c>
      <c r="S73" t="s">
        <v>32</v>
      </c>
      <c r="T73">
        <v>17</v>
      </c>
      <c r="U73">
        <v>76</v>
      </c>
      <c r="V73">
        <v>18</v>
      </c>
      <c r="W73">
        <v>12.4</v>
      </c>
      <c r="X73">
        <v>24.25</v>
      </c>
      <c r="AB73" t="s">
        <v>1589</v>
      </c>
      <c r="AC73" t="s">
        <v>122</v>
      </c>
    </row>
    <row r="74" spans="1:30" x14ac:dyDescent="0.2">
      <c r="A74" s="3">
        <v>42599</v>
      </c>
      <c r="B74" t="s">
        <v>23</v>
      </c>
      <c r="C74">
        <v>113</v>
      </c>
      <c r="D74">
        <v>8</v>
      </c>
      <c r="E74">
        <v>1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123</v>
      </c>
      <c r="L74" t="s">
        <v>30</v>
      </c>
      <c r="M74">
        <v>0</v>
      </c>
      <c r="N74">
        <v>0</v>
      </c>
      <c r="O74" s="17" t="s">
        <v>989</v>
      </c>
      <c r="P74" s="17" t="s">
        <v>990</v>
      </c>
      <c r="Q74">
        <f>29-14.5</f>
        <v>14.5</v>
      </c>
      <c r="R74" t="s">
        <v>31</v>
      </c>
      <c r="S74" t="s">
        <v>32</v>
      </c>
      <c r="T74">
        <v>18</v>
      </c>
      <c r="U74">
        <v>75</v>
      </c>
      <c r="V74">
        <v>19</v>
      </c>
      <c r="W74">
        <v>12.3</v>
      </c>
      <c r="X74">
        <v>25.3</v>
      </c>
      <c r="AB74" t="s">
        <v>121</v>
      </c>
      <c r="AC74" t="s">
        <v>59</v>
      </c>
    </row>
    <row r="75" spans="1:30" x14ac:dyDescent="0.2">
      <c r="A75" s="3">
        <v>42600</v>
      </c>
      <c r="B75" t="s">
        <v>23</v>
      </c>
      <c r="C75">
        <v>113</v>
      </c>
      <c r="D75">
        <v>7</v>
      </c>
      <c r="E75">
        <v>1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 t="s">
        <v>123</v>
      </c>
      <c r="L75" t="s">
        <v>30</v>
      </c>
      <c r="M75">
        <v>0</v>
      </c>
      <c r="N75">
        <v>0</v>
      </c>
      <c r="O75" s="17" t="s">
        <v>989</v>
      </c>
      <c r="P75" s="17" t="s">
        <v>990</v>
      </c>
      <c r="Q75">
        <v>13</v>
      </c>
      <c r="R75" t="s">
        <v>31</v>
      </c>
      <c r="S75" t="s">
        <v>32</v>
      </c>
      <c r="T75">
        <v>17</v>
      </c>
      <c r="U75">
        <v>75</v>
      </c>
      <c r="V75">
        <v>16</v>
      </c>
      <c r="W75">
        <v>12.6</v>
      </c>
      <c r="X75">
        <v>24.6</v>
      </c>
      <c r="AB75" t="s">
        <v>121</v>
      </c>
      <c r="AC75" t="s">
        <v>59</v>
      </c>
    </row>
    <row r="76" spans="1:30" x14ac:dyDescent="0.2">
      <c r="A76" s="3">
        <v>42586</v>
      </c>
      <c r="B76" t="s">
        <v>23</v>
      </c>
      <c r="C76">
        <v>113</v>
      </c>
      <c r="D76">
        <v>4</v>
      </c>
      <c r="E76">
        <v>2</v>
      </c>
      <c r="F76" t="s">
        <v>64</v>
      </c>
      <c r="G76" t="s">
        <v>25</v>
      </c>
      <c r="H76" t="s">
        <v>26</v>
      </c>
      <c r="I76" t="s">
        <v>27</v>
      </c>
      <c r="J76" t="s">
        <v>34</v>
      </c>
      <c r="K76" t="s">
        <v>188</v>
      </c>
      <c r="L76" t="s">
        <v>35</v>
      </c>
      <c r="M76">
        <v>0</v>
      </c>
      <c r="N76">
        <v>1</v>
      </c>
      <c r="O76" s="17" t="s">
        <v>981</v>
      </c>
      <c r="P76" s="17" t="s">
        <v>982</v>
      </c>
      <c r="Q76">
        <f>36.5-20</f>
        <v>16.5</v>
      </c>
      <c r="R76" t="s">
        <v>63</v>
      </c>
      <c r="T76">
        <v>20</v>
      </c>
      <c r="U76">
        <v>88</v>
      </c>
      <c r="V76">
        <v>16</v>
      </c>
      <c r="W76">
        <v>12.7</v>
      </c>
      <c r="X76">
        <v>26.6</v>
      </c>
      <c r="Z76" t="s">
        <v>32</v>
      </c>
      <c r="AB76" t="s">
        <v>53</v>
      </c>
      <c r="AC76" t="s">
        <v>122</v>
      </c>
    </row>
    <row r="77" spans="1:30" x14ac:dyDescent="0.2">
      <c r="A77" s="3">
        <v>42598</v>
      </c>
      <c r="B77" t="s">
        <v>23</v>
      </c>
      <c r="C77">
        <v>113</v>
      </c>
      <c r="D77">
        <v>8</v>
      </c>
      <c r="E77">
        <v>2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188</v>
      </c>
      <c r="L77" t="s">
        <v>35</v>
      </c>
      <c r="M77">
        <v>0</v>
      </c>
      <c r="N77">
        <v>0</v>
      </c>
      <c r="O77" s="17" t="s">
        <v>981</v>
      </c>
      <c r="P77" s="17" t="s">
        <v>982</v>
      </c>
      <c r="Q77">
        <f>31-15</f>
        <v>16</v>
      </c>
      <c r="R77" t="s">
        <v>63</v>
      </c>
      <c r="T77">
        <v>19</v>
      </c>
      <c r="U77">
        <v>83</v>
      </c>
      <c r="V77">
        <v>16</v>
      </c>
      <c r="W77">
        <v>13</v>
      </c>
      <c r="X77">
        <v>25.1</v>
      </c>
      <c r="AB77" t="s">
        <v>1589</v>
      </c>
      <c r="AC77" t="s">
        <v>122</v>
      </c>
    </row>
    <row r="78" spans="1:30" x14ac:dyDescent="0.2">
      <c r="A78" s="3">
        <v>42586</v>
      </c>
      <c r="B78" t="s">
        <v>23</v>
      </c>
      <c r="C78">
        <v>113</v>
      </c>
      <c r="D78">
        <v>3</v>
      </c>
      <c r="E78">
        <v>2</v>
      </c>
      <c r="F78" t="s">
        <v>64</v>
      </c>
      <c r="G78" t="s">
        <v>25</v>
      </c>
      <c r="H78" t="s">
        <v>26</v>
      </c>
      <c r="I78" t="s">
        <v>27</v>
      </c>
      <c r="J78" t="s">
        <v>34</v>
      </c>
      <c r="K78" t="s">
        <v>29</v>
      </c>
      <c r="L78" t="s">
        <v>30</v>
      </c>
      <c r="M78">
        <v>0</v>
      </c>
      <c r="N78">
        <v>1</v>
      </c>
      <c r="O78" s="17" t="s">
        <v>977</v>
      </c>
      <c r="P78" s="17" t="s">
        <v>978</v>
      </c>
      <c r="Q78">
        <f>31-13</f>
        <v>18</v>
      </c>
      <c r="R78" t="s">
        <v>83</v>
      </c>
      <c r="S78" t="s">
        <v>145</v>
      </c>
      <c r="T78">
        <v>19</v>
      </c>
      <c r="U78">
        <v>90</v>
      </c>
      <c r="V78">
        <v>16</v>
      </c>
      <c r="W78">
        <v>12.9</v>
      </c>
      <c r="X78">
        <v>27.4</v>
      </c>
      <c r="Z78" t="s">
        <v>32</v>
      </c>
      <c r="AB78" t="s">
        <v>53</v>
      </c>
      <c r="AC78" t="s">
        <v>122</v>
      </c>
    </row>
    <row r="79" spans="1:30" x14ac:dyDescent="0.2">
      <c r="A79" s="3">
        <v>42587</v>
      </c>
      <c r="B79" t="s">
        <v>23</v>
      </c>
      <c r="C79">
        <v>113</v>
      </c>
      <c r="D79">
        <v>4</v>
      </c>
      <c r="E79">
        <v>1</v>
      </c>
      <c r="F79" t="s">
        <v>64</v>
      </c>
      <c r="G79" t="s">
        <v>25</v>
      </c>
      <c r="H79" t="s">
        <v>26</v>
      </c>
      <c r="I79" t="s">
        <v>27</v>
      </c>
      <c r="J79" t="s">
        <v>28</v>
      </c>
      <c r="K79" t="s">
        <v>29</v>
      </c>
      <c r="L79" t="s">
        <v>30</v>
      </c>
      <c r="M79">
        <v>0</v>
      </c>
      <c r="N79">
        <v>0</v>
      </c>
      <c r="O79" s="17" t="s">
        <v>977</v>
      </c>
      <c r="P79" s="17" t="s">
        <v>978</v>
      </c>
      <c r="Q79">
        <f>32-13</f>
        <v>19</v>
      </c>
      <c r="R79" t="s">
        <v>83</v>
      </c>
      <c r="S79" t="s">
        <v>145</v>
      </c>
      <c r="T79">
        <v>18</v>
      </c>
      <c r="U79">
        <v>87</v>
      </c>
      <c r="V79">
        <v>16</v>
      </c>
      <c r="W79">
        <v>13</v>
      </c>
      <c r="X79">
        <v>27.8</v>
      </c>
      <c r="Z79" t="s">
        <v>32</v>
      </c>
      <c r="AB79" t="s">
        <v>53</v>
      </c>
      <c r="AC79" t="s">
        <v>254</v>
      </c>
    </row>
    <row r="80" spans="1:30" x14ac:dyDescent="0.2">
      <c r="A80" s="3">
        <v>42586</v>
      </c>
      <c r="B80" t="s">
        <v>23</v>
      </c>
      <c r="C80">
        <v>113</v>
      </c>
      <c r="D80">
        <v>1</v>
      </c>
      <c r="E80">
        <v>1</v>
      </c>
      <c r="F80" t="s">
        <v>64</v>
      </c>
      <c r="G80" t="s">
        <v>25</v>
      </c>
      <c r="H80" t="s">
        <v>26</v>
      </c>
      <c r="I80" t="s">
        <v>27</v>
      </c>
      <c r="J80" t="s">
        <v>34</v>
      </c>
      <c r="K80" t="s">
        <v>123</v>
      </c>
      <c r="L80" t="s">
        <v>30</v>
      </c>
      <c r="M80">
        <v>0</v>
      </c>
      <c r="N80">
        <v>1</v>
      </c>
      <c r="O80" s="17" t="s">
        <v>975</v>
      </c>
      <c r="P80" s="17" t="s">
        <v>976</v>
      </c>
      <c r="Q80">
        <f>31-21</f>
        <v>10</v>
      </c>
      <c r="R80" t="s">
        <v>31</v>
      </c>
      <c r="S80" t="s">
        <v>32</v>
      </c>
      <c r="T80">
        <v>18</v>
      </c>
      <c r="U80">
        <v>81</v>
      </c>
      <c r="V80">
        <v>15</v>
      </c>
      <c r="W80">
        <v>12.7</v>
      </c>
      <c r="X80">
        <v>24.6</v>
      </c>
      <c r="Z80" t="s">
        <v>145</v>
      </c>
      <c r="AA80" t="s">
        <v>260</v>
      </c>
      <c r="AB80" t="s">
        <v>53</v>
      </c>
      <c r="AC80" t="s">
        <v>122</v>
      </c>
    </row>
    <row r="81" spans="1:30" x14ac:dyDescent="0.2">
      <c r="A81" s="3">
        <v>42587</v>
      </c>
      <c r="B81" t="s">
        <v>23</v>
      </c>
      <c r="C81">
        <v>113</v>
      </c>
      <c r="D81">
        <v>1</v>
      </c>
      <c r="E81">
        <v>2</v>
      </c>
      <c r="F81" t="s">
        <v>64</v>
      </c>
      <c r="G81" t="s">
        <v>25</v>
      </c>
      <c r="H81" t="s">
        <v>26</v>
      </c>
      <c r="I81" t="s">
        <v>27</v>
      </c>
      <c r="J81" t="s">
        <v>28</v>
      </c>
      <c r="K81" t="s">
        <v>123</v>
      </c>
      <c r="L81" t="s">
        <v>30</v>
      </c>
      <c r="M81">
        <v>0</v>
      </c>
      <c r="N81">
        <v>0</v>
      </c>
      <c r="O81" s="17" t="s">
        <v>975</v>
      </c>
      <c r="P81" s="17" t="s">
        <v>976</v>
      </c>
      <c r="Q81">
        <f>28.5-17.5</f>
        <v>11</v>
      </c>
      <c r="R81" t="s">
        <v>31</v>
      </c>
      <c r="S81" t="s">
        <v>32</v>
      </c>
      <c r="T81">
        <v>18.5</v>
      </c>
      <c r="U81">
        <v>81</v>
      </c>
      <c r="V81">
        <v>15.5</v>
      </c>
      <c r="W81">
        <v>12.5</v>
      </c>
      <c r="X81">
        <v>24.5</v>
      </c>
      <c r="Z81" t="s">
        <v>145</v>
      </c>
      <c r="AA81" t="s">
        <v>260</v>
      </c>
      <c r="AB81" t="s">
        <v>53</v>
      </c>
      <c r="AC81" t="s">
        <v>254</v>
      </c>
    </row>
    <row r="82" spans="1:30" x14ac:dyDescent="0.2">
      <c r="A82" s="3">
        <v>42588</v>
      </c>
      <c r="B82" t="s">
        <v>23</v>
      </c>
      <c r="C82">
        <v>113</v>
      </c>
      <c r="D82">
        <v>2</v>
      </c>
      <c r="E82">
        <v>1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123</v>
      </c>
      <c r="L82" t="s">
        <v>30</v>
      </c>
      <c r="M82">
        <v>0</v>
      </c>
      <c r="N82">
        <v>0</v>
      </c>
      <c r="O82" s="17" t="s">
        <v>975</v>
      </c>
      <c r="P82" s="17" t="s">
        <v>976</v>
      </c>
      <c r="Q82">
        <f>25.5-15.5</f>
        <v>10</v>
      </c>
      <c r="R82" t="s">
        <v>31</v>
      </c>
      <c r="S82" t="s">
        <v>32</v>
      </c>
      <c r="T82">
        <v>17</v>
      </c>
      <c r="V82">
        <v>17</v>
      </c>
      <c r="W82">
        <v>12</v>
      </c>
      <c r="X82">
        <v>25.2</v>
      </c>
      <c r="Z82" t="s">
        <v>145</v>
      </c>
      <c r="AB82" t="s">
        <v>121</v>
      </c>
      <c r="AC82" t="s">
        <v>59</v>
      </c>
    </row>
    <row r="83" spans="1:30" x14ac:dyDescent="0.2">
      <c r="A83" s="3">
        <v>42598</v>
      </c>
      <c r="B83" t="s">
        <v>23</v>
      </c>
      <c r="C83">
        <v>113</v>
      </c>
      <c r="D83">
        <v>2</v>
      </c>
      <c r="E83">
        <v>1</v>
      </c>
      <c r="F83" t="s">
        <v>24</v>
      </c>
      <c r="G83" t="s">
        <v>25</v>
      </c>
      <c r="H83" t="s">
        <v>26</v>
      </c>
      <c r="I83" t="s">
        <v>27</v>
      </c>
      <c r="J83" t="s">
        <v>28</v>
      </c>
      <c r="K83" t="s">
        <v>123</v>
      </c>
      <c r="L83" t="s">
        <v>30</v>
      </c>
      <c r="M83">
        <v>0</v>
      </c>
      <c r="N83">
        <v>0</v>
      </c>
      <c r="O83" s="17" t="s">
        <v>975</v>
      </c>
      <c r="P83" s="17" t="s">
        <v>976</v>
      </c>
      <c r="Q83">
        <f>26-14.5</f>
        <v>11.5</v>
      </c>
      <c r="R83" t="s">
        <v>31</v>
      </c>
      <c r="S83" t="s">
        <v>32</v>
      </c>
      <c r="T83">
        <v>18</v>
      </c>
      <c r="V83">
        <v>14</v>
      </c>
      <c r="W83">
        <v>12.2</v>
      </c>
      <c r="X83">
        <v>23.5</v>
      </c>
      <c r="Z83" t="s">
        <v>32</v>
      </c>
      <c r="AB83" t="s">
        <v>1800</v>
      </c>
      <c r="AC83" t="s">
        <v>122</v>
      </c>
    </row>
    <row r="84" spans="1:30" x14ac:dyDescent="0.2">
      <c r="A84" s="3">
        <v>42586</v>
      </c>
      <c r="B84" t="s">
        <v>23</v>
      </c>
      <c r="C84">
        <v>112</v>
      </c>
      <c r="D84">
        <v>8</v>
      </c>
      <c r="E84">
        <v>1</v>
      </c>
      <c r="F84" t="s">
        <v>64</v>
      </c>
      <c r="G84" t="s">
        <v>25</v>
      </c>
      <c r="H84" t="s">
        <v>26</v>
      </c>
      <c r="I84" t="s">
        <v>27</v>
      </c>
      <c r="J84" t="s">
        <v>34</v>
      </c>
      <c r="K84" t="s">
        <v>123</v>
      </c>
      <c r="L84" t="s">
        <v>30</v>
      </c>
      <c r="M84">
        <v>0</v>
      </c>
      <c r="N84">
        <v>1</v>
      </c>
      <c r="O84" s="17" t="s">
        <v>969</v>
      </c>
      <c r="P84" s="17" t="s">
        <v>970</v>
      </c>
      <c r="Q84">
        <f>24.5-13.5</f>
        <v>11</v>
      </c>
      <c r="R84" t="s">
        <v>31</v>
      </c>
      <c r="S84" t="s">
        <v>32</v>
      </c>
      <c r="T84">
        <v>17</v>
      </c>
      <c r="U84">
        <v>72</v>
      </c>
      <c r="V84">
        <v>16</v>
      </c>
      <c r="W84">
        <v>12.5</v>
      </c>
      <c r="X84">
        <v>24.6</v>
      </c>
      <c r="Z84" t="s">
        <v>32</v>
      </c>
      <c r="AB84" t="s">
        <v>53</v>
      </c>
      <c r="AC84" t="s">
        <v>122</v>
      </c>
    </row>
    <row r="85" spans="1:30" x14ac:dyDescent="0.2">
      <c r="A85" s="3">
        <v>42589</v>
      </c>
      <c r="B85" t="s">
        <v>23</v>
      </c>
      <c r="C85">
        <v>112</v>
      </c>
      <c r="D85">
        <v>8</v>
      </c>
      <c r="E85">
        <v>2</v>
      </c>
      <c r="F85" t="s">
        <v>64</v>
      </c>
      <c r="G85" t="s">
        <v>25</v>
      </c>
      <c r="H85" t="s">
        <v>26</v>
      </c>
      <c r="I85" t="s">
        <v>27</v>
      </c>
      <c r="J85" t="s">
        <v>28</v>
      </c>
      <c r="K85" t="s">
        <v>123</v>
      </c>
      <c r="L85" t="s">
        <v>30</v>
      </c>
      <c r="M85">
        <v>0</v>
      </c>
      <c r="N85">
        <v>0</v>
      </c>
      <c r="O85" s="17" t="s">
        <v>969</v>
      </c>
      <c r="P85" s="17" t="s">
        <v>970</v>
      </c>
      <c r="Q85">
        <f>26-14</f>
        <v>12</v>
      </c>
      <c r="R85" t="s">
        <v>31</v>
      </c>
      <c r="S85" t="s">
        <v>32</v>
      </c>
      <c r="T85">
        <v>19</v>
      </c>
      <c r="V85">
        <v>15</v>
      </c>
      <c r="W85">
        <v>12.4</v>
      </c>
      <c r="X85">
        <v>25.9</v>
      </c>
      <c r="Z85" t="s">
        <v>32</v>
      </c>
      <c r="AB85" t="s">
        <v>121</v>
      </c>
      <c r="AC85" t="s">
        <v>59</v>
      </c>
    </row>
    <row r="86" spans="1:30" x14ac:dyDescent="0.2">
      <c r="A86" s="3">
        <v>42586</v>
      </c>
      <c r="B86" t="s">
        <v>23</v>
      </c>
      <c r="C86">
        <v>112</v>
      </c>
      <c r="D86">
        <v>4</v>
      </c>
      <c r="E86">
        <v>2</v>
      </c>
      <c r="F86" t="s">
        <v>64</v>
      </c>
      <c r="G86" t="s">
        <v>25</v>
      </c>
      <c r="H86" t="s">
        <v>26</v>
      </c>
      <c r="I86" t="s">
        <v>27</v>
      </c>
      <c r="J86" t="s">
        <v>34</v>
      </c>
      <c r="K86" t="s">
        <v>188</v>
      </c>
      <c r="L86" t="s">
        <v>35</v>
      </c>
      <c r="M86">
        <v>0</v>
      </c>
      <c r="N86">
        <v>0</v>
      </c>
      <c r="O86" s="17" t="s">
        <v>962</v>
      </c>
      <c r="P86" s="17" t="s">
        <v>959</v>
      </c>
      <c r="Q86">
        <f>34-15</f>
        <v>19</v>
      </c>
      <c r="R86" t="s">
        <v>39</v>
      </c>
      <c r="T86">
        <v>19</v>
      </c>
      <c r="U86">
        <v>87</v>
      </c>
      <c r="V86">
        <v>15</v>
      </c>
      <c r="W86">
        <v>12.8</v>
      </c>
      <c r="X86">
        <v>27</v>
      </c>
      <c r="Z86" t="s">
        <v>32</v>
      </c>
      <c r="AB86" t="s">
        <v>53</v>
      </c>
      <c r="AC86" t="s">
        <v>122</v>
      </c>
    </row>
    <row r="87" spans="1:30" x14ac:dyDescent="0.2">
      <c r="A87" s="3">
        <v>42587</v>
      </c>
      <c r="B87" t="s">
        <v>23</v>
      </c>
      <c r="C87">
        <v>112</v>
      </c>
      <c r="D87">
        <v>6</v>
      </c>
      <c r="E87">
        <v>1</v>
      </c>
      <c r="F87" t="s">
        <v>64</v>
      </c>
      <c r="G87" t="s">
        <v>25</v>
      </c>
      <c r="H87" t="s">
        <v>26</v>
      </c>
      <c r="I87" t="s">
        <v>27</v>
      </c>
      <c r="J87" t="s">
        <v>28</v>
      </c>
      <c r="K87" t="s">
        <v>188</v>
      </c>
      <c r="L87" t="s">
        <v>35</v>
      </c>
      <c r="M87">
        <v>0</v>
      </c>
      <c r="N87">
        <v>0</v>
      </c>
      <c r="O87" s="17" t="s">
        <v>962</v>
      </c>
      <c r="P87" s="17" t="s">
        <v>1170</v>
      </c>
      <c r="Q87">
        <f>35-16</f>
        <v>19</v>
      </c>
      <c r="R87" t="s">
        <v>39</v>
      </c>
      <c r="T87">
        <v>19</v>
      </c>
      <c r="U87">
        <v>85</v>
      </c>
      <c r="V87">
        <v>16</v>
      </c>
      <c r="W87">
        <v>12.9</v>
      </c>
      <c r="X87">
        <v>27.2</v>
      </c>
      <c r="Z87" t="s">
        <v>32</v>
      </c>
      <c r="AB87" t="s">
        <v>53</v>
      </c>
      <c r="AC87" t="s">
        <v>254</v>
      </c>
    </row>
    <row r="88" spans="1:30" x14ac:dyDescent="0.2">
      <c r="A88" s="3">
        <v>42588</v>
      </c>
      <c r="B88" t="s">
        <v>23</v>
      </c>
      <c r="C88">
        <v>112</v>
      </c>
      <c r="D88">
        <v>8</v>
      </c>
      <c r="E88">
        <v>2</v>
      </c>
      <c r="F88" t="s">
        <v>64</v>
      </c>
      <c r="G88" t="s">
        <v>25</v>
      </c>
      <c r="H88" t="s">
        <v>26</v>
      </c>
      <c r="I88" t="s">
        <v>27</v>
      </c>
      <c r="J88" t="s">
        <v>28</v>
      </c>
      <c r="K88" t="s">
        <v>188</v>
      </c>
      <c r="L88" t="s">
        <v>35</v>
      </c>
      <c r="M88">
        <v>0</v>
      </c>
      <c r="N88">
        <v>0</v>
      </c>
      <c r="O88" s="17" t="s">
        <v>962</v>
      </c>
      <c r="P88" s="17" t="s">
        <v>1170</v>
      </c>
      <c r="Q88">
        <f>35-16</f>
        <v>19</v>
      </c>
      <c r="R88" t="s">
        <v>39</v>
      </c>
      <c r="T88">
        <v>19</v>
      </c>
      <c r="U88">
        <v>86</v>
      </c>
      <c r="V88">
        <v>16</v>
      </c>
      <c r="W88">
        <v>13</v>
      </c>
      <c r="X88">
        <v>27.8</v>
      </c>
      <c r="Z88" t="s">
        <v>32</v>
      </c>
      <c r="AB88" t="s">
        <v>121</v>
      </c>
      <c r="AC88" t="s">
        <v>59</v>
      </c>
    </row>
    <row r="89" spans="1:30" x14ac:dyDescent="0.2">
      <c r="A89" s="3">
        <v>42589</v>
      </c>
      <c r="B89" t="s">
        <v>23</v>
      </c>
      <c r="C89">
        <v>112</v>
      </c>
      <c r="D89">
        <v>6</v>
      </c>
      <c r="E89">
        <v>1</v>
      </c>
      <c r="F89" t="s">
        <v>64</v>
      </c>
      <c r="G89" t="s">
        <v>25</v>
      </c>
      <c r="H89" t="s">
        <v>26</v>
      </c>
      <c r="I89" t="s">
        <v>27</v>
      </c>
      <c r="J89" t="s">
        <v>28</v>
      </c>
      <c r="K89" t="s">
        <v>188</v>
      </c>
      <c r="L89" t="s">
        <v>35</v>
      </c>
      <c r="M89">
        <v>0</v>
      </c>
      <c r="N89">
        <v>0</v>
      </c>
      <c r="O89" s="17" t="s">
        <v>962</v>
      </c>
      <c r="P89" s="17" t="s">
        <v>1170</v>
      </c>
      <c r="Q89">
        <f>36-18.5</f>
        <v>17.5</v>
      </c>
      <c r="R89" t="s">
        <v>63</v>
      </c>
      <c r="T89">
        <v>19</v>
      </c>
      <c r="U89">
        <v>86</v>
      </c>
      <c r="V89">
        <v>17</v>
      </c>
      <c r="W89">
        <v>13.1</v>
      </c>
      <c r="X89">
        <v>27.5</v>
      </c>
      <c r="Z89" t="s">
        <v>32</v>
      </c>
      <c r="AB89" t="s">
        <v>121</v>
      </c>
      <c r="AC89" t="s">
        <v>59</v>
      </c>
    </row>
    <row r="90" spans="1:30" x14ac:dyDescent="0.2">
      <c r="A90" s="3">
        <v>42598</v>
      </c>
      <c r="B90" t="s">
        <v>23</v>
      </c>
      <c r="C90">
        <v>112</v>
      </c>
      <c r="D90">
        <v>4</v>
      </c>
      <c r="E90">
        <v>2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188</v>
      </c>
      <c r="L90" t="s">
        <v>35</v>
      </c>
      <c r="M90">
        <v>0</v>
      </c>
      <c r="N90">
        <v>0</v>
      </c>
      <c r="O90" s="17" t="s">
        <v>962</v>
      </c>
      <c r="P90" s="17" t="s">
        <v>1170</v>
      </c>
      <c r="Q90">
        <f>36-17.5</f>
        <v>18.5</v>
      </c>
      <c r="R90" t="s">
        <v>63</v>
      </c>
      <c r="T90">
        <v>18</v>
      </c>
      <c r="U90">
        <v>88</v>
      </c>
      <c r="V90">
        <v>17.5</v>
      </c>
      <c r="W90">
        <v>13</v>
      </c>
      <c r="X90">
        <v>26.3</v>
      </c>
      <c r="Z90" t="s">
        <v>145</v>
      </c>
      <c r="AB90" t="s">
        <v>1589</v>
      </c>
      <c r="AC90" t="s">
        <v>122</v>
      </c>
    </row>
    <row r="91" spans="1:30" x14ac:dyDescent="0.2">
      <c r="A91" s="3">
        <v>42599</v>
      </c>
      <c r="B91" t="s">
        <v>23</v>
      </c>
      <c r="C91">
        <v>112</v>
      </c>
      <c r="D91">
        <v>4</v>
      </c>
      <c r="E91">
        <v>1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188</v>
      </c>
      <c r="L91" t="s">
        <v>35</v>
      </c>
      <c r="M91">
        <v>0</v>
      </c>
      <c r="N91">
        <v>0</v>
      </c>
      <c r="O91" s="17" t="s">
        <v>962</v>
      </c>
      <c r="P91" s="17" t="s">
        <v>1170</v>
      </c>
      <c r="Q91">
        <f>32-14</f>
        <v>18</v>
      </c>
      <c r="R91" t="s">
        <v>39</v>
      </c>
      <c r="T91">
        <v>17</v>
      </c>
      <c r="U91">
        <v>84</v>
      </c>
      <c r="V91">
        <v>17</v>
      </c>
      <c r="W91">
        <v>13</v>
      </c>
      <c r="X91">
        <v>26.7</v>
      </c>
      <c r="Z91" t="s">
        <v>145</v>
      </c>
      <c r="AB91" t="s">
        <v>121</v>
      </c>
      <c r="AC91" t="s">
        <v>59</v>
      </c>
    </row>
    <row r="92" spans="1:30" x14ac:dyDescent="0.2">
      <c r="A92" s="3">
        <v>42600</v>
      </c>
      <c r="B92" t="s">
        <v>23</v>
      </c>
      <c r="C92">
        <v>112</v>
      </c>
      <c r="D92">
        <v>6</v>
      </c>
      <c r="E92">
        <v>2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188</v>
      </c>
      <c r="L92" t="s">
        <v>35</v>
      </c>
      <c r="M92">
        <v>0</v>
      </c>
      <c r="N92">
        <v>0</v>
      </c>
      <c r="O92" s="17" t="s">
        <v>962</v>
      </c>
      <c r="P92" s="17" t="s">
        <v>1170</v>
      </c>
      <c r="Q92">
        <f>30.5-12.5</f>
        <v>18</v>
      </c>
      <c r="R92" t="s">
        <v>39</v>
      </c>
      <c r="T92">
        <v>18</v>
      </c>
      <c r="U92">
        <v>84</v>
      </c>
      <c r="V92">
        <v>16</v>
      </c>
      <c r="W92">
        <v>13</v>
      </c>
      <c r="X92">
        <v>26.5</v>
      </c>
      <c r="Z92" t="s">
        <v>145</v>
      </c>
      <c r="AB92" t="s">
        <v>121</v>
      </c>
      <c r="AC92" t="s">
        <v>59</v>
      </c>
    </row>
    <row r="93" spans="1:30" x14ac:dyDescent="0.2">
      <c r="A93" s="3">
        <v>42586</v>
      </c>
      <c r="B93" t="s">
        <v>23</v>
      </c>
      <c r="C93">
        <v>304</v>
      </c>
      <c r="D93">
        <v>4</v>
      </c>
      <c r="E93">
        <v>2</v>
      </c>
      <c r="F93" t="s">
        <v>24</v>
      </c>
      <c r="G93" t="s">
        <v>25</v>
      </c>
      <c r="H93" t="s">
        <v>26</v>
      </c>
      <c r="I93" t="s">
        <v>27</v>
      </c>
      <c r="J93" t="s">
        <v>34</v>
      </c>
      <c r="K93" t="s">
        <v>188</v>
      </c>
      <c r="L93" t="s">
        <v>35</v>
      </c>
      <c r="M93">
        <v>0</v>
      </c>
      <c r="N93">
        <v>1</v>
      </c>
      <c r="O93" s="17" t="s">
        <v>895</v>
      </c>
      <c r="P93" s="17" t="s">
        <v>896</v>
      </c>
      <c r="Q93">
        <f>28-12</f>
        <v>16</v>
      </c>
      <c r="R93" t="s">
        <v>63</v>
      </c>
      <c r="AB93" t="s">
        <v>44</v>
      </c>
      <c r="AC93" t="s">
        <v>59</v>
      </c>
      <c r="AD93" t="s">
        <v>899</v>
      </c>
    </row>
    <row r="94" spans="1:30" x14ac:dyDescent="0.2">
      <c r="A94" s="3">
        <v>42588</v>
      </c>
      <c r="B94" t="s">
        <v>23</v>
      </c>
      <c r="C94">
        <v>111</v>
      </c>
      <c r="D94">
        <v>5</v>
      </c>
      <c r="E94">
        <v>1</v>
      </c>
      <c r="F94" t="s">
        <v>24</v>
      </c>
      <c r="G94" t="s">
        <v>25</v>
      </c>
      <c r="H94" t="s">
        <v>26</v>
      </c>
      <c r="I94" t="s">
        <v>27</v>
      </c>
      <c r="J94" t="s">
        <v>34</v>
      </c>
      <c r="K94" t="s">
        <v>123</v>
      </c>
      <c r="L94" t="s">
        <v>35</v>
      </c>
      <c r="M94">
        <v>0</v>
      </c>
      <c r="N94">
        <v>1</v>
      </c>
      <c r="O94" s="17" t="s">
        <v>1041</v>
      </c>
      <c r="P94" s="17" t="s">
        <v>1042</v>
      </c>
      <c r="Q94">
        <f>20.5-12.5</f>
        <v>8</v>
      </c>
      <c r="R94" t="s">
        <v>63</v>
      </c>
      <c r="T94">
        <v>17</v>
      </c>
      <c r="V94">
        <v>16</v>
      </c>
      <c r="W94">
        <v>11.5</v>
      </c>
      <c r="X94">
        <v>23.4</v>
      </c>
      <c r="Z94" t="s">
        <v>32</v>
      </c>
      <c r="AB94" t="s">
        <v>121</v>
      </c>
      <c r="AC94" t="s">
        <v>59</v>
      </c>
    </row>
    <row r="95" spans="1:30" x14ac:dyDescent="0.2">
      <c r="A95" s="3">
        <v>42600</v>
      </c>
      <c r="B95" t="s">
        <v>23</v>
      </c>
      <c r="C95">
        <v>111</v>
      </c>
      <c r="D95">
        <v>4</v>
      </c>
      <c r="E95">
        <v>1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 t="s">
        <v>123</v>
      </c>
      <c r="L95" t="s">
        <v>35</v>
      </c>
      <c r="M95">
        <v>0</v>
      </c>
      <c r="N95">
        <v>0</v>
      </c>
      <c r="O95" s="17" t="s">
        <v>1041</v>
      </c>
      <c r="P95" s="17" t="s">
        <v>1042</v>
      </c>
      <c r="Q95">
        <f>28-16</f>
        <v>12</v>
      </c>
      <c r="R95" t="s">
        <v>63</v>
      </c>
      <c r="T95">
        <v>19</v>
      </c>
      <c r="V95">
        <v>15</v>
      </c>
      <c r="W95">
        <v>12.2</v>
      </c>
      <c r="X95">
        <v>24</v>
      </c>
      <c r="AB95" t="s">
        <v>121</v>
      </c>
      <c r="AC95" t="s">
        <v>59</v>
      </c>
    </row>
    <row r="96" spans="1:30" x14ac:dyDescent="0.2">
      <c r="A96" s="3">
        <v>42588</v>
      </c>
      <c r="B96" t="s">
        <v>23</v>
      </c>
      <c r="C96">
        <v>111</v>
      </c>
      <c r="D96">
        <v>9</v>
      </c>
      <c r="E96">
        <v>1</v>
      </c>
      <c r="F96" t="s">
        <v>24</v>
      </c>
      <c r="G96" t="s">
        <v>25</v>
      </c>
      <c r="H96" t="s">
        <v>26</v>
      </c>
      <c r="I96" t="s">
        <v>27</v>
      </c>
      <c r="J96" t="s">
        <v>34</v>
      </c>
      <c r="K96" t="s">
        <v>188</v>
      </c>
      <c r="L96" t="s">
        <v>35</v>
      </c>
      <c r="M96">
        <v>0</v>
      </c>
      <c r="N96">
        <v>1</v>
      </c>
      <c r="O96" s="17" t="s">
        <v>1045</v>
      </c>
      <c r="P96" s="17" t="s">
        <v>1046</v>
      </c>
      <c r="Q96">
        <f>27.5-12.5</f>
        <v>15</v>
      </c>
      <c r="R96" t="s">
        <v>63</v>
      </c>
      <c r="T96">
        <v>19</v>
      </c>
      <c r="U96">
        <v>91</v>
      </c>
      <c r="V96">
        <v>19</v>
      </c>
      <c r="W96">
        <v>12.85</v>
      </c>
      <c r="X96">
        <v>25.1</v>
      </c>
      <c r="Z96" t="s">
        <v>32</v>
      </c>
      <c r="AB96" t="s">
        <v>121</v>
      </c>
      <c r="AC96" t="s">
        <v>59</v>
      </c>
    </row>
    <row r="97" spans="1:29" x14ac:dyDescent="0.2">
      <c r="A97" s="3">
        <v>42589</v>
      </c>
      <c r="B97" t="s">
        <v>23</v>
      </c>
      <c r="C97">
        <v>111</v>
      </c>
      <c r="D97">
        <v>6</v>
      </c>
      <c r="E97">
        <v>1</v>
      </c>
      <c r="F97" t="s">
        <v>64</v>
      </c>
      <c r="G97" t="s">
        <v>25</v>
      </c>
      <c r="H97" t="s">
        <v>26</v>
      </c>
      <c r="I97" t="s">
        <v>27</v>
      </c>
      <c r="J97" t="s">
        <v>28</v>
      </c>
      <c r="K97" t="s">
        <v>188</v>
      </c>
      <c r="L97" t="s">
        <v>35</v>
      </c>
      <c r="M97">
        <v>0</v>
      </c>
      <c r="N97">
        <v>0</v>
      </c>
      <c r="O97" s="17" t="s">
        <v>1045</v>
      </c>
      <c r="P97" s="17" t="s">
        <v>1046</v>
      </c>
      <c r="Q97">
        <f>31-14</f>
        <v>17</v>
      </c>
      <c r="R97" t="s">
        <v>63</v>
      </c>
      <c r="T97">
        <v>20</v>
      </c>
      <c r="U97">
        <v>92</v>
      </c>
      <c r="V97">
        <v>15</v>
      </c>
      <c r="W97">
        <v>13</v>
      </c>
      <c r="X97">
        <v>28</v>
      </c>
      <c r="Y97" t="s">
        <v>1235</v>
      </c>
      <c r="Z97" t="s">
        <v>32</v>
      </c>
      <c r="AB97" t="s">
        <v>121</v>
      </c>
      <c r="AC97" t="s">
        <v>59</v>
      </c>
    </row>
    <row r="98" spans="1:29" x14ac:dyDescent="0.2">
      <c r="A98" s="3">
        <v>42598</v>
      </c>
      <c r="B98" t="s">
        <v>23</v>
      </c>
      <c r="C98">
        <v>111</v>
      </c>
      <c r="D98">
        <v>8</v>
      </c>
      <c r="E98">
        <v>1</v>
      </c>
      <c r="F98" t="s">
        <v>24</v>
      </c>
      <c r="G98" t="s">
        <v>25</v>
      </c>
      <c r="H98" t="s">
        <v>26</v>
      </c>
      <c r="I98" t="s">
        <v>27</v>
      </c>
      <c r="J98" t="s">
        <v>28</v>
      </c>
      <c r="K98" t="s">
        <v>188</v>
      </c>
      <c r="L98" t="s">
        <v>35</v>
      </c>
      <c r="M98">
        <v>0</v>
      </c>
      <c r="N98">
        <v>0</v>
      </c>
      <c r="O98" s="17" t="s">
        <v>1045</v>
      </c>
      <c r="P98" s="17" t="s">
        <v>1046</v>
      </c>
      <c r="Q98">
        <f>30.5-12.5</f>
        <v>18</v>
      </c>
      <c r="R98" t="s">
        <v>63</v>
      </c>
      <c r="T98">
        <v>19</v>
      </c>
      <c r="U98">
        <v>92</v>
      </c>
      <c r="V98">
        <v>20</v>
      </c>
      <c r="W98">
        <v>13</v>
      </c>
      <c r="X98">
        <v>27.8</v>
      </c>
      <c r="Z98" t="s">
        <v>32</v>
      </c>
      <c r="AA98" t="s">
        <v>260</v>
      </c>
      <c r="AB98" t="s">
        <v>1589</v>
      </c>
      <c r="AC98" t="s">
        <v>122</v>
      </c>
    </row>
    <row r="99" spans="1:29" x14ac:dyDescent="0.2">
      <c r="A99" s="3">
        <v>42599</v>
      </c>
      <c r="B99" t="s">
        <v>23</v>
      </c>
      <c r="C99">
        <v>111</v>
      </c>
      <c r="D99">
        <v>10</v>
      </c>
      <c r="E99">
        <v>2</v>
      </c>
      <c r="F99" t="s">
        <v>24</v>
      </c>
      <c r="G99" t="s">
        <v>25</v>
      </c>
      <c r="H99" t="s">
        <v>26</v>
      </c>
      <c r="I99" t="s">
        <v>27</v>
      </c>
      <c r="J99" t="s">
        <v>28</v>
      </c>
      <c r="K99" t="s">
        <v>188</v>
      </c>
      <c r="L99" t="s">
        <v>35</v>
      </c>
      <c r="M99">
        <v>0</v>
      </c>
      <c r="N99">
        <v>0</v>
      </c>
      <c r="O99" s="17" t="s">
        <v>1045</v>
      </c>
      <c r="P99" s="17" t="s">
        <v>1046</v>
      </c>
      <c r="Q99">
        <f>31.5-14</f>
        <v>17.5</v>
      </c>
      <c r="R99" t="s">
        <v>63</v>
      </c>
      <c r="T99">
        <v>19</v>
      </c>
      <c r="U99">
        <v>92</v>
      </c>
      <c r="V99">
        <v>19</v>
      </c>
      <c r="W99">
        <v>13.2</v>
      </c>
      <c r="X99">
        <v>27.4</v>
      </c>
      <c r="AB99" t="s">
        <v>121</v>
      </c>
      <c r="AC99" t="s">
        <v>59</v>
      </c>
    </row>
    <row r="100" spans="1:29" x14ac:dyDescent="0.2">
      <c r="A100" s="3">
        <v>42588</v>
      </c>
      <c r="B100" t="s">
        <v>23</v>
      </c>
      <c r="C100">
        <v>113</v>
      </c>
      <c r="D100">
        <v>2</v>
      </c>
      <c r="E100">
        <v>1</v>
      </c>
      <c r="F100" t="s">
        <v>64</v>
      </c>
      <c r="G100" t="s">
        <v>25</v>
      </c>
      <c r="H100" t="s">
        <v>26</v>
      </c>
      <c r="I100" t="s">
        <v>27</v>
      </c>
      <c r="J100" t="s">
        <v>34</v>
      </c>
      <c r="K100" t="s">
        <v>123</v>
      </c>
      <c r="L100" t="s">
        <v>35</v>
      </c>
      <c r="M100">
        <v>0</v>
      </c>
      <c r="N100">
        <v>1</v>
      </c>
      <c r="O100" s="17" t="s">
        <v>1206</v>
      </c>
      <c r="P100" s="17" t="s">
        <v>1207</v>
      </c>
      <c r="Q100">
        <f>27-13</f>
        <v>14</v>
      </c>
      <c r="R100" t="s">
        <v>63</v>
      </c>
      <c r="T100">
        <v>19</v>
      </c>
      <c r="V100">
        <v>16</v>
      </c>
      <c r="W100">
        <v>12.8</v>
      </c>
      <c r="X100">
        <v>26.2</v>
      </c>
      <c r="Z100" t="s">
        <v>32</v>
      </c>
      <c r="AB100" t="s">
        <v>121</v>
      </c>
      <c r="AC100" t="s">
        <v>59</v>
      </c>
    </row>
    <row r="101" spans="1:29" x14ac:dyDescent="0.2">
      <c r="A101" s="3">
        <v>42588</v>
      </c>
      <c r="B101" t="s">
        <v>23</v>
      </c>
      <c r="C101">
        <v>113</v>
      </c>
      <c r="D101">
        <v>10</v>
      </c>
      <c r="E101">
        <v>1</v>
      </c>
      <c r="F101" t="s">
        <v>24</v>
      </c>
      <c r="G101" t="s">
        <v>25</v>
      </c>
      <c r="H101" t="s">
        <v>26</v>
      </c>
      <c r="I101" t="s">
        <v>27</v>
      </c>
      <c r="J101" t="s">
        <v>34</v>
      </c>
      <c r="K101" t="s">
        <v>123</v>
      </c>
      <c r="L101" t="s">
        <v>35</v>
      </c>
      <c r="M101">
        <v>0</v>
      </c>
      <c r="N101">
        <v>1</v>
      </c>
      <c r="O101" s="17" t="s">
        <v>1061</v>
      </c>
      <c r="P101" s="17" t="s">
        <v>1062</v>
      </c>
      <c r="Q101">
        <f>27.5-13</f>
        <v>14.5</v>
      </c>
      <c r="R101" t="s">
        <v>63</v>
      </c>
      <c r="T101">
        <v>18</v>
      </c>
      <c r="U101">
        <v>80</v>
      </c>
      <c r="V101">
        <v>15</v>
      </c>
      <c r="W101">
        <v>13</v>
      </c>
      <c r="X101">
        <v>22</v>
      </c>
      <c r="Z101" t="s">
        <v>32</v>
      </c>
      <c r="AB101" t="s">
        <v>121</v>
      </c>
      <c r="AC101" t="s">
        <v>59</v>
      </c>
    </row>
    <row r="102" spans="1:29" x14ac:dyDescent="0.2">
      <c r="A102" s="3">
        <v>42588</v>
      </c>
      <c r="B102" t="s">
        <v>23</v>
      </c>
      <c r="C102">
        <v>113</v>
      </c>
      <c r="D102">
        <v>10</v>
      </c>
      <c r="E102">
        <v>2</v>
      </c>
      <c r="F102" t="s">
        <v>64</v>
      </c>
      <c r="G102" t="s">
        <v>25</v>
      </c>
      <c r="H102" t="s">
        <v>26</v>
      </c>
      <c r="I102" t="s">
        <v>27</v>
      </c>
      <c r="J102" t="s">
        <v>34</v>
      </c>
      <c r="K102" t="s">
        <v>123</v>
      </c>
      <c r="L102" t="s">
        <v>35</v>
      </c>
      <c r="M102">
        <v>0</v>
      </c>
      <c r="N102">
        <v>1</v>
      </c>
      <c r="O102" s="17" t="s">
        <v>1224</v>
      </c>
      <c r="P102" s="17" t="s">
        <v>1225</v>
      </c>
      <c r="Q102">
        <f>28-13</f>
        <v>15</v>
      </c>
      <c r="R102" t="s">
        <v>63</v>
      </c>
      <c r="T102">
        <v>20</v>
      </c>
      <c r="V102">
        <v>15.5</v>
      </c>
      <c r="W102">
        <v>12.8</v>
      </c>
      <c r="X102">
        <v>26.4</v>
      </c>
      <c r="Z102" t="s">
        <v>32</v>
      </c>
      <c r="AB102" t="s">
        <v>121</v>
      </c>
      <c r="AC102" t="s">
        <v>59</v>
      </c>
    </row>
    <row r="103" spans="1:29" x14ac:dyDescent="0.2">
      <c r="A103" s="3">
        <v>42599</v>
      </c>
      <c r="B103" t="s">
        <v>23</v>
      </c>
      <c r="C103">
        <v>113</v>
      </c>
      <c r="D103">
        <v>10</v>
      </c>
      <c r="E103">
        <v>2</v>
      </c>
      <c r="F103" t="s">
        <v>24</v>
      </c>
      <c r="G103" t="s">
        <v>25</v>
      </c>
      <c r="H103" t="s">
        <v>26</v>
      </c>
      <c r="I103" t="s">
        <v>27</v>
      </c>
      <c r="J103" t="s">
        <v>28</v>
      </c>
      <c r="K103" t="s">
        <v>123</v>
      </c>
      <c r="L103" t="s">
        <v>35</v>
      </c>
      <c r="M103">
        <v>0</v>
      </c>
      <c r="N103">
        <v>0</v>
      </c>
      <c r="O103" s="17" t="s">
        <v>1224</v>
      </c>
      <c r="P103" s="17" t="s">
        <v>1225</v>
      </c>
      <c r="Q103">
        <f>35.5-20.5</f>
        <v>15</v>
      </c>
      <c r="R103" t="s">
        <v>63</v>
      </c>
      <c r="T103">
        <v>17</v>
      </c>
      <c r="V103">
        <v>16</v>
      </c>
      <c r="W103">
        <v>12.5</v>
      </c>
      <c r="X103">
        <v>22.6</v>
      </c>
      <c r="AB103" t="s">
        <v>121</v>
      </c>
      <c r="AC103" t="s">
        <v>59</v>
      </c>
    </row>
    <row r="104" spans="1:29" x14ac:dyDescent="0.2">
      <c r="A104" s="3">
        <v>42600</v>
      </c>
      <c r="B104" t="s">
        <v>23</v>
      </c>
      <c r="C104">
        <v>113</v>
      </c>
      <c r="D104">
        <v>10</v>
      </c>
      <c r="E104">
        <v>1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123</v>
      </c>
      <c r="L104" t="s">
        <v>35</v>
      </c>
      <c r="M104">
        <v>0</v>
      </c>
      <c r="N104">
        <v>0</v>
      </c>
      <c r="O104" s="17" t="s">
        <v>1224</v>
      </c>
      <c r="P104" s="17" t="s">
        <v>1225</v>
      </c>
      <c r="Q104">
        <f>28.5-14</f>
        <v>14.5</v>
      </c>
      <c r="R104" t="s">
        <v>63</v>
      </c>
      <c r="T104">
        <v>19</v>
      </c>
      <c r="V104">
        <v>16</v>
      </c>
      <c r="W104">
        <v>12.7</v>
      </c>
      <c r="X104">
        <v>26.4</v>
      </c>
      <c r="Y104" t="s">
        <v>1846</v>
      </c>
      <c r="AB104" t="s">
        <v>121</v>
      </c>
      <c r="AC104" t="s">
        <v>59</v>
      </c>
    </row>
    <row r="105" spans="1:29" x14ac:dyDescent="0.2">
      <c r="A105" s="3">
        <v>42589</v>
      </c>
      <c r="B105" t="s">
        <v>23</v>
      </c>
      <c r="C105">
        <v>111</v>
      </c>
      <c r="D105">
        <v>1</v>
      </c>
      <c r="E105">
        <v>1</v>
      </c>
      <c r="F105" t="s">
        <v>24</v>
      </c>
      <c r="G105" t="s">
        <v>25</v>
      </c>
      <c r="H105" t="s">
        <v>26</v>
      </c>
      <c r="I105" t="s">
        <v>27</v>
      </c>
      <c r="J105" t="s">
        <v>34</v>
      </c>
      <c r="K105" t="s">
        <v>29</v>
      </c>
      <c r="L105" t="s">
        <v>35</v>
      </c>
      <c r="M105">
        <v>0</v>
      </c>
      <c r="N105">
        <v>1</v>
      </c>
      <c r="O105" s="17" t="s">
        <v>1066</v>
      </c>
      <c r="P105" s="17" t="s">
        <v>1067</v>
      </c>
      <c r="Q105">
        <f>32.5-13</f>
        <v>19.5</v>
      </c>
      <c r="R105" t="s">
        <v>63</v>
      </c>
      <c r="T105">
        <v>20</v>
      </c>
      <c r="U105">
        <v>93</v>
      </c>
      <c r="V105">
        <v>17</v>
      </c>
      <c r="W105">
        <v>13.3</v>
      </c>
      <c r="X105">
        <v>27.75</v>
      </c>
      <c r="Z105" t="s">
        <v>32</v>
      </c>
      <c r="AB105" t="s">
        <v>121</v>
      </c>
      <c r="AC105" t="s">
        <v>59</v>
      </c>
    </row>
    <row r="106" spans="1:29" x14ac:dyDescent="0.2">
      <c r="A106" s="3">
        <v>42600</v>
      </c>
      <c r="B106" t="s">
        <v>23</v>
      </c>
      <c r="C106">
        <v>111</v>
      </c>
      <c r="D106">
        <v>8</v>
      </c>
      <c r="E106">
        <v>1</v>
      </c>
      <c r="F106" t="s">
        <v>66</v>
      </c>
      <c r="G106" t="s">
        <v>25</v>
      </c>
      <c r="H106" t="s">
        <v>26</v>
      </c>
      <c r="I106" t="s">
        <v>27</v>
      </c>
      <c r="J106" t="s">
        <v>28</v>
      </c>
      <c r="K106" t="s">
        <v>29</v>
      </c>
      <c r="L106" t="s">
        <v>35</v>
      </c>
      <c r="M106">
        <v>0</v>
      </c>
      <c r="N106">
        <v>0</v>
      </c>
      <c r="O106" s="17" t="s">
        <v>1066</v>
      </c>
      <c r="P106" s="17" t="s">
        <v>1067</v>
      </c>
      <c r="Q106">
        <v>20.5</v>
      </c>
      <c r="R106" t="s">
        <v>63</v>
      </c>
      <c r="T106">
        <v>21</v>
      </c>
      <c r="U106">
        <v>89</v>
      </c>
      <c r="V106">
        <v>18</v>
      </c>
      <c r="W106">
        <v>14.4</v>
      </c>
      <c r="X106">
        <v>30.7</v>
      </c>
    </row>
    <row r="107" spans="1:29" x14ac:dyDescent="0.2">
      <c r="A107" s="3">
        <v>42586</v>
      </c>
      <c r="B107" t="s">
        <v>23</v>
      </c>
      <c r="C107">
        <v>304</v>
      </c>
      <c r="D107">
        <v>8</v>
      </c>
      <c r="E107">
        <v>1</v>
      </c>
      <c r="F107" t="s">
        <v>24</v>
      </c>
      <c r="G107" t="s">
        <v>25</v>
      </c>
      <c r="H107" t="s">
        <v>26</v>
      </c>
      <c r="I107" t="s">
        <v>27</v>
      </c>
      <c r="J107" t="s">
        <v>34</v>
      </c>
      <c r="K107" t="s">
        <v>29</v>
      </c>
      <c r="L107" t="s">
        <v>30</v>
      </c>
      <c r="M107">
        <v>0</v>
      </c>
      <c r="N107">
        <v>1</v>
      </c>
      <c r="O107" s="17" t="s">
        <v>892</v>
      </c>
      <c r="P107" s="17" t="s">
        <v>893</v>
      </c>
      <c r="Q107">
        <f>32-13</f>
        <v>19</v>
      </c>
      <c r="R107" t="s">
        <v>75</v>
      </c>
      <c r="S107" t="s">
        <v>145</v>
      </c>
      <c r="AB107" t="s">
        <v>44</v>
      </c>
      <c r="AC107" t="s">
        <v>59</v>
      </c>
    </row>
    <row r="108" spans="1:29" x14ac:dyDescent="0.2">
      <c r="A108" s="3">
        <v>42598</v>
      </c>
      <c r="B108" t="s">
        <v>23</v>
      </c>
      <c r="C108">
        <v>112</v>
      </c>
      <c r="D108">
        <v>6</v>
      </c>
      <c r="E108">
        <v>1</v>
      </c>
      <c r="F108" t="s">
        <v>24</v>
      </c>
      <c r="G108" t="s">
        <v>25</v>
      </c>
      <c r="H108" t="s">
        <v>26</v>
      </c>
      <c r="I108" t="s">
        <v>27</v>
      </c>
      <c r="J108" t="s">
        <v>34</v>
      </c>
      <c r="K108" t="s">
        <v>29</v>
      </c>
      <c r="L108" t="s">
        <v>30</v>
      </c>
      <c r="M108">
        <v>0</v>
      </c>
      <c r="N108">
        <v>1</v>
      </c>
      <c r="O108" s="17" t="s">
        <v>1795</v>
      </c>
      <c r="P108" s="17" t="s">
        <v>1796</v>
      </c>
      <c r="Q108">
        <f>35-15</f>
        <v>20</v>
      </c>
      <c r="R108" t="s">
        <v>273</v>
      </c>
      <c r="S108" t="s">
        <v>145</v>
      </c>
      <c r="T108">
        <v>18</v>
      </c>
      <c r="U108">
        <v>78</v>
      </c>
      <c r="V108">
        <v>16</v>
      </c>
      <c r="W108">
        <v>12.7</v>
      </c>
      <c r="X108">
        <v>26.6</v>
      </c>
      <c r="Y108" t="s">
        <v>1797</v>
      </c>
      <c r="Z108" t="s">
        <v>145</v>
      </c>
      <c r="AB108" t="s">
        <v>1798</v>
      </c>
      <c r="AC108" t="s">
        <v>122</v>
      </c>
    </row>
    <row r="109" spans="1:29" x14ac:dyDescent="0.2">
      <c r="A109" s="3">
        <v>42599</v>
      </c>
      <c r="B109" t="s">
        <v>23</v>
      </c>
      <c r="C109">
        <v>112</v>
      </c>
      <c r="D109">
        <v>3</v>
      </c>
      <c r="E109">
        <v>2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29</v>
      </c>
      <c r="L109" t="s">
        <v>30</v>
      </c>
      <c r="M109">
        <v>0</v>
      </c>
      <c r="N109">
        <v>0</v>
      </c>
      <c r="O109" s="17" t="s">
        <v>1795</v>
      </c>
      <c r="P109" s="17" t="s">
        <v>1796</v>
      </c>
      <c r="Q109">
        <f>32-13</f>
        <v>19</v>
      </c>
      <c r="R109" t="s">
        <v>63</v>
      </c>
      <c r="S109" t="s">
        <v>145</v>
      </c>
      <c r="T109">
        <v>17</v>
      </c>
      <c r="U109">
        <v>79.5</v>
      </c>
      <c r="V109">
        <v>18</v>
      </c>
      <c r="W109">
        <v>12.6</v>
      </c>
      <c r="X109">
        <v>26.25</v>
      </c>
      <c r="Y109" t="s">
        <v>1827</v>
      </c>
      <c r="Z109" t="s">
        <v>145</v>
      </c>
      <c r="AB109" t="s">
        <v>121</v>
      </c>
      <c r="AC109" t="s">
        <v>59</v>
      </c>
    </row>
    <row r="110" spans="1:29" x14ac:dyDescent="0.2">
      <c r="A110" s="3">
        <v>42600</v>
      </c>
      <c r="B110" t="s">
        <v>23</v>
      </c>
      <c r="C110">
        <v>112</v>
      </c>
      <c r="D110">
        <v>3</v>
      </c>
      <c r="E110">
        <v>1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t="s">
        <v>29</v>
      </c>
      <c r="L110" t="s">
        <v>30</v>
      </c>
      <c r="M110">
        <v>0</v>
      </c>
      <c r="N110">
        <v>0</v>
      </c>
      <c r="O110" s="17" t="s">
        <v>1795</v>
      </c>
      <c r="P110" s="17" t="s">
        <v>1796</v>
      </c>
      <c r="Q110">
        <f>32-12.5</f>
        <v>19.5</v>
      </c>
      <c r="R110" t="s">
        <v>273</v>
      </c>
      <c r="S110" t="s">
        <v>145</v>
      </c>
      <c r="T110">
        <v>17</v>
      </c>
      <c r="U110">
        <v>78</v>
      </c>
      <c r="V110">
        <v>17</v>
      </c>
      <c r="W110">
        <v>13</v>
      </c>
      <c r="X110">
        <v>26.4</v>
      </c>
      <c r="Z110" t="s">
        <v>145</v>
      </c>
      <c r="AB110" t="s">
        <v>121</v>
      </c>
      <c r="AC110" t="s">
        <v>59</v>
      </c>
    </row>
    <row r="111" spans="1:29" x14ac:dyDescent="0.2">
      <c r="A111" s="3">
        <v>42599</v>
      </c>
      <c r="B111" t="s">
        <v>23</v>
      </c>
      <c r="C111">
        <v>111</v>
      </c>
      <c r="D111">
        <v>3</v>
      </c>
      <c r="E111">
        <v>2</v>
      </c>
      <c r="F111" t="s">
        <v>24</v>
      </c>
      <c r="G111" t="s">
        <v>25</v>
      </c>
      <c r="H111" t="s">
        <v>26</v>
      </c>
      <c r="I111" t="s">
        <v>27</v>
      </c>
      <c r="J111" t="s">
        <v>34</v>
      </c>
      <c r="K111" t="s">
        <v>29</v>
      </c>
      <c r="L111" t="s">
        <v>35</v>
      </c>
      <c r="M111">
        <v>0</v>
      </c>
      <c r="N111">
        <v>1</v>
      </c>
      <c r="O111" s="17" t="s">
        <v>1609</v>
      </c>
      <c r="P111" s="17" t="s">
        <v>1612</v>
      </c>
      <c r="Q111">
        <f>33-13</f>
        <v>20</v>
      </c>
      <c r="R111" t="s">
        <v>63</v>
      </c>
      <c r="T111">
        <v>20.5</v>
      </c>
      <c r="U111">
        <v>94</v>
      </c>
      <c r="V111">
        <v>16</v>
      </c>
      <c r="W111">
        <v>13.5</v>
      </c>
      <c r="X111">
        <v>28</v>
      </c>
      <c r="AB111" t="s">
        <v>121</v>
      </c>
      <c r="AC111" t="s">
        <v>59</v>
      </c>
    </row>
    <row r="112" spans="1:29" x14ac:dyDescent="0.2">
      <c r="A112" s="3">
        <v>42600</v>
      </c>
      <c r="B112" t="s">
        <v>23</v>
      </c>
      <c r="C112">
        <v>111</v>
      </c>
      <c r="D112">
        <v>6</v>
      </c>
      <c r="E112">
        <v>2</v>
      </c>
      <c r="F112" t="s">
        <v>66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35</v>
      </c>
      <c r="M112">
        <v>0</v>
      </c>
      <c r="N112">
        <v>0</v>
      </c>
      <c r="O112" s="17" t="s">
        <v>1609</v>
      </c>
      <c r="P112" s="17" t="s">
        <v>1612</v>
      </c>
      <c r="Q112">
        <v>20</v>
      </c>
      <c r="R112" t="s">
        <v>39</v>
      </c>
      <c r="T112">
        <v>21</v>
      </c>
      <c r="U112">
        <v>93</v>
      </c>
      <c r="V112">
        <v>18</v>
      </c>
      <c r="W112">
        <v>14</v>
      </c>
      <c r="X112">
        <v>31.1</v>
      </c>
    </row>
    <row r="113" spans="1:30" x14ac:dyDescent="0.2">
      <c r="A113" s="3">
        <v>42599</v>
      </c>
      <c r="B113" t="s">
        <v>23</v>
      </c>
      <c r="C113">
        <v>113</v>
      </c>
      <c r="D113">
        <v>3</v>
      </c>
      <c r="E113">
        <v>2</v>
      </c>
      <c r="F113" t="s">
        <v>24</v>
      </c>
      <c r="G113" t="s">
        <v>25</v>
      </c>
      <c r="H113" t="s">
        <v>26</v>
      </c>
      <c r="I113" t="s">
        <v>27</v>
      </c>
      <c r="J113" t="s">
        <v>34</v>
      </c>
      <c r="K113" t="s">
        <v>188</v>
      </c>
      <c r="L113" t="s">
        <v>35</v>
      </c>
      <c r="M113">
        <v>0</v>
      </c>
      <c r="N113">
        <v>1</v>
      </c>
      <c r="O113" s="17" t="s">
        <v>1834</v>
      </c>
      <c r="P113" s="17" t="s">
        <v>1835</v>
      </c>
      <c r="Q113">
        <f>30.5-14</f>
        <v>16.5</v>
      </c>
      <c r="R113" t="s">
        <v>63</v>
      </c>
      <c r="T113">
        <v>20</v>
      </c>
      <c r="U113">
        <v>90.5</v>
      </c>
      <c r="V113">
        <v>17.5</v>
      </c>
      <c r="W113">
        <v>13</v>
      </c>
      <c r="X113">
        <v>26.4</v>
      </c>
      <c r="AB113" t="s">
        <v>121</v>
      </c>
      <c r="AC113" t="s">
        <v>59</v>
      </c>
    </row>
    <row r="114" spans="1:30" x14ac:dyDescent="0.2">
      <c r="A114" s="3">
        <v>42600</v>
      </c>
      <c r="B114" t="s">
        <v>23</v>
      </c>
      <c r="C114">
        <v>111</v>
      </c>
      <c r="D114">
        <v>3</v>
      </c>
      <c r="E114">
        <v>2</v>
      </c>
      <c r="F114" t="s">
        <v>24</v>
      </c>
      <c r="G114" t="s">
        <v>25</v>
      </c>
      <c r="H114" t="s">
        <v>26</v>
      </c>
      <c r="I114" t="s">
        <v>27</v>
      </c>
      <c r="J114" t="s">
        <v>34</v>
      </c>
      <c r="K114" t="s">
        <v>188</v>
      </c>
      <c r="L114" t="s">
        <v>30</v>
      </c>
      <c r="M114">
        <v>0</v>
      </c>
      <c r="N114">
        <v>1</v>
      </c>
      <c r="O114" s="17" t="s">
        <v>1843</v>
      </c>
      <c r="P114" s="17" t="s">
        <v>1832</v>
      </c>
      <c r="Q114">
        <f>29.5-13</f>
        <v>16.5</v>
      </c>
      <c r="R114" t="s">
        <v>31</v>
      </c>
      <c r="S114" t="s">
        <v>32</v>
      </c>
      <c r="T114">
        <v>19.5</v>
      </c>
      <c r="U114">
        <v>87</v>
      </c>
      <c r="V114">
        <v>16</v>
      </c>
      <c r="W114">
        <v>13.1</v>
      </c>
      <c r="X114">
        <v>28.8</v>
      </c>
      <c r="AB114" t="s">
        <v>121</v>
      </c>
      <c r="AC114" t="s">
        <v>59</v>
      </c>
    </row>
    <row r="115" spans="1:30" x14ac:dyDescent="0.2">
      <c r="A115" s="3">
        <v>42593</v>
      </c>
      <c r="B115" t="s">
        <v>23</v>
      </c>
      <c r="C115">
        <v>701</v>
      </c>
      <c r="D115">
        <v>3</v>
      </c>
      <c r="E115">
        <v>1</v>
      </c>
      <c r="F115" t="s">
        <v>64</v>
      </c>
      <c r="G115" t="s">
        <v>25</v>
      </c>
      <c r="H115" t="s">
        <v>26</v>
      </c>
      <c r="I115" t="s">
        <v>27</v>
      </c>
      <c r="J115" t="s">
        <v>34</v>
      </c>
      <c r="K115" t="s">
        <v>188</v>
      </c>
      <c r="L115" t="s">
        <v>35</v>
      </c>
      <c r="M115">
        <v>0</v>
      </c>
      <c r="N115">
        <v>1</v>
      </c>
      <c r="O115" s="17" t="s">
        <v>1481</v>
      </c>
      <c r="P115" s="17" t="s">
        <v>1482</v>
      </c>
      <c r="Q115">
        <f>28-14</f>
        <v>14</v>
      </c>
      <c r="R115" t="s">
        <v>63</v>
      </c>
      <c r="T115">
        <v>18</v>
      </c>
      <c r="U115">
        <v>83</v>
      </c>
      <c r="V115">
        <v>16</v>
      </c>
      <c r="W115">
        <v>12.9</v>
      </c>
      <c r="X115">
        <v>27.3</v>
      </c>
      <c r="Z115" t="s">
        <v>32</v>
      </c>
      <c r="AB115" t="s">
        <v>44</v>
      </c>
      <c r="AC115" t="s">
        <v>122</v>
      </c>
    </row>
    <row r="116" spans="1:30" x14ac:dyDescent="0.2">
      <c r="A116" s="3">
        <v>42605</v>
      </c>
      <c r="B116" t="s">
        <v>23</v>
      </c>
      <c r="C116">
        <v>701</v>
      </c>
      <c r="D116">
        <v>3</v>
      </c>
      <c r="E116">
        <v>2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188</v>
      </c>
      <c r="L116" t="s">
        <v>35</v>
      </c>
      <c r="M116">
        <v>0</v>
      </c>
      <c r="N116">
        <v>0</v>
      </c>
      <c r="O116" s="17" t="s">
        <v>1481</v>
      </c>
      <c r="P116" s="17" t="s">
        <v>1482</v>
      </c>
      <c r="Q116">
        <f>28.5-13</f>
        <v>15.5</v>
      </c>
      <c r="R116" t="s">
        <v>63</v>
      </c>
      <c r="T116">
        <v>17</v>
      </c>
      <c r="U116">
        <v>83</v>
      </c>
      <c r="V116">
        <v>14</v>
      </c>
      <c r="W116">
        <v>13.2</v>
      </c>
      <c r="X116">
        <v>26.3</v>
      </c>
      <c r="Y116" t="s">
        <v>1903</v>
      </c>
      <c r="AB116" t="s">
        <v>44</v>
      </c>
      <c r="AC116" t="s">
        <v>59</v>
      </c>
    </row>
    <row r="117" spans="1:30" x14ac:dyDescent="0.2">
      <c r="A117" s="3">
        <v>42606</v>
      </c>
      <c r="B117" t="s">
        <v>23</v>
      </c>
      <c r="C117">
        <v>701</v>
      </c>
      <c r="D117">
        <v>3</v>
      </c>
      <c r="E117">
        <v>2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188</v>
      </c>
      <c r="L117" t="s">
        <v>35</v>
      </c>
      <c r="M117">
        <v>0</v>
      </c>
      <c r="N117">
        <v>0</v>
      </c>
      <c r="O117" s="17" t="s">
        <v>1481</v>
      </c>
      <c r="P117" s="17" t="s">
        <v>1482</v>
      </c>
      <c r="Q117">
        <f>32-16.5</f>
        <v>15.5</v>
      </c>
      <c r="R117" t="s">
        <v>63</v>
      </c>
      <c r="T117">
        <v>18</v>
      </c>
      <c r="U117">
        <v>81</v>
      </c>
      <c r="V117">
        <v>16.5</v>
      </c>
      <c r="W117">
        <v>13.3</v>
      </c>
      <c r="X117">
        <v>26.5</v>
      </c>
      <c r="Y117" t="s">
        <v>1930</v>
      </c>
      <c r="AB117" t="s">
        <v>44</v>
      </c>
      <c r="AC117" t="s">
        <v>59</v>
      </c>
    </row>
    <row r="118" spans="1:30" x14ac:dyDescent="0.2">
      <c r="A118" s="3">
        <v>42593</v>
      </c>
      <c r="B118" t="s">
        <v>23</v>
      </c>
      <c r="C118">
        <v>701</v>
      </c>
      <c r="D118">
        <v>6</v>
      </c>
      <c r="E118">
        <v>1</v>
      </c>
      <c r="F118" t="s">
        <v>64</v>
      </c>
      <c r="G118" t="s">
        <v>25</v>
      </c>
      <c r="H118" t="s">
        <v>26</v>
      </c>
      <c r="I118" t="s">
        <v>27</v>
      </c>
      <c r="J118" t="s">
        <v>34</v>
      </c>
      <c r="K118" t="s">
        <v>123</v>
      </c>
      <c r="L118" t="s">
        <v>35</v>
      </c>
      <c r="M118">
        <v>0</v>
      </c>
      <c r="N118">
        <v>1</v>
      </c>
      <c r="O118" s="17" t="s">
        <v>1485</v>
      </c>
      <c r="P118" s="17" t="s">
        <v>1486</v>
      </c>
      <c r="Q118">
        <f>29-14</f>
        <v>15</v>
      </c>
      <c r="R118" t="s">
        <v>63</v>
      </c>
      <c r="T118">
        <v>19</v>
      </c>
      <c r="U118">
        <v>92</v>
      </c>
      <c r="V118">
        <v>16</v>
      </c>
      <c r="W118">
        <v>12.8</v>
      </c>
      <c r="X118">
        <v>27.9</v>
      </c>
      <c r="Z118" t="s">
        <v>32</v>
      </c>
      <c r="AA118" t="s">
        <v>1487</v>
      </c>
      <c r="AB118" t="s">
        <v>44</v>
      </c>
      <c r="AC118" t="s">
        <v>122</v>
      </c>
      <c r="AD118" t="s">
        <v>1495</v>
      </c>
    </row>
    <row r="119" spans="1:30" x14ac:dyDescent="0.2">
      <c r="A119" s="3">
        <v>42593</v>
      </c>
      <c r="B119" t="s">
        <v>23</v>
      </c>
      <c r="C119">
        <v>701</v>
      </c>
      <c r="D119">
        <v>9</v>
      </c>
      <c r="E119">
        <v>1</v>
      </c>
      <c r="F119" t="s">
        <v>64</v>
      </c>
      <c r="G119" t="s">
        <v>25</v>
      </c>
      <c r="H119" t="s">
        <v>26</v>
      </c>
      <c r="I119" t="s">
        <v>27</v>
      </c>
      <c r="J119" t="s">
        <v>34</v>
      </c>
      <c r="K119" t="s">
        <v>123</v>
      </c>
      <c r="L119" t="s">
        <v>35</v>
      </c>
      <c r="M119">
        <v>0</v>
      </c>
      <c r="N119">
        <v>1</v>
      </c>
      <c r="O119" s="17" t="s">
        <v>1496</v>
      </c>
      <c r="P119" s="17" t="s">
        <v>1497</v>
      </c>
      <c r="Q119">
        <f>32-17</f>
        <v>15</v>
      </c>
      <c r="R119" t="s">
        <v>63</v>
      </c>
      <c r="T119">
        <v>20.5</v>
      </c>
      <c r="U119">
        <v>85</v>
      </c>
      <c r="V119">
        <v>16</v>
      </c>
      <c r="W119">
        <v>13</v>
      </c>
      <c r="X119">
        <v>27.9</v>
      </c>
      <c r="Z119" t="s">
        <v>32</v>
      </c>
      <c r="AB119" t="s">
        <v>44</v>
      </c>
      <c r="AC119" t="s">
        <v>122</v>
      </c>
    </row>
    <row r="120" spans="1:30" x14ac:dyDescent="0.2">
      <c r="A120" s="3">
        <v>42606</v>
      </c>
      <c r="B120" t="s">
        <v>23</v>
      </c>
      <c r="C120">
        <v>701</v>
      </c>
      <c r="D120">
        <v>7</v>
      </c>
      <c r="E120">
        <v>1</v>
      </c>
      <c r="F120" t="s">
        <v>24</v>
      </c>
      <c r="G120" t="s">
        <v>25</v>
      </c>
      <c r="H120" t="s">
        <v>26</v>
      </c>
      <c r="I120" t="s">
        <v>27</v>
      </c>
      <c r="J120" t="s">
        <v>28</v>
      </c>
      <c r="K120" t="s">
        <v>188</v>
      </c>
      <c r="L120" t="s">
        <v>35</v>
      </c>
      <c r="M120">
        <v>0</v>
      </c>
      <c r="N120">
        <v>0</v>
      </c>
      <c r="O120" s="17" t="s">
        <v>1496</v>
      </c>
      <c r="P120" s="17" t="s">
        <v>1497</v>
      </c>
      <c r="Q120">
        <f>34-16.5</f>
        <v>17.5</v>
      </c>
      <c r="R120" t="s">
        <v>63</v>
      </c>
      <c r="T120">
        <v>20</v>
      </c>
      <c r="U120">
        <v>84</v>
      </c>
      <c r="V120">
        <v>16</v>
      </c>
      <c r="W120">
        <v>12.85</v>
      </c>
      <c r="X120">
        <v>27.6</v>
      </c>
      <c r="Z120" t="s">
        <v>145</v>
      </c>
      <c r="AB120" t="s">
        <v>44</v>
      </c>
      <c r="AC120" t="s">
        <v>59</v>
      </c>
    </row>
    <row r="121" spans="1:30" x14ac:dyDescent="0.2">
      <c r="A121" s="3">
        <v>42593</v>
      </c>
      <c r="B121" t="s">
        <v>23</v>
      </c>
      <c r="C121">
        <v>801</v>
      </c>
      <c r="D121">
        <v>5</v>
      </c>
      <c r="E121">
        <v>1</v>
      </c>
      <c r="F121" t="s">
        <v>64</v>
      </c>
      <c r="G121" t="s">
        <v>25</v>
      </c>
      <c r="H121" t="s">
        <v>26</v>
      </c>
      <c r="I121" t="s">
        <v>27</v>
      </c>
      <c r="J121" t="s">
        <v>34</v>
      </c>
      <c r="K121" t="s">
        <v>123</v>
      </c>
      <c r="L121" t="s">
        <v>35</v>
      </c>
      <c r="M121">
        <v>0</v>
      </c>
      <c r="N121">
        <v>1</v>
      </c>
      <c r="O121" s="17" t="s">
        <v>1513</v>
      </c>
      <c r="P121" s="17" t="s">
        <v>1514</v>
      </c>
      <c r="Q121">
        <f>37-19</f>
        <v>18</v>
      </c>
      <c r="R121" t="s">
        <v>63</v>
      </c>
      <c r="T121">
        <v>20</v>
      </c>
      <c r="U121">
        <v>93</v>
      </c>
      <c r="V121">
        <v>15.5</v>
      </c>
      <c r="W121">
        <v>12.9</v>
      </c>
      <c r="X121">
        <v>27.1</v>
      </c>
      <c r="Z121" t="s">
        <v>32</v>
      </c>
      <c r="AB121" t="s">
        <v>44</v>
      </c>
      <c r="AC121" t="s">
        <v>122</v>
      </c>
    </row>
    <row r="122" spans="1:30" x14ac:dyDescent="0.2">
      <c r="A122" s="3">
        <v>42593</v>
      </c>
      <c r="B122" t="s">
        <v>23</v>
      </c>
      <c r="C122">
        <v>803</v>
      </c>
      <c r="D122">
        <v>9</v>
      </c>
      <c r="E122">
        <v>1</v>
      </c>
      <c r="F122" t="s">
        <v>64</v>
      </c>
      <c r="G122" t="s">
        <v>25</v>
      </c>
      <c r="H122" t="s">
        <v>26</v>
      </c>
      <c r="I122" t="s">
        <v>27</v>
      </c>
      <c r="J122" t="s">
        <v>34</v>
      </c>
      <c r="K122" t="s">
        <v>123</v>
      </c>
      <c r="L122" t="s">
        <v>30</v>
      </c>
      <c r="M122">
        <v>0</v>
      </c>
      <c r="N122">
        <v>1</v>
      </c>
      <c r="O122" s="17" t="s">
        <v>1525</v>
      </c>
      <c r="P122" s="17" t="s">
        <v>1526</v>
      </c>
      <c r="Q122">
        <f>25.5-15</f>
        <v>10.5</v>
      </c>
      <c r="R122" t="s">
        <v>31</v>
      </c>
      <c r="S122" t="s">
        <v>32</v>
      </c>
      <c r="Z122" t="s">
        <v>32</v>
      </c>
      <c r="AB122" t="s">
        <v>44</v>
      </c>
      <c r="AC122" t="s">
        <v>122</v>
      </c>
      <c r="AD122" t="s">
        <v>1470</v>
      </c>
    </row>
    <row r="123" spans="1:30" x14ac:dyDescent="0.2">
      <c r="A123" s="3">
        <v>42589</v>
      </c>
      <c r="B123" t="s">
        <v>23</v>
      </c>
      <c r="C123">
        <v>111</v>
      </c>
      <c r="D123">
        <v>6</v>
      </c>
      <c r="E123">
        <v>2</v>
      </c>
      <c r="F123" t="s">
        <v>64</v>
      </c>
      <c r="G123" t="s">
        <v>25</v>
      </c>
      <c r="H123" t="s">
        <v>26</v>
      </c>
      <c r="I123" t="s">
        <v>27</v>
      </c>
      <c r="J123" t="s">
        <v>34</v>
      </c>
      <c r="K123" t="s">
        <v>29</v>
      </c>
      <c r="L123" t="s">
        <v>35</v>
      </c>
      <c r="M123">
        <v>0</v>
      </c>
      <c r="N123">
        <v>1</v>
      </c>
      <c r="O123" s="17" t="s">
        <v>1236</v>
      </c>
      <c r="P123" s="17" t="s">
        <v>1237</v>
      </c>
      <c r="Q123">
        <f>39.5-14.5</f>
        <v>25</v>
      </c>
      <c r="R123" t="s">
        <v>39</v>
      </c>
      <c r="T123">
        <v>20</v>
      </c>
      <c r="U123">
        <v>93</v>
      </c>
      <c r="V123">
        <v>17</v>
      </c>
      <c r="W123">
        <v>13.3</v>
      </c>
      <c r="X123">
        <v>28.8</v>
      </c>
      <c r="Y123" t="s">
        <v>1238</v>
      </c>
      <c r="Z123" t="s">
        <v>32</v>
      </c>
      <c r="AB123" t="s">
        <v>121</v>
      </c>
      <c r="AC123" t="s">
        <v>59</v>
      </c>
    </row>
    <row r="124" spans="1:30" x14ac:dyDescent="0.2">
      <c r="A124" s="3">
        <v>42589</v>
      </c>
      <c r="B124" t="s">
        <v>23</v>
      </c>
      <c r="C124">
        <v>111</v>
      </c>
      <c r="D124">
        <v>2</v>
      </c>
      <c r="E124">
        <v>2</v>
      </c>
      <c r="F124" t="s">
        <v>64</v>
      </c>
      <c r="G124" t="s">
        <v>25</v>
      </c>
      <c r="H124" t="s">
        <v>26</v>
      </c>
      <c r="I124" t="s">
        <v>27</v>
      </c>
      <c r="J124" t="s">
        <v>34</v>
      </c>
      <c r="K124" t="s">
        <v>29</v>
      </c>
      <c r="L124" t="s">
        <v>30</v>
      </c>
      <c r="M124">
        <v>0</v>
      </c>
      <c r="N124">
        <v>1</v>
      </c>
      <c r="O124" s="17" t="s">
        <v>1233</v>
      </c>
      <c r="P124" s="17" t="s">
        <v>1234</v>
      </c>
      <c r="Q124">
        <f>43-18</f>
        <v>25</v>
      </c>
      <c r="R124" t="s">
        <v>273</v>
      </c>
      <c r="S124" t="s">
        <v>145</v>
      </c>
      <c r="T124">
        <v>20</v>
      </c>
      <c r="U124">
        <v>102</v>
      </c>
      <c r="V124">
        <v>16.5</v>
      </c>
      <c r="W124">
        <v>13.1</v>
      </c>
      <c r="X124">
        <v>27.4</v>
      </c>
      <c r="Z124" t="s">
        <v>32</v>
      </c>
      <c r="AA124" t="s">
        <v>260</v>
      </c>
      <c r="AB124" t="s">
        <v>121</v>
      </c>
      <c r="AC124" t="s">
        <v>59</v>
      </c>
    </row>
    <row r="125" spans="1:30" x14ac:dyDescent="0.2">
      <c r="A125" s="3">
        <v>42588</v>
      </c>
      <c r="B125" t="s">
        <v>23</v>
      </c>
      <c r="C125">
        <v>112</v>
      </c>
      <c r="D125">
        <v>1</v>
      </c>
      <c r="E125">
        <v>2</v>
      </c>
      <c r="F125" t="s">
        <v>64</v>
      </c>
      <c r="G125" t="s">
        <v>25</v>
      </c>
      <c r="H125" t="s">
        <v>26</v>
      </c>
      <c r="I125" t="s">
        <v>27</v>
      </c>
      <c r="J125" t="s">
        <v>34</v>
      </c>
      <c r="K125" t="s">
        <v>29</v>
      </c>
      <c r="L125" t="s">
        <v>30</v>
      </c>
      <c r="M125">
        <v>0</v>
      </c>
      <c r="N125">
        <v>1</v>
      </c>
      <c r="O125" s="17" t="s">
        <v>1200</v>
      </c>
      <c r="P125" s="17" t="s">
        <v>1201</v>
      </c>
      <c r="Q125">
        <f>34-13.5</f>
        <v>20.5</v>
      </c>
      <c r="R125" t="s">
        <v>273</v>
      </c>
      <c r="S125" t="s">
        <v>145</v>
      </c>
      <c r="T125">
        <v>19</v>
      </c>
      <c r="U125">
        <v>85</v>
      </c>
      <c r="V125">
        <v>16</v>
      </c>
      <c r="W125">
        <v>12.9</v>
      </c>
      <c r="X125">
        <v>27.6</v>
      </c>
      <c r="Z125" t="s">
        <v>145</v>
      </c>
      <c r="AB125" t="s">
        <v>149</v>
      </c>
      <c r="AC125" t="s">
        <v>59</v>
      </c>
    </row>
    <row r="126" spans="1:30" x14ac:dyDescent="0.2">
      <c r="A126" s="3">
        <v>42589</v>
      </c>
      <c r="B126" t="s">
        <v>23</v>
      </c>
      <c r="C126">
        <v>112</v>
      </c>
      <c r="D126">
        <v>4</v>
      </c>
      <c r="E126">
        <v>2</v>
      </c>
      <c r="F126" t="s">
        <v>64</v>
      </c>
      <c r="G126" t="s">
        <v>25</v>
      </c>
      <c r="H126" t="s">
        <v>26</v>
      </c>
      <c r="I126" t="s">
        <v>27</v>
      </c>
      <c r="J126" t="s">
        <v>28</v>
      </c>
      <c r="K126" t="s">
        <v>29</v>
      </c>
      <c r="L126" t="s">
        <v>30</v>
      </c>
      <c r="M126">
        <v>0</v>
      </c>
      <c r="N126">
        <v>0</v>
      </c>
      <c r="O126" s="17" t="s">
        <v>1200</v>
      </c>
      <c r="P126" s="17" t="s">
        <v>1201</v>
      </c>
      <c r="Q126">
        <f>37-15</f>
        <v>22</v>
      </c>
      <c r="R126" t="s">
        <v>273</v>
      </c>
      <c r="S126" t="s">
        <v>145</v>
      </c>
      <c r="T126">
        <v>19</v>
      </c>
      <c r="U126">
        <v>84</v>
      </c>
      <c r="V126">
        <v>19</v>
      </c>
      <c r="W126">
        <v>13</v>
      </c>
      <c r="X126">
        <v>27.7</v>
      </c>
      <c r="Z126" t="s">
        <v>145</v>
      </c>
      <c r="AA126" t="s">
        <v>260</v>
      </c>
      <c r="AB126" t="s">
        <v>121</v>
      </c>
      <c r="AC126" t="s">
        <v>59</v>
      </c>
    </row>
    <row r="127" spans="1:30" x14ac:dyDescent="0.2">
      <c r="A127" s="3">
        <v>42588</v>
      </c>
      <c r="B127" t="s">
        <v>23</v>
      </c>
      <c r="C127">
        <v>111</v>
      </c>
      <c r="D127">
        <v>4</v>
      </c>
      <c r="E127">
        <v>2</v>
      </c>
      <c r="F127" t="s">
        <v>64</v>
      </c>
      <c r="G127" t="s">
        <v>25</v>
      </c>
      <c r="H127" t="s">
        <v>26</v>
      </c>
      <c r="I127" t="s">
        <v>27</v>
      </c>
      <c r="J127" t="s">
        <v>34</v>
      </c>
      <c r="K127" t="s">
        <v>123</v>
      </c>
      <c r="L127" t="s">
        <v>30</v>
      </c>
      <c r="M127">
        <v>0</v>
      </c>
      <c r="N127">
        <v>1</v>
      </c>
      <c r="O127" s="17" t="s">
        <v>1196</v>
      </c>
      <c r="P127" s="17" t="s">
        <v>1197</v>
      </c>
      <c r="Q127">
        <f>21-13</f>
        <v>8</v>
      </c>
      <c r="R127" t="s">
        <v>31</v>
      </c>
      <c r="S127" t="s">
        <v>32</v>
      </c>
      <c r="T127">
        <v>18</v>
      </c>
      <c r="W127">
        <v>13</v>
      </c>
      <c r="X127">
        <v>24.4</v>
      </c>
      <c r="Z127" t="s">
        <v>32</v>
      </c>
      <c r="AB127" t="s">
        <v>121</v>
      </c>
      <c r="AC127" t="s">
        <v>59</v>
      </c>
    </row>
    <row r="128" spans="1:30" x14ac:dyDescent="0.2">
      <c r="A128" s="3">
        <v>42587</v>
      </c>
      <c r="B128" t="s">
        <v>23</v>
      </c>
      <c r="C128">
        <v>113</v>
      </c>
      <c r="D128">
        <v>2</v>
      </c>
      <c r="E128">
        <v>2</v>
      </c>
      <c r="F128" t="s">
        <v>64</v>
      </c>
      <c r="G128" t="s">
        <v>25</v>
      </c>
      <c r="H128" t="s">
        <v>26</v>
      </c>
      <c r="I128" t="s">
        <v>27</v>
      </c>
      <c r="J128" t="s">
        <v>34</v>
      </c>
      <c r="K128" t="s">
        <v>188</v>
      </c>
      <c r="L128" t="s">
        <v>35</v>
      </c>
      <c r="M128">
        <v>0</v>
      </c>
      <c r="N128">
        <v>1</v>
      </c>
      <c r="O128" s="17" t="s">
        <v>1174</v>
      </c>
      <c r="P128" s="17" t="s">
        <v>1175</v>
      </c>
      <c r="Q128">
        <f>33.5-18</f>
        <v>15.5</v>
      </c>
      <c r="R128" t="s">
        <v>63</v>
      </c>
      <c r="T128">
        <v>19</v>
      </c>
      <c r="U128">
        <v>90</v>
      </c>
      <c r="V128">
        <v>16</v>
      </c>
      <c r="W128">
        <v>13</v>
      </c>
      <c r="X128">
        <v>27.4</v>
      </c>
      <c r="Z128" t="s">
        <v>145</v>
      </c>
      <c r="AB128" t="s">
        <v>53</v>
      </c>
      <c r="AC128" t="s">
        <v>254</v>
      </c>
    </row>
    <row r="129" spans="1:30" x14ac:dyDescent="0.2">
      <c r="A129" s="3">
        <v>42589</v>
      </c>
      <c r="B129" t="s">
        <v>23</v>
      </c>
      <c r="C129">
        <v>113</v>
      </c>
      <c r="D129">
        <v>3</v>
      </c>
      <c r="E129">
        <v>1</v>
      </c>
      <c r="F129" t="s">
        <v>64</v>
      </c>
      <c r="G129" t="s">
        <v>25</v>
      </c>
      <c r="H129" t="s">
        <v>26</v>
      </c>
      <c r="I129" t="s">
        <v>27</v>
      </c>
      <c r="J129" t="s">
        <v>28</v>
      </c>
      <c r="K129" t="s">
        <v>188</v>
      </c>
      <c r="L129" t="s">
        <v>35</v>
      </c>
      <c r="M129">
        <v>0</v>
      </c>
      <c r="N129">
        <v>0</v>
      </c>
      <c r="O129" s="17" t="s">
        <v>1174</v>
      </c>
      <c r="P129" s="17" t="s">
        <v>1175</v>
      </c>
      <c r="Q129">
        <f>33-15.5</f>
        <v>17.5</v>
      </c>
      <c r="R129" t="s">
        <v>63</v>
      </c>
      <c r="T129">
        <v>20</v>
      </c>
      <c r="U129">
        <v>93</v>
      </c>
      <c r="V129">
        <v>16</v>
      </c>
      <c r="W129">
        <v>13.1</v>
      </c>
      <c r="X129">
        <v>27.5</v>
      </c>
      <c r="Z129" t="s">
        <v>145</v>
      </c>
      <c r="AA129" t="s">
        <v>260</v>
      </c>
      <c r="AB129" t="s">
        <v>121</v>
      </c>
      <c r="AC129" t="s">
        <v>59</v>
      </c>
    </row>
    <row r="130" spans="1:30" x14ac:dyDescent="0.2">
      <c r="A130" s="3">
        <v>42587</v>
      </c>
      <c r="B130" t="s">
        <v>23</v>
      </c>
      <c r="C130">
        <v>113</v>
      </c>
      <c r="D130">
        <v>2</v>
      </c>
      <c r="E130">
        <v>1</v>
      </c>
      <c r="F130" t="s">
        <v>64</v>
      </c>
      <c r="G130" t="s">
        <v>25</v>
      </c>
      <c r="H130" t="s">
        <v>26</v>
      </c>
      <c r="I130" t="s">
        <v>27</v>
      </c>
      <c r="J130" t="s">
        <v>34</v>
      </c>
      <c r="K130" t="s">
        <v>188</v>
      </c>
      <c r="L130" t="s">
        <v>35</v>
      </c>
      <c r="M130">
        <v>0</v>
      </c>
      <c r="N130">
        <v>1</v>
      </c>
      <c r="O130" s="17" t="s">
        <v>1172</v>
      </c>
      <c r="P130" s="17" t="s">
        <v>1173</v>
      </c>
      <c r="Q130">
        <f>31-15.5</f>
        <v>15.5</v>
      </c>
      <c r="R130" t="s">
        <v>39</v>
      </c>
      <c r="T130">
        <v>18</v>
      </c>
      <c r="U130">
        <v>88</v>
      </c>
      <c r="V130">
        <v>16</v>
      </c>
      <c r="W130">
        <v>12.9</v>
      </c>
      <c r="X130">
        <v>27.3</v>
      </c>
      <c r="Z130" t="s">
        <v>32</v>
      </c>
      <c r="AB130" t="s">
        <v>53</v>
      </c>
      <c r="AC130" t="s">
        <v>254</v>
      </c>
    </row>
    <row r="131" spans="1:30" x14ac:dyDescent="0.2">
      <c r="A131" s="3">
        <v>42587</v>
      </c>
      <c r="B131" t="s">
        <v>23</v>
      </c>
      <c r="C131">
        <v>113</v>
      </c>
      <c r="D131">
        <v>6</v>
      </c>
      <c r="E131">
        <v>2</v>
      </c>
      <c r="F131" t="s">
        <v>64</v>
      </c>
      <c r="G131" t="s">
        <v>25</v>
      </c>
      <c r="H131" t="s">
        <v>26</v>
      </c>
      <c r="I131" t="s">
        <v>27</v>
      </c>
      <c r="J131" t="s">
        <v>34</v>
      </c>
      <c r="K131" t="s">
        <v>188</v>
      </c>
      <c r="L131" t="s">
        <v>30</v>
      </c>
      <c r="M131">
        <v>0</v>
      </c>
      <c r="N131">
        <v>1</v>
      </c>
      <c r="O131" s="17" t="s">
        <v>1178</v>
      </c>
      <c r="P131" s="17" t="s">
        <v>1179</v>
      </c>
      <c r="Q131">
        <f>31-14</f>
        <v>17</v>
      </c>
      <c r="R131" t="s">
        <v>83</v>
      </c>
      <c r="S131" t="s">
        <v>145</v>
      </c>
      <c r="T131">
        <v>19</v>
      </c>
      <c r="U131">
        <v>91</v>
      </c>
      <c r="V131">
        <v>17</v>
      </c>
      <c r="W131">
        <v>13.2</v>
      </c>
      <c r="X131">
        <v>27.9</v>
      </c>
      <c r="Z131" t="s">
        <v>32</v>
      </c>
      <c r="AB131" t="s">
        <v>53</v>
      </c>
      <c r="AC131" t="s">
        <v>254</v>
      </c>
    </row>
    <row r="132" spans="1:30" x14ac:dyDescent="0.2">
      <c r="A132" s="3">
        <v>42591</v>
      </c>
      <c r="B132" t="s">
        <v>23</v>
      </c>
      <c r="C132">
        <v>703</v>
      </c>
      <c r="D132">
        <v>7</v>
      </c>
      <c r="E132">
        <v>1</v>
      </c>
      <c r="F132" t="s">
        <v>64</v>
      </c>
      <c r="G132" t="s">
        <v>25</v>
      </c>
      <c r="H132" t="s">
        <v>26</v>
      </c>
      <c r="I132" t="s">
        <v>27</v>
      </c>
      <c r="J132" t="s">
        <v>34</v>
      </c>
      <c r="K132" t="s">
        <v>123</v>
      </c>
      <c r="L132" t="s">
        <v>30</v>
      </c>
      <c r="M132">
        <v>0</v>
      </c>
      <c r="N132">
        <v>1</v>
      </c>
      <c r="O132" s="17" t="s">
        <v>1345</v>
      </c>
      <c r="P132" s="17" t="s">
        <v>1346</v>
      </c>
      <c r="Q132">
        <f>30-13</f>
        <v>17</v>
      </c>
      <c r="R132" t="s">
        <v>31</v>
      </c>
      <c r="S132" t="s">
        <v>32</v>
      </c>
      <c r="T132">
        <v>20</v>
      </c>
      <c r="U132">
        <v>85</v>
      </c>
      <c r="V132">
        <v>16</v>
      </c>
      <c r="W132">
        <v>13.2</v>
      </c>
      <c r="X132">
        <v>28.2</v>
      </c>
      <c r="Z132" t="s">
        <v>32</v>
      </c>
      <c r="AB132" t="s">
        <v>44</v>
      </c>
      <c r="AC132" t="s">
        <v>59</v>
      </c>
    </row>
    <row r="133" spans="1:30" x14ac:dyDescent="0.2">
      <c r="A133" s="3">
        <v>42592</v>
      </c>
      <c r="B133" t="s">
        <v>23</v>
      </c>
      <c r="C133">
        <v>703</v>
      </c>
      <c r="D133">
        <v>6</v>
      </c>
      <c r="E133">
        <v>1</v>
      </c>
      <c r="F133" t="s">
        <v>64</v>
      </c>
      <c r="G133" t="s">
        <v>25</v>
      </c>
      <c r="H133" t="s">
        <v>26</v>
      </c>
      <c r="I133" t="s">
        <v>27</v>
      </c>
      <c r="J133" t="s">
        <v>28</v>
      </c>
      <c r="K133" t="s">
        <v>123</v>
      </c>
      <c r="L133" t="s">
        <v>30</v>
      </c>
      <c r="M133">
        <v>0</v>
      </c>
      <c r="N133">
        <v>0</v>
      </c>
      <c r="O133" s="17" t="s">
        <v>1345</v>
      </c>
      <c r="P133" s="17" t="s">
        <v>1346</v>
      </c>
      <c r="Q133">
        <f>32-17</f>
        <v>15</v>
      </c>
      <c r="R133" t="s">
        <v>31</v>
      </c>
      <c r="S133" t="s">
        <v>32</v>
      </c>
      <c r="T133">
        <v>18</v>
      </c>
      <c r="U133">
        <v>82</v>
      </c>
      <c r="V133">
        <v>18</v>
      </c>
      <c r="W133">
        <v>13</v>
      </c>
      <c r="X133">
        <v>27.5</v>
      </c>
      <c r="Z133" t="s">
        <v>32</v>
      </c>
      <c r="AB133" t="s">
        <v>53</v>
      </c>
      <c r="AC133" t="s">
        <v>59</v>
      </c>
    </row>
    <row r="134" spans="1:30" x14ac:dyDescent="0.2">
      <c r="A134" s="3">
        <v>42593</v>
      </c>
      <c r="B134" t="s">
        <v>23</v>
      </c>
      <c r="C134">
        <v>703</v>
      </c>
      <c r="D134">
        <v>6</v>
      </c>
      <c r="E134">
        <v>2</v>
      </c>
      <c r="F134" t="s">
        <v>64</v>
      </c>
      <c r="G134" t="s">
        <v>25</v>
      </c>
      <c r="H134" t="s">
        <v>26</v>
      </c>
      <c r="I134" t="s">
        <v>27</v>
      </c>
      <c r="J134" t="s">
        <v>28</v>
      </c>
      <c r="K134" t="s">
        <v>123</v>
      </c>
      <c r="L134" t="s">
        <v>30</v>
      </c>
      <c r="M134">
        <v>0</v>
      </c>
      <c r="N134">
        <v>0</v>
      </c>
      <c r="O134" s="17" t="s">
        <v>1345</v>
      </c>
      <c r="P134" s="17" t="s">
        <v>1346</v>
      </c>
      <c r="Q134">
        <f>32-17</f>
        <v>15</v>
      </c>
      <c r="R134" t="s">
        <v>31</v>
      </c>
      <c r="S134" t="s">
        <v>32</v>
      </c>
      <c r="T134">
        <v>20</v>
      </c>
      <c r="U134">
        <v>85</v>
      </c>
      <c r="V134">
        <v>17</v>
      </c>
      <c r="W134">
        <v>12.7</v>
      </c>
      <c r="X134">
        <v>26.6</v>
      </c>
      <c r="Z134" t="s">
        <v>32</v>
      </c>
      <c r="AB134" t="s">
        <v>44</v>
      </c>
      <c r="AC134" t="s">
        <v>122</v>
      </c>
    </row>
    <row r="135" spans="1:30" x14ac:dyDescent="0.2">
      <c r="A135" s="3">
        <v>42605</v>
      </c>
      <c r="B135" t="s">
        <v>23</v>
      </c>
      <c r="C135">
        <v>703</v>
      </c>
      <c r="D135">
        <v>8</v>
      </c>
      <c r="E135">
        <v>1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188</v>
      </c>
      <c r="L135" t="s">
        <v>30</v>
      </c>
      <c r="M135">
        <v>0</v>
      </c>
      <c r="N135">
        <v>0</v>
      </c>
      <c r="O135" s="17" t="s">
        <v>1345</v>
      </c>
      <c r="P135" s="17" t="s">
        <v>1346</v>
      </c>
      <c r="Q135">
        <f>27.5-13</f>
        <v>14.5</v>
      </c>
      <c r="R135" t="s">
        <v>31</v>
      </c>
      <c r="S135" t="s">
        <v>32</v>
      </c>
      <c r="T135">
        <v>20.5</v>
      </c>
      <c r="U135">
        <v>84</v>
      </c>
      <c r="V135">
        <v>17.5</v>
      </c>
      <c r="W135">
        <v>12.6</v>
      </c>
      <c r="X135">
        <v>27</v>
      </c>
      <c r="Z135" t="s">
        <v>145</v>
      </c>
      <c r="AB135" t="s">
        <v>44</v>
      </c>
      <c r="AC135" t="s">
        <v>59</v>
      </c>
    </row>
    <row r="136" spans="1:30" x14ac:dyDescent="0.2">
      <c r="A136" s="3">
        <v>42591</v>
      </c>
      <c r="B136" t="s">
        <v>23</v>
      </c>
      <c r="C136">
        <v>701</v>
      </c>
      <c r="D136">
        <v>6</v>
      </c>
      <c r="E136">
        <v>1</v>
      </c>
      <c r="F136" t="s">
        <v>64</v>
      </c>
      <c r="G136" t="s">
        <v>25</v>
      </c>
      <c r="H136" t="s">
        <v>26</v>
      </c>
      <c r="I136" t="s">
        <v>27</v>
      </c>
      <c r="J136" t="s">
        <v>34</v>
      </c>
      <c r="K136" t="s">
        <v>188</v>
      </c>
      <c r="L136" t="s">
        <v>35</v>
      </c>
      <c r="M136">
        <v>0</v>
      </c>
      <c r="N136">
        <v>1</v>
      </c>
      <c r="O136" s="17" t="s">
        <v>1369</v>
      </c>
      <c r="P136" s="17" t="s">
        <v>1370</v>
      </c>
      <c r="Q136">
        <f>36-15</f>
        <v>21</v>
      </c>
      <c r="R136" t="s">
        <v>63</v>
      </c>
      <c r="T136">
        <v>19</v>
      </c>
      <c r="U136">
        <v>87</v>
      </c>
      <c r="V136">
        <v>16</v>
      </c>
      <c r="W136">
        <v>13</v>
      </c>
      <c r="X136">
        <v>28.7</v>
      </c>
      <c r="Z136" t="s">
        <v>145</v>
      </c>
      <c r="AB136" t="s">
        <v>44</v>
      </c>
      <c r="AC136" t="s">
        <v>59</v>
      </c>
    </row>
    <row r="137" spans="1:30" x14ac:dyDescent="0.2">
      <c r="A137" s="3">
        <v>42592</v>
      </c>
      <c r="B137" t="s">
        <v>23</v>
      </c>
      <c r="C137">
        <v>701</v>
      </c>
      <c r="D137">
        <v>6</v>
      </c>
      <c r="E137">
        <v>1</v>
      </c>
      <c r="F137" t="s">
        <v>64</v>
      </c>
      <c r="G137" t="s">
        <v>25</v>
      </c>
      <c r="H137" t="s">
        <v>26</v>
      </c>
      <c r="I137" t="s">
        <v>27</v>
      </c>
      <c r="J137" t="s">
        <v>28</v>
      </c>
      <c r="K137" t="s">
        <v>188</v>
      </c>
      <c r="L137" t="s">
        <v>35</v>
      </c>
      <c r="M137">
        <v>0</v>
      </c>
      <c r="N137">
        <v>0</v>
      </c>
      <c r="O137" s="17" t="s">
        <v>1369</v>
      </c>
      <c r="P137" s="17" t="s">
        <v>1370</v>
      </c>
      <c r="Q137">
        <f>34-15</f>
        <v>19</v>
      </c>
      <c r="R137" t="s">
        <v>63</v>
      </c>
      <c r="T137">
        <v>19</v>
      </c>
      <c r="U137">
        <v>86</v>
      </c>
      <c r="V137">
        <v>16</v>
      </c>
      <c r="W137">
        <v>12.8</v>
      </c>
      <c r="X137">
        <v>27.7</v>
      </c>
      <c r="Z137" t="s">
        <v>145</v>
      </c>
      <c r="AA137" t="s">
        <v>260</v>
      </c>
      <c r="AB137" t="s">
        <v>53</v>
      </c>
      <c r="AC137" t="s">
        <v>59</v>
      </c>
      <c r="AD137" t="s">
        <v>1424</v>
      </c>
    </row>
    <row r="138" spans="1:30" x14ac:dyDescent="0.2">
      <c r="A138" s="3">
        <v>42593</v>
      </c>
      <c r="B138" t="s">
        <v>23</v>
      </c>
      <c r="C138">
        <v>701</v>
      </c>
      <c r="D138">
        <v>4</v>
      </c>
      <c r="E138">
        <v>1</v>
      </c>
      <c r="F138" t="s">
        <v>64</v>
      </c>
      <c r="G138" t="s">
        <v>25</v>
      </c>
      <c r="H138" t="s">
        <v>26</v>
      </c>
      <c r="I138" t="s">
        <v>27</v>
      </c>
      <c r="J138" t="s">
        <v>28</v>
      </c>
      <c r="K138" t="s">
        <v>188</v>
      </c>
      <c r="L138" t="s">
        <v>35</v>
      </c>
      <c r="M138">
        <v>0</v>
      </c>
      <c r="N138">
        <v>0</v>
      </c>
      <c r="O138" s="17" t="s">
        <v>1369</v>
      </c>
      <c r="P138" s="17" t="s">
        <v>1370</v>
      </c>
      <c r="Q138">
        <f>35-19</f>
        <v>16</v>
      </c>
      <c r="R138" t="s">
        <v>63</v>
      </c>
      <c r="T138">
        <v>19.5</v>
      </c>
      <c r="U138">
        <v>86</v>
      </c>
      <c r="V138">
        <v>17</v>
      </c>
      <c r="W138">
        <v>12.7</v>
      </c>
      <c r="X138">
        <v>27.9</v>
      </c>
      <c r="Z138" t="s">
        <v>145</v>
      </c>
      <c r="AA138" t="s">
        <v>260</v>
      </c>
      <c r="AB138" t="s">
        <v>44</v>
      </c>
      <c r="AC138" t="s">
        <v>122</v>
      </c>
      <c r="AD138" t="s">
        <v>1484</v>
      </c>
    </row>
    <row r="139" spans="1:30" x14ac:dyDescent="0.2">
      <c r="A139" s="3">
        <v>42604</v>
      </c>
      <c r="B139" t="s">
        <v>23</v>
      </c>
      <c r="C139">
        <v>701</v>
      </c>
      <c r="D139">
        <v>9</v>
      </c>
      <c r="E139">
        <v>2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 t="s">
        <v>188</v>
      </c>
      <c r="L139" t="s">
        <v>35</v>
      </c>
      <c r="M139">
        <v>0</v>
      </c>
      <c r="N139">
        <v>0</v>
      </c>
      <c r="O139" s="17" t="s">
        <v>1369</v>
      </c>
      <c r="P139" s="17" t="s">
        <v>1370</v>
      </c>
      <c r="Q139">
        <f>34-16</f>
        <v>18</v>
      </c>
      <c r="R139" t="s">
        <v>63</v>
      </c>
      <c r="T139">
        <v>19</v>
      </c>
      <c r="U139">
        <v>85</v>
      </c>
      <c r="V139">
        <v>15.5</v>
      </c>
      <c r="W139">
        <v>13.1</v>
      </c>
      <c r="X139">
        <v>26.6</v>
      </c>
      <c r="Z139" t="s">
        <v>145</v>
      </c>
      <c r="AB139" t="s">
        <v>582</v>
      </c>
      <c r="AC139" t="s">
        <v>116</v>
      </c>
    </row>
    <row r="140" spans="1:30" x14ac:dyDescent="0.2">
      <c r="A140" s="3">
        <v>42605</v>
      </c>
      <c r="B140" t="s">
        <v>23</v>
      </c>
      <c r="C140">
        <v>701</v>
      </c>
      <c r="D140">
        <v>10</v>
      </c>
      <c r="E140">
        <v>2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 t="s">
        <v>188</v>
      </c>
      <c r="L140" t="s">
        <v>35</v>
      </c>
      <c r="M140">
        <v>0</v>
      </c>
      <c r="N140">
        <v>0</v>
      </c>
      <c r="O140" s="17" t="s">
        <v>1369</v>
      </c>
      <c r="P140" s="17" t="s">
        <v>1370</v>
      </c>
      <c r="Q140">
        <f>32-14</f>
        <v>18</v>
      </c>
      <c r="R140" t="s">
        <v>63</v>
      </c>
      <c r="T140">
        <v>19</v>
      </c>
      <c r="U140">
        <v>87</v>
      </c>
      <c r="V140">
        <v>17</v>
      </c>
      <c r="W140">
        <v>13</v>
      </c>
      <c r="X140">
        <v>26.8</v>
      </c>
      <c r="Y140" t="s">
        <v>1907</v>
      </c>
      <c r="Z140" t="s">
        <v>145</v>
      </c>
      <c r="AB140" t="s">
        <v>44</v>
      </c>
      <c r="AC140" t="s">
        <v>59</v>
      </c>
    </row>
    <row r="141" spans="1:30" x14ac:dyDescent="0.2">
      <c r="A141" s="3">
        <v>42606</v>
      </c>
      <c r="B141" t="s">
        <v>23</v>
      </c>
      <c r="C141">
        <v>701</v>
      </c>
      <c r="D141">
        <v>9</v>
      </c>
      <c r="E141">
        <v>2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188</v>
      </c>
      <c r="L141" t="s">
        <v>35</v>
      </c>
      <c r="M141">
        <v>0</v>
      </c>
      <c r="N141">
        <v>0</v>
      </c>
      <c r="O141" s="17" t="s">
        <v>1369</v>
      </c>
      <c r="P141" s="17" t="s">
        <v>1370</v>
      </c>
      <c r="Q141">
        <f>30.5-13</f>
        <v>17.5</v>
      </c>
      <c r="R141" t="s">
        <v>63</v>
      </c>
      <c r="T141">
        <v>20</v>
      </c>
      <c r="U141">
        <v>83</v>
      </c>
      <c r="V141">
        <v>15.5</v>
      </c>
      <c r="W141">
        <v>13</v>
      </c>
      <c r="X141">
        <v>27.1</v>
      </c>
      <c r="Z141" t="s">
        <v>145</v>
      </c>
      <c r="AB141" t="s">
        <v>44</v>
      </c>
      <c r="AC141" t="s">
        <v>59</v>
      </c>
    </row>
    <row r="142" spans="1:30" x14ac:dyDescent="0.2">
      <c r="A142" s="3">
        <v>42591</v>
      </c>
      <c r="B142" t="s">
        <v>23</v>
      </c>
      <c r="C142">
        <v>803</v>
      </c>
      <c r="D142">
        <v>2</v>
      </c>
      <c r="E142">
        <v>1</v>
      </c>
      <c r="F142" t="s">
        <v>64</v>
      </c>
      <c r="G142" t="s">
        <v>25</v>
      </c>
      <c r="H142" t="s">
        <v>26</v>
      </c>
      <c r="I142" t="s">
        <v>27</v>
      </c>
      <c r="J142" t="s">
        <v>34</v>
      </c>
      <c r="K142" t="s">
        <v>123</v>
      </c>
      <c r="L142" t="s">
        <v>30</v>
      </c>
      <c r="M142">
        <v>0</v>
      </c>
      <c r="N142">
        <v>1</v>
      </c>
      <c r="O142" s="17" t="s">
        <v>1384</v>
      </c>
      <c r="P142" s="17" t="s">
        <v>1385</v>
      </c>
      <c r="Q142">
        <f>28-15</f>
        <v>13</v>
      </c>
      <c r="R142" t="s">
        <v>31</v>
      </c>
      <c r="S142" t="s">
        <v>32</v>
      </c>
      <c r="T142">
        <v>19</v>
      </c>
      <c r="U142">
        <v>77</v>
      </c>
      <c r="V142">
        <v>13</v>
      </c>
      <c r="W142">
        <v>12.5</v>
      </c>
      <c r="X142">
        <v>26.8</v>
      </c>
      <c r="Z142" t="s">
        <v>145</v>
      </c>
      <c r="AA142" t="s">
        <v>260</v>
      </c>
      <c r="AB142" t="s">
        <v>44</v>
      </c>
      <c r="AC142" t="s">
        <v>59</v>
      </c>
    </row>
    <row r="143" spans="1:30" x14ac:dyDescent="0.2">
      <c r="A143" s="3">
        <v>42592</v>
      </c>
      <c r="B143" t="s">
        <v>23</v>
      </c>
      <c r="C143">
        <v>803</v>
      </c>
      <c r="D143">
        <v>3</v>
      </c>
      <c r="E143">
        <v>1</v>
      </c>
      <c r="F143" t="s">
        <v>64</v>
      </c>
      <c r="G143" t="s">
        <v>25</v>
      </c>
      <c r="H143" t="s">
        <v>26</v>
      </c>
      <c r="I143" t="s">
        <v>27</v>
      </c>
      <c r="J143" t="s">
        <v>28</v>
      </c>
      <c r="K143" t="s">
        <v>123</v>
      </c>
      <c r="L143" t="s">
        <v>30</v>
      </c>
      <c r="M143">
        <v>0</v>
      </c>
      <c r="N143">
        <v>0</v>
      </c>
      <c r="O143" s="17" t="s">
        <v>1384</v>
      </c>
      <c r="P143" s="17" t="s">
        <v>1385</v>
      </c>
      <c r="Q143">
        <f>28-16</f>
        <v>12</v>
      </c>
      <c r="R143" t="s">
        <v>31</v>
      </c>
      <c r="S143" t="s">
        <v>32</v>
      </c>
      <c r="Z143" t="s">
        <v>145</v>
      </c>
      <c r="AA143" t="s">
        <v>260</v>
      </c>
      <c r="AB143" t="s">
        <v>53</v>
      </c>
      <c r="AC143" t="s">
        <v>59</v>
      </c>
      <c r="AD143" t="s">
        <v>1470</v>
      </c>
    </row>
    <row r="144" spans="1:30" x14ac:dyDescent="0.2">
      <c r="A144" s="3">
        <v>42593</v>
      </c>
      <c r="B144" t="s">
        <v>23</v>
      </c>
      <c r="C144">
        <v>803</v>
      </c>
      <c r="D144">
        <v>3</v>
      </c>
      <c r="E144">
        <v>1</v>
      </c>
      <c r="F144" t="s">
        <v>64</v>
      </c>
      <c r="G144" t="s">
        <v>25</v>
      </c>
      <c r="H144" t="s">
        <v>26</v>
      </c>
      <c r="I144" t="s">
        <v>27</v>
      </c>
      <c r="J144" t="s">
        <v>28</v>
      </c>
      <c r="K144" t="s">
        <v>123</v>
      </c>
      <c r="L144" t="s">
        <v>30</v>
      </c>
      <c r="M144">
        <v>0</v>
      </c>
      <c r="N144">
        <v>0</v>
      </c>
      <c r="O144" s="17" t="s">
        <v>1384</v>
      </c>
      <c r="P144" s="17" t="s">
        <v>1385</v>
      </c>
      <c r="Q144">
        <f>27-14</f>
        <v>13</v>
      </c>
      <c r="R144" t="s">
        <v>31</v>
      </c>
      <c r="S144" t="s">
        <v>32</v>
      </c>
      <c r="Z144" t="s">
        <v>145</v>
      </c>
      <c r="AB144" t="s">
        <v>44</v>
      </c>
      <c r="AC144" t="s">
        <v>122</v>
      </c>
      <c r="AD144" t="s">
        <v>1527</v>
      </c>
    </row>
    <row r="145" spans="1:30" x14ac:dyDescent="0.2">
      <c r="A145" s="3">
        <v>42592</v>
      </c>
      <c r="B145" t="s">
        <v>23</v>
      </c>
      <c r="C145">
        <v>703</v>
      </c>
      <c r="D145">
        <v>6</v>
      </c>
      <c r="E145">
        <v>2</v>
      </c>
      <c r="F145" t="s">
        <v>64</v>
      </c>
      <c r="G145" t="s">
        <v>25</v>
      </c>
      <c r="H145" t="s">
        <v>26</v>
      </c>
      <c r="I145" t="s">
        <v>27</v>
      </c>
      <c r="J145" t="s">
        <v>34</v>
      </c>
      <c r="K145" t="s">
        <v>123</v>
      </c>
      <c r="L145" t="s">
        <v>30</v>
      </c>
      <c r="M145">
        <v>0</v>
      </c>
      <c r="N145">
        <v>1</v>
      </c>
      <c r="O145" s="17" t="s">
        <v>1394</v>
      </c>
      <c r="P145" s="17" t="s">
        <v>1395</v>
      </c>
      <c r="Q145">
        <f>32-17</f>
        <v>15</v>
      </c>
      <c r="R145" t="s">
        <v>31</v>
      </c>
      <c r="S145" t="s">
        <v>32</v>
      </c>
      <c r="T145">
        <v>19</v>
      </c>
      <c r="U145">
        <v>82</v>
      </c>
      <c r="V145">
        <v>16</v>
      </c>
      <c r="W145">
        <v>12.8</v>
      </c>
      <c r="X145">
        <v>27.6</v>
      </c>
      <c r="Z145" t="s">
        <v>32</v>
      </c>
      <c r="AB145" t="s">
        <v>53</v>
      </c>
      <c r="AC145" t="s">
        <v>59</v>
      </c>
    </row>
    <row r="146" spans="1:30" x14ac:dyDescent="0.2">
      <c r="A146" s="3">
        <v>42592</v>
      </c>
      <c r="B146" t="s">
        <v>23</v>
      </c>
      <c r="C146">
        <v>701</v>
      </c>
      <c r="D146">
        <v>5</v>
      </c>
      <c r="E146">
        <v>1</v>
      </c>
      <c r="F146" t="s">
        <v>64</v>
      </c>
      <c r="G146" t="s">
        <v>25</v>
      </c>
      <c r="H146" t="s">
        <v>26</v>
      </c>
      <c r="I146" t="s">
        <v>27</v>
      </c>
      <c r="J146" t="s">
        <v>34</v>
      </c>
      <c r="K146" t="s">
        <v>188</v>
      </c>
      <c r="L146" t="s">
        <v>35</v>
      </c>
      <c r="M146">
        <v>0</v>
      </c>
      <c r="N146">
        <v>1</v>
      </c>
      <c r="O146" s="17" t="s">
        <v>1418</v>
      </c>
      <c r="P146" s="17" t="s">
        <v>1419</v>
      </c>
      <c r="Q146">
        <f>29-13</f>
        <v>16</v>
      </c>
      <c r="R146" t="s">
        <v>63</v>
      </c>
      <c r="T146">
        <v>18</v>
      </c>
      <c r="U146">
        <v>81</v>
      </c>
      <c r="V146">
        <v>16</v>
      </c>
      <c r="W146">
        <v>12.9</v>
      </c>
      <c r="X146">
        <v>26.2</v>
      </c>
      <c r="Z146" t="s">
        <v>32</v>
      </c>
      <c r="AB146" t="s">
        <v>53</v>
      </c>
      <c r="AC146" t="s">
        <v>59</v>
      </c>
      <c r="AD146" t="s">
        <v>1420</v>
      </c>
    </row>
    <row r="147" spans="1:30" x14ac:dyDescent="0.2">
      <c r="A147" s="3">
        <v>42605</v>
      </c>
      <c r="B147" t="s">
        <v>23</v>
      </c>
      <c r="C147">
        <v>703</v>
      </c>
      <c r="D147">
        <v>1</v>
      </c>
      <c r="E147">
        <v>2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 t="s">
        <v>188</v>
      </c>
      <c r="L147" t="s">
        <v>35</v>
      </c>
      <c r="M147">
        <v>0</v>
      </c>
      <c r="N147">
        <v>0</v>
      </c>
      <c r="O147" s="17" t="s">
        <v>1418</v>
      </c>
      <c r="P147" s="17" t="s">
        <v>1419</v>
      </c>
      <c r="Q147">
        <f>28.5-13</f>
        <v>15.5</v>
      </c>
      <c r="R147" t="s">
        <v>63</v>
      </c>
      <c r="T147">
        <v>20</v>
      </c>
      <c r="U147">
        <v>78</v>
      </c>
      <c r="V147">
        <v>16</v>
      </c>
      <c r="W147">
        <v>13.1</v>
      </c>
      <c r="X147">
        <v>27.1</v>
      </c>
      <c r="AB147" t="s">
        <v>44</v>
      </c>
      <c r="AC147" t="s">
        <v>59</v>
      </c>
    </row>
    <row r="148" spans="1:30" x14ac:dyDescent="0.2">
      <c r="A148" s="3">
        <v>42606</v>
      </c>
      <c r="B148" t="s">
        <v>23</v>
      </c>
      <c r="C148">
        <v>703</v>
      </c>
      <c r="D148">
        <v>1</v>
      </c>
      <c r="E148">
        <v>2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188</v>
      </c>
      <c r="L148" t="s">
        <v>35</v>
      </c>
      <c r="M148">
        <v>0</v>
      </c>
      <c r="N148">
        <v>0</v>
      </c>
      <c r="O148" s="17" t="s">
        <v>1418</v>
      </c>
      <c r="P148" s="17" t="s">
        <v>1419</v>
      </c>
      <c r="Q148">
        <f>29-14</f>
        <v>15</v>
      </c>
      <c r="R148" t="s">
        <v>63</v>
      </c>
      <c r="T148">
        <v>19</v>
      </c>
      <c r="U148">
        <v>76</v>
      </c>
      <c r="V148">
        <v>16</v>
      </c>
      <c r="W148">
        <v>12.9</v>
      </c>
      <c r="X148">
        <v>25</v>
      </c>
      <c r="AB148" t="s">
        <v>44</v>
      </c>
      <c r="AC148" t="s">
        <v>59</v>
      </c>
      <c r="AD148" t="s">
        <v>1925</v>
      </c>
    </row>
    <row r="149" spans="1:30" x14ac:dyDescent="0.2">
      <c r="A149" s="3">
        <v>42592</v>
      </c>
      <c r="B149" t="s">
        <v>23</v>
      </c>
      <c r="C149">
        <v>701</v>
      </c>
      <c r="D149">
        <v>10</v>
      </c>
      <c r="E149">
        <v>1</v>
      </c>
      <c r="F149" t="s">
        <v>64</v>
      </c>
      <c r="G149" t="s">
        <v>25</v>
      </c>
      <c r="H149" t="s">
        <v>26</v>
      </c>
      <c r="I149" t="s">
        <v>27</v>
      </c>
      <c r="J149" t="s">
        <v>34</v>
      </c>
      <c r="K149" t="s">
        <v>123</v>
      </c>
      <c r="L149" t="s">
        <v>35</v>
      </c>
      <c r="M149">
        <v>0</v>
      </c>
      <c r="N149">
        <v>1</v>
      </c>
      <c r="O149" s="17" t="s">
        <v>1425</v>
      </c>
      <c r="P149" s="17" t="s">
        <v>1426</v>
      </c>
      <c r="Q149">
        <f>27-14</f>
        <v>13</v>
      </c>
      <c r="R149" t="s">
        <v>63</v>
      </c>
      <c r="T149">
        <v>21</v>
      </c>
      <c r="U149">
        <v>87</v>
      </c>
      <c r="V149">
        <v>16</v>
      </c>
      <c r="W149">
        <v>12.7</v>
      </c>
      <c r="X149">
        <v>26.6</v>
      </c>
      <c r="Z149" t="s">
        <v>32</v>
      </c>
      <c r="AB149" t="s">
        <v>53</v>
      </c>
      <c r="AC149" t="s">
        <v>59</v>
      </c>
    </row>
    <row r="150" spans="1:30" x14ac:dyDescent="0.2">
      <c r="A150" s="3">
        <v>42604</v>
      </c>
      <c r="B150" t="s">
        <v>23</v>
      </c>
      <c r="C150">
        <v>701</v>
      </c>
      <c r="D150">
        <v>6</v>
      </c>
      <c r="E150">
        <v>2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188</v>
      </c>
      <c r="L150" t="s">
        <v>35</v>
      </c>
      <c r="M150">
        <v>0</v>
      </c>
      <c r="N150">
        <v>0</v>
      </c>
      <c r="O150" s="17" t="s">
        <v>1425</v>
      </c>
      <c r="P150" s="17" t="s">
        <v>1426</v>
      </c>
      <c r="Q150">
        <f>30.5-15</f>
        <v>15.5</v>
      </c>
      <c r="R150" t="s">
        <v>63</v>
      </c>
      <c r="T150">
        <v>19</v>
      </c>
      <c r="U150">
        <v>85</v>
      </c>
      <c r="V150">
        <v>16</v>
      </c>
      <c r="W150">
        <v>12.6</v>
      </c>
      <c r="X150">
        <v>25.3</v>
      </c>
      <c r="Y150" t="s">
        <v>1874</v>
      </c>
      <c r="Z150" t="s">
        <v>145</v>
      </c>
      <c r="AB150" t="s">
        <v>582</v>
      </c>
      <c r="AC150" t="s">
        <v>116</v>
      </c>
    </row>
    <row r="151" spans="1:30" x14ac:dyDescent="0.2">
      <c r="A151" s="3">
        <v>42605</v>
      </c>
      <c r="B151" t="s">
        <v>23</v>
      </c>
      <c r="C151">
        <v>701</v>
      </c>
      <c r="D151">
        <v>6</v>
      </c>
      <c r="E151">
        <v>2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188</v>
      </c>
      <c r="L151" t="s">
        <v>35</v>
      </c>
      <c r="M151">
        <v>0</v>
      </c>
      <c r="N151">
        <v>0</v>
      </c>
      <c r="O151" s="17" t="s">
        <v>1425</v>
      </c>
      <c r="P151" s="17" t="s">
        <v>1426</v>
      </c>
      <c r="Q151">
        <f>27.5-13.5</f>
        <v>14</v>
      </c>
      <c r="R151" t="s">
        <v>63</v>
      </c>
      <c r="T151">
        <v>19</v>
      </c>
      <c r="U151">
        <v>82</v>
      </c>
      <c r="V151">
        <v>18</v>
      </c>
      <c r="W151">
        <v>12.7</v>
      </c>
      <c r="X151">
        <v>24.9</v>
      </c>
      <c r="Y151" t="s">
        <v>1906</v>
      </c>
      <c r="Z151" t="s">
        <v>145</v>
      </c>
      <c r="AB151" t="s">
        <v>44</v>
      </c>
      <c r="AC151" t="s">
        <v>59</v>
      </c>
    </row>
    <row r="152" spans="1:30" x14ac:dyDescent="0.2">
      <c r="A152" s="3">
        <v>42606</v>
      </c>
      <c r="B152" t="s">
        <v>23</v>
      </c>
      <c r="C152">
        <v>701</v>
      </c>
      <c r="D152">
        <v>7</v>
      </c>
      <c r="E152">
        <v>2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188</v>
      </c>
      <c r="L152" t="s">
        <v>35</v>
      </c>
      <c r="M152">
        <v>0</v>
      </c>
      <c r="N152">
        <v>0</v>
      </c>
      <c r="O152" s="17" t="s">
        <v>1425</v>
      </c>
      <c r="P152" s="17" t="s">
        <v>1426</v>
      </c>
      <c r="Q152">
        <f>27-13</f>
        <v>14</v>
      </c>
      <c r="R152" t="s">
        <v>63</v>
      </c>
      <c r="T152">
        <v>19.5</v>
      </c>
      <c r="U152">
        <v>88</v>
      </c>
      <c r="V152">
        <v>16</v>
      </c>
      <c r="W152">
        <v>12.7</v>
      </c>
      <c r="X152">
        <v>25.5</v>
      </c>
      <c r="Z152" t="s">
        <v>145</v>
      </c>
      <c r="AB152" t="s">
        <v>44</v>
      </c>
      <c r="AC152" t="s">
        <v>59</v>
      </c>
    </row>
    <row r="153" spans="1:30" x14ac:dyDescent="0.2">
      <c r="A153" s="3">
        <v>42592</v>
      </c>
      <c r="B153" t="s">
        <v>23</v>
      </c>
      <c r="C153">
        <v>803</v>
      </c>
      <c r="D153">
        <v>10</v>
      </c>
      <c r="E153">
        <v>1</v>
      </c>
      <c r="F153" t="s">
        <v>64</v>
      </c>
      <c r="G153" t="s">
        <v>25</v>
      </c>
      <c r="H153" t="s">
        <v>26</v>
      </c>
      <c r="I153" t="s">
        <v>27</v>
      </c>
      <c r="J153" t="s">
        <v>34</v>
      </c>
      <c r="K153" t="s">
        <v>123</v>
      </c>
      <c r="L153" t="s">
        <v>35</v>
      </c>
      <c r="M153">
        <v>0</v>
      </c>
      <c r="N153">
        <v>1</v>
      </c>
      <c r="O153" s="17" t="s">
        <v>1455</v>
      </c>
      <c r="P153" s="17" t="s">
        <v>1456</v>
      </c>
      <c r="Q153">
        <f>24-14</f>
        <v>10</v>
      </c>
      <c r="R153" t="s">
        <v>63</v>
      </c>
      <c r="T153">
        <v>18</v>
      </c>
      <c r="U153">
        <v>100</v>
      </c>
      <c r="V153">
        <v>14</v>
      </c>
      <c r="W153">
        <v>12.5</v>
      </c>
      <c r="X153">
        <v>24.1</v>
      </c>
      <c r="Z153" t="s">
        <v>145</v>
      </c>
      <c r="AA153" t="s">
        <v>260</v>
      </c>
      <c r="AB153" t="s">
        <v>53</v>
      </c>
      <c r="AC153" t="s">
        <v>59</v>
      </c>
    </row>
    <row r="154" spans="1:30" x14ac:dyDescent="0.2">
      <c r="A154" s="3">
        <v>42592</v>
      </c>
      <c r="B154" t="s">
        <v>23</v>
      </c>
      <c r="C154">
        <v>803</v>
      </c>
      <c r="D154">
        <v>9</v>
      </c>
      <c r="E154">
        <v>1</v>
      </c>
      <c r="F154" t="s">
        <v>64</v>
      </c>
      <c r="G154" t="s">
        <v>25</v>
      </c>
      <c r="H154" t="s">
        <v>26</v>
      </c>
      <c r="I154" t="s">
        <v>27</v>
      </c>
      <c r="J154" t="s">
        <v>34</v>
      </c>
      <c r="K154" t="s">
        <v>188</v>
      </c>
      <c r="L154" t="s">
        <v>35</v>
      </c>
      <c r="M154">
        <v>0</v>
      </c>
      <c r="N154">
        <v>1</v>
      </c>
      <c r="O154" s="17" t="s">
        <v>1457</v>
      </c>
      <c r="P154" s="17" t="s">
        <v>1458</v>
      </c>
      <c r="Q154">
        <f>35-18</f>
        <v>17</v>
      </c>
      <c r="R154" t="s">
        <v>63</v>
      </c>
      <c r="T154">
        <v>18.5</v>
      </c>
      <c r="U154">
        <v>84</v>
      </c>
      <c r="V154">
        <v>16</v>
      </c>
      <c r="W154">
        <v>12.5</v>
      </c>
      <c r="X154">
        <v>26.6</v>
      </c>
      <c r="Z154" t="s">
        <v>32</v>
      </c>
      <c r="AB154" t="s">
        <v>53</v>
      </c>
      <c r="AC154" t="s">
        <v>59</v>
      </c>
      <c r="AD154" t="s">
        <v>1459</v>
      </c>
    </row>
    <row r="155" spans="1:30" x14ac:dyDescent="0.2">
      <c r="A155" s="3">
        <v>42593</v>
      </c>
      <c r="B155" t="s">
        <v>23</v>
      </c>
      <c r="C155">
        <v>803</v>
      </c>
      <c r="D155">
        <v>6</v>
      </c>
      <c r="E155">
        <v>1</v>
      </c>
      <c r="F155" t="s">
        <v>64</v>
      </c>
      <c r="G155" t="s">
        <v>25</v>
      </c>
      <c r="H155" t="s">
        <v>26</v>
      </c>
      <c r="I155" t="s">
        <v>27</v>
      </c>
      <c r="J155" t="s">
        <v>28</v>
      </c>
      <c r="K155" t="s">
        <v>123</v>
      </c>
      <c r="L155" t="s">
        <v>35</v>
      </c>
      <c r="M155">
        <v>0</v>
      </c>
      <c r="N155">
        <v>0</v>
      </c>
      <c r="O155" s="17" t="s">
        <v>1457</v>
      </c>
      <c r="P155" s="17" t="s">
        <v>1458</v>
      </c>
      <c r="Q155">
        <f>29-16</f>
        <v>13</v>
      </c>
      <c r="R155" t="s">
        <v>63</v>
      </c>
      <c r="Z155" t="s">
        <v>32</v>
      </c>
      <c r="AB155" t="s">
        <v>44</v>
      </c>
      <c r="AC155" t="s">
        <v>122</v>
      </c>
      <c r="AD155" t="s">
        <v>1527</v>
      </c>
    </row>
    <row r="156" spans="1:30" x14ac:dyDescent="0.2">
      <c r="A156" s="3">
        <v>42593</v>
      </c>
      <c r="B156" t="s">
        <v>23</v>
      </c>
      <c r="C156">
        <v>401</v>
      </c>
      <c r="D156">
        <v>5</v>
      </c>
      <c r="E156">
        <v>1</v>
      </c>
      <c r="F156" t="s">
        <v>24</v>
      </c>
      <c r="G156" t="s">
        <v>25</v>
      </c>
      <c r="H156" t="s">
        <v>26</v>
      </c>
      <c r="I156" t="s">
        <v>27</v>
      </c>
      <c r="J156" t="s">
        <v>34</v>
      </c>
      <c r="K156" t="s">
        <v>29</v>
      </c>
      <c r="L156" t="s">
        <v>35</v>
      </c>
      <c r="M156">
        <v>0</v>
      </c>
      <c r="N156">
        <v>1</v>
      </c>
      <c r="O156" s="17" t="s">
        <v>1282</v>
      </c>
      <c r="P156" s="17" t="s">
        <v>1283</v>
      </c>
      <c r="Q156">
        <f>35-16.5</f>
        <v>18.5</v>
      </c>
      <c r="R156" t="s">
        <v>39</v>
      </c>
      <c r="T156">
        <v>18</v>
      </c>
      <c r="U156">
        <v>95</v>
      </c>
      <c r="V156">
        <v>16</v>
      </c>
      <c r="W156">
        <v>13</v>
      </c>
      <c r="X156">
        <v>28.9</v>
      </c>
      <c r="Z156" t="s">
        <v>32</v>
      </c>
      <c r="AB156" t="s">
        <v>44</v>
      </c>
      <c r="AC156" t="s">
        <v>122</v>
      </c>
    </row>
    <row r="157" spans="1:30" x14ac:dyDescent="0.2">
      <c r="A157" s="3">
        <v>42604</v>
      </c>
      <c r="B157" t="s">
        <v>23</v>
      </c>
      <c r="C157">
        <v>401</v>
      </c>
      <c r="D157">
        <v>3</v>
      </c>
      <c r="E157">
        <v>1</v>
      </c>
      <c r="F157" t="s">
        <v>64</v>
      </c>
      <c r="G157" t="s">
        <v>25</v>
      </c>
      <c r="H157" t="s">
        <v>26</v>
      </c>
      <c r="I157" t="s">
        <v>27</v>
      </c>
      <c r="J157" t="s">
        <v>28</v>
      </c>
      <c r="K157" t="s">
        <v>187</v>
      </c>
      <c r="L157" t="s">
        <v>35</v>
      </c>
      <c r="M157">
        <v>0</v>
      </c>
      <c r="N157">
        <v>0</v>
      </c>
      <c r="O157" s="17" t="s">
        <v>1282</v>
      </c>
      <c r="P157" s="17" t="s">
        <v>1283</v>
      </c>
      <c r="Q157">
        <f>32-15</f>
        <v>17</v>
      </c>
      <c r="R157" t="s">
        <v>63</v>
      </c>
      <c r="T157">
        <v>18</v>
      </c>
      <c r="U157">
        <v>95</v>
      </c>
      <c r="V157">
        <v>16</v>
      </c>
      <c r="W157">
        <v>13</v>
      </c>
      <c r="X157">
        <v>26.9</v>
      </c>
      <c r="Z157" t="s">
        <v>145</v>
      </c>
      <c r="AA157" t="s">
        <v>260</v>
      </c>
      <c r="AB157" t="s">
        <v>121</v>
      </c>
      <c r="AC157" t="s">
        <v>59</v>
      </c>
      <c r="AD157" t="s">
        <v>1708</v>
      </c>
    </row>
    <row r="158" spans="1:30" x14ac:dyDescent="0.2">
      <c r="A158" s="3">
        <v>42605</v>
      </c>
      <c r="B158" t="s">
        <v>23</v>
      </c>
      <c r="C158">
        <v>401</v>
      </c>
      <c r="D158">
        <v>5</v>
      </c>
      <c r="E158">
        <v>2</v>
      </c>
      <c r="F158" t="s">
        <v>64</v>
      </c>
      <c r="G158" t="s">
        <v>25</v>
      </c>
      <c r="H158" t="s">
        <v>26</v>
      </c>
      <c r="I158" t="s">
        <v>27</v>
      </c>
      <c r="J158" t="s">
        <v>28</v>
      </c>
      <c r="K158" t="s">
        <v>29</v>
      </c>
      <c r="L158" t="s">
        <v>35</v>
      </c>
      <c r="M158">
        <v>0</v>
      </c>
      <c r="N158">
        <v>0</v>
      </c>
      <c r="O158" s="17" t="s">
        <v>1282</v>
      </c>
      <c r="P158" s="17" t="s">
        <v>1283</v>
      </c>
      <c r="Q158">
        <f>32-14</f>
        <v>18</v>
      </c>
      <c r="R158" t="s">
        <v>63</v>
      </c>
      <c r="T158">
        <v>19</v>
      </c>
      <c r="U158">
        <v>96</v>
      </c>
      <c r="V158">
        <v>17</v>
      </c>
      <c r="W158">
        <v>13</v>
      </c>
      <c r="X158">
        <v>28</v>
      </c>
      <c r="Z158" t="s">
        <v>145</v>
      </c>
      <c r="AA158" t="s">
        <v>260</v>
      </c>
      <c r="AB158" t="s">
        <v>121</v>
      </c>
      <c r="AC158" t="s">
        <v>59</v>
      </c>
    </row>
    <row r="159" spans="1:30" x14ac:dyDescent="0.2">
      <c r="A159" s="3">
        <v>42606</v>
      </c>
      <c r="B159" t="s">
        <v>23</v>
      </c>
      <c r="C159">
        <v>401</v>
      </c>
      <c r="D159">
        <v>4</v>
      </c>
      <c r="E159">
        <v>1</v>
      </c>
      <c r="F159" t="s">
        <v>64</v>
      </c>
      <c r="G159" t="s">
        <v>25</v>
      </c>
      <c r="H159" t="s">
        <v>26</v>
      </c>
      <c r="I159" t="s">
        <v>27</v>
      </c>
      <c r="J159" t="s">
        <v>28</v>
      </c>
      <c r="K159" t="s">
        <v>29</v>
      </c>
      <c r="L159" t="s">
        <v>35</v>
      </c>
      <c r="M159">
        <v>0</v>
      </c>
      <c r="N159">
        <v>0</v>
      </c>
      <c r="O159" s="17" t="s">
        <v>1282</v>
      </c>
      <c r="P159" s="17" t="s">
        <v>1283</v>
      </c>
      <c r="Q159">
        <f>34-17</f>
        <v>17</v>
      </c>
      <c r="R159" t="s">
        <v>63</v>
      </c>
      <c r="T159">
        <v>19.5</v>
      </c>
      <c r="U159">
        <v>95</v>
      </c>
      <c r="V159">
        <v>14.5</v>
      </c>
      <c r="W159">
        <v>13.1</v>
      </c>
      <c r="X159">
        <v>26.4</v>
      </c>
      <c r="Z159" t="s">
        <v>145</v>
      </c>
      <c r="AA159" t="s">
        <v>260</v>
      </c>
      <c r="AB159" t="s">
        <v>53</v>
      </c>
      <c r="AC159" t="s">
        <v>122</v>
      </c>
    </row>
    <row r="160" spans="1:30" x14ac:dyDescent="0.2">
      <c r="A160" s="3">
        <v>42600</v>
      </c>
      <c r="B160" t="s">
        <v>23</v>
      </c>
      <c r="C160">
        <v>111</v>
      </c>
      <c r="D160">
        <v>5</v>
      </c>
      <c r="E160">
        <v>1</v>
      </c>
      <c r="F160" t="s">
        <v>24</v>
      </c>
      <c r="G160" t="s">
        <v>25</v>
      </c>
      <c r="H160" t="s">
        <v>26</v>
      </c>
      <c r="I160" t="s">
        <v>27</v>
      </c>
      <c r="J160" t="s">
        <v>34</v>
      </c>
      <c r="K160" t="s">
        <v>188</v>
      </c>
      <c r="L160" t="s">
        <v>35</v>
      </c>
      <c r="M160">
        <v>0</v>
      </c>
      <c r="N160">
        <v>1</v>
      </c>
      <c r="O160" s="17" t="s">
        <v>1844</v>
      </c>
      <c r="P160" s="17" t="s">
        <v>1845</v>
      </c>
      <c r="Q160">
        <f>29.5-12</f>
        <v>17.5</v>
      </c>
      <c r="R160" t="s">
        <v>63</v>
      </c>
      <c r="T160">
        <v>19</v>
      </c>
      <c r="U160">
        <v>91</v>
      </c>
      <c r="V160">
        <v>16</v>
      </c>
      <c r="W160">
        <v>13.3</v>
      </c>
      <c r="X160">
        <v>27.8</v>
      </c>
      <c r="AB160" t="s">
        <v>121</v>
      </c>
      <c r="AC160" t="s">
        <v>59</v>
      </c>
    </row>
    <row r="161" spans="1:30" x14ac:dyDescent="0.2">
      <c r="A161" s="3">
        <v>42593</v>
      </c>
      <c r="B161" t="s">
        <v>23</v>
      </c>
      <c r="C161">
        <v>303</v>
      </c>
      <c r="D161">
        <v>7</v>
      </c>
      <c r="E161">
        <v>1</v>
      </c>
      <c r="F161" t="s">
        <v>24</v>
      </c>
      <c r="G161" t="s">
        <v>25</v>
      </c>
      <c r="H161" t="s">
        <v>26</v>
      </c>
      <c r="I161" t="s">
        <v>27</v>
      </c>
      <c r="J161" t="s">
        <v>34</v>
      </c>
      <c r="K161" t="s">
        <v>188</v>
      </c>
      <c r="L161" t="s">
        <v>30</v>
      </c>
      <c r="M161">
        <v>0</v>
      </c>
      <c r="N161">
        <v>1</v>
      </c>
      <c r="O161" s="17" t="s">
        <v>1280</v>
      </c>
      <c r="P161" s="17" t="s">
        <v>1279</v>
      </c>
      <c r="Q161">
        <f>29-13</f>
        <v>16</v>
      </c>
      <c r="R161" t="s">
        <v>31</v>
      </c>
      <c r="S161" t="s">
        <v>32</v>
      </c>
      <c r="T161">
        <v>18</v>
      </c>
      <c r="U161">
        <v>85</v>
      </c>
      <c r="V161">
        <v>16</v>
      </c>
      <c r="W161">
        <v>12.7</v>
      </c>
      <c r="X161">
        <v>26.8</v>
      </c>
      <c r="Y161" t="s">
        <v>1281</v>
      </c>
      <c r="Z161" t="s">
        <v>145</v>
      </c>
      <c r="AB161" t="s">
        <v>44</v>
      </c>
      <c r="AC161" t="s">
        <v>122</v>
      </c>
    </row>
    <row r="162" spans="1:30" x14ac:dyDescent="0.2">
      <c r="A162" s="3">
        <v>42606</v>
      </c>
      <c r="B162" t="s">
        <v>23</v>
      </c>
      <c r="C162">
        <v>303</v>
      </c>
      <c r="D162">
        <v>7</v>
      </c>
      <c r="E162" t="s">
        <v>1195</v>
      </c>
      <c r="F162" t="s">
        <v>64</v>
      </c>
      <c r="G162" t="s">
        <v>25</v>
      </c>
      <c r="H162" t="s">
        <v>26</v>
      </c>
      <c r="I162" t="s">
        <v>27</v>
      </c>
      <c r="J162" t="s">
        <v>28</v>
      </c>
      <c r="K162" t="s">
        <v>123</v>
      </c>
      <c r="L162" t="s">
        <v>30</v>
      </c>
      <c r="M162">
        <v>0</v>
      </c>
      <c r="N162">
        <v>0</v>
      </c>
      <c r="O162" s="17" t="s">
        <v>1280</v>
      </c>
      <c r="P162" s="17" t="s">
        <v>1279</v>
      </c>
      <c r="Q162">
        <f>28-14</f>
        <v>14</v>
      </c>
      <c r="R162" t="s">
        <v>31</v>
      </c>
      <c r="S162" t="s">
        <v>32</v>
      </c>
      <c r="T162">
        <v>18</v>
      </c>
      <c r="U162">
        <v>85</v>
      </c>
      <c r="V162">
        <v>16.5</v>
      </c>
      <c r="W162">
        <v>12.8</v>
      </c>
      <c r="X162">
        <v>26</v>
      </c>
      <c r="Z162" t="s">
        <v>145</v>
      </c>
      <c r="AA162" t="s">
        <v>260</v>
      </c>
      <c r="AB162" t="s">
        <v>53</v>
      </c>
      <c r="AC162" t="s">
        <v>122</v>
      </c>
    </row>
    <row r="163" spans="1:30" x14ac:dyDescent="0.2">
      <c r="A163" s="3">
        <v>42593</v>
      </c>
      <c r="B163" t="s">
        <v>23</v>
      </c>
      <c r="C163">
        <v>303</v>
      </c>
      <c r="D163">
        <v>6</v>
      </c>
      <c r="E163">
        <v>2</v>
      </c>
      <c r="F163" t="s">
        <v>24</v>
      </c>
      <c r="G163" t="s">
        <v>25</v>
      </c>
      <c r="H163" t="s">
        <v>26</v>
      </c>
      <c r="I163" t="s">
        <v>27</v>
      </c>
      <c r="J163" t="s">
        <v>34</v>
      </c>
      <c r="K163" t="s">
        <v>188</v>
      </c>
      <c r="L163" t="s">
        <v>35</v>
      </c>
      <c r="M163">
        <v>0</v>
      </c>
      <c r="N163">
        <v>1</v>
      </c>
      <c r="O163" s="17" t="s">
        <v>1278</v>
      </c>
      <c r="P163" s="17" t="s">
        <v>1279</v>
      </c>
      <c r="Q163">
        <f>32-15.5</f>
        <v>16.5</v>
      </c>
      <c r="R163" t="s">
        <v>63</v>
      </c>
      <c r="T163">
        <v>17</v>
      </c>
      <c r="U163">
        <v>85.5</v>
      </c>
      <c r="V163">
        <v>15</v>
      </c>
      <c r="W163">
        <v>13.3</v>
      </c>
      <c r="X163">
        <v>27.6</v>
      </c>
      <c r="Z163" t="s">
        <v>32</v>
      </c>
      <c r="AB163" t="s">
        <v>44</v>
      </c>
      <c r="AC163" t="s">
        <v>122</v>
      </c>
    </row>
    <row r="164" spans="1:30" x14ac:dyDescent="0.2">
      <c r="A164" s="3">
        <v>42593</v>
      </c>
      <c r="B164" t="s">
        <v>23</v>
      </c>
      <c r="C164">
        <v>503</v>
      </c>
      <c r="D164">
        <v>1</v>
      </c>
      <c r="E164">
        <v>2</v>
      </c>
      <c r="F164" t="s">
        <v>24</v>
      </c>
      <c r="G164" t="s">
        <v>25</v>
      </c>
      <c r="H164" t="s">
        <v>26</v>
      </c>
      <c r="I164" t="s">
        <v>27</v>
      </c>
      <c r="J164" t="s">
        <v>34</v>
      </c>
      <c r="K164" t="s">
        <v>123</v>
      </c>
      <c r="L164" t="s">
        <v>35</v>
      </c>
      <c r="M164">
        <v>0</v>
      </c>
      <c r="N164">
        <v>1</v>
      </c>
      <c r="O164" s="17" t="s">
        <v>1267</v>
      </c>
      <c r="P164" s="17" t="s">
        <v>1268</v>
      </c>
      <c r="Q164">
        <f>26.5-12.5</f>
        <v>14</v>
      </c>
      <c r="R164" t="s">
        <v>63</v>
      </c>
      <c r="T164">
        <v>17</v>
      </c>
      <c r="U164">
        <v>83</v>
      </c>
      <c r="V164">
        <v>17</v>
      </c>
      <c r="W164">
        <v>12.2</v>
      </c>
      <c r="X164">
        <v>24.8</v>
      </c>
      <c r="Z164" t="s">
        <v>32</v>
      </c>
      <c r="AB164" t="s">
        <v>44</v>
      </c>
      <c r="AC164" t="s">
        <v>122</v>
      </c>
      <c r="AD164" t="s">
        <v>1269</v>
      </c>
    </row>
    <row r="165" spans="1:30" x14ac:dyDescent="0.2">
      <c r="A165" s="3">
        <v>42593</v>
      </c>
      <c r="B165" t="s">
        <v>23</v>
      </c>
      <c r="C165">
        <v>503</v>
      </c>
      <c r="D165">
        <v>1</v>
      </c>
      <c r="E165">
        <v>1</v>
      </c>
      <c r="F165" t="s">
        <v>24</v>
      </c>
      <c r="G165" t="s">
        <v>25</v>
      </c>
      <c r="H165" t="s">
        <v>26</v>
      </c>
      <c r="I165" t="s">
        <v>27</v>
      </c>
      <c r="J165" t="s">
        <v>34</v>
      </c>
      <c r="K165" t="s">
        <v>188</v>
      </c>
      <c r="L165" t="s">
        <v>30</v>
      </c>
      <c r="M165">
        <v>0</v>
      </c>
      <c r="N165">
        <v>1</v>
      </c>
      <c r="O165" s="17" t="s">
        <v>1265</v>
      </c>
      <c r="P165" s="17" t="s">
        <v>1266</v>
      </c>
      <c r="Q165">
        <f>28-12.5</f>
        <v>15.5</v>
      </c>
      <c r="R165" t="s">
        <v>31</v>
      </c>
      <c r="S165" t="s">
        <v>32</v>
      </c>
      <c r="T165">
        <v>18</v>
      </c>
      <c r="U165">
        <v>75</v>
      </c>
      <c r="V165">
        <v>17</v>
      </c>
      <c r="W165">
        <v>12.9</v>
      </c>
      <c r="X165">
        <v>25.4</v>
      </c>
      <c r="Z165" t="s">
        <v>32</v>
      </c>
      <c r="AB165" t="s">
        <v>44</v>
      </c>
      <c r="AC165" t="s">
        <v>122</v>
      </c>
    </row>
    <row r="166" spans="1:30" x14ac:dyDescent="0.2">
      <c r="A166" s="3">
        <v>42592</v>
      </c>
      <c r="B166" t="s">
        <v>23</v>
      </c>
      <c r="C166">
        <v>401</v>
      </c>
      <c r="D166">
        <v>9</v>
      </c>
      <c r="E166">
        <v>1</v>
      </c>
      <c r="F166" t="s">
        <v>24</v>
      </c>
      <c r="G166" t="s">
        <v>25</v>
      </c>
      <c r="H166" t="s">
        <v>26</v>
      </c>
      <c r="I166" t="s">
        <v>27</v>
      </c>
      <c r="J166" t="s">
        <v>34</v>
      </c>
      <c r="K166" t="s">
        <v>188</v>
      </c>
      <c r="L166" t="s">
        <v>30</v>
      </c>
      <c r="M166">
        <v>0</v>
      </c>
      <c r="N166">
        <v>1</v>
      </c>
      <c r="O166" s="17" t="s">
        <v>1262</v>
      </c>
      <c r="P166" s="17" t="s">
        <v>1263</v>
      </c>
      <c r="Q166">
        <f>27.5-13</f>
        <v>14.5</v>
      </c>
      <c r="R166" t="s">
        <v>31</v>
      </c>
      <c r="S166" t="s">
        <v>32</v>
      </c>
      <c r="T166">
        <v>19</v>
      </c>
      <c r="U166">
        <v>87</v>
      </c>
      <c r="V166">
        <v>16</v>
      </c>
      <c r="W166">
        <v>13</v>
      </c>
      <c r="X166">
        <v>26</v>
      </c>
      <c r="Z166" t="s">
        <v>145</v>
      </c>
      <c r="AB166" t="s">
        <v>44</v>
      </c>
      <c r="AC166" t="s">
        <v>59</v>
      </c>
    </row>
    <row r="167" spans="1:30" x14ac:dyDescent="0.2">
      <c r="A167" s="3">
        <v>42593</v>
      </c>
      <c r="B167" t="s">
        <v>23</v>
      </c>
      <c r="C167">
        <v>401</v>
      </c>
      <c r="D167">
        <v>8</v>
      </c>
      <c r="E167">
        <v>1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188</v>
      </c>
      <c r="L167" t="s">
        <v>30</v>
      </c>
      <c r="M167">
        <v>0</v>
      </c>
      <c r="N167">
        <v>0</v>
      </c>
      <c r="O167" s="17" t="s">
        <v>1262</v>
      </c>
      <c r="P167" s="17" t="s">
        <v>1263</v>
      </c>
      <c r="Q167">
        <f>26.5-12.5</f>
        <v>14</v>
      </c>
      <c r="R167" t="s">
        <v>31</v>
      </c>
      <c r="S167" t="s">
        <v>32</v>
      </c>
      <c r="T167">
        <v>18.5</v>
      </c>
      <c r="U167">
        <v>86</v>
      </c>
      <c r="V167">
        <v>15</v>
      </c>
      <c r="W167">
        <v>12.9</v>
      </c>
      <c r="X167">
        <v>26.8</v>
      </c>
      <c r="Z167" t="s">
        <v>145</v>
      </c>
      <c r="AB167" t="s">
        <v>44</v>
      </c>
      <c r="AC167" t="s">
        <v>122</v>
      </c>
    </row>
    <row r="168" spans="1:30" x14ac:dyDescent="0.2">
      <c r="A168" s="3">
        <v>42589</v>
      </c>
      <c r="B168" t="s">
        <v>23</v>
      </c>
      <c r="C168">
        <v>111</v>
      </c>
      <c r="D168">
        <v>5</v>
      </c>
      <c r="E168">
        <v>2</v>
      </c>
      <c r="F168" t="s">
        <v>24</v>
      </c>
      <c r="G168" t="s">
        <v>25</v>
      </c>
      <c r="H168" t="s">
        <v>26</v>
      </c>
      <c r="I168" t="s">
        <v>27</v>
      </c>
      <c r="J168" t="s">
        <v>34</v>
      </c>
      <c r="K168" t="s">
        <v>188</v>
      </c>
      <c r="L168" t="s">
        <v>35</v>
      </c>
      <c r="M168">
        <v>0</v>
      </c>
      <c r="N168">
        <v>1</v>
      </c>
      <c r="O168" s="17" t="s">
        <v>1069</v>
      </c>
      <c r="P168" s="17" t="s">
        <v>1070</v>
      </c>
      <c r="Q168">
        <f>31.5-14</f>
        <v>17.5</v>
      </c>
      <c r="R168" t="s">
        <v>63</v>
      </c>
      <c r="T168">
        <v>19</v>
      </c>
      <c r="U168">
        <v>89</v>
      </c>
      <c r="V168">
        <v>15</v>
      </c>
      <c r="W168">
        <v>12.8</v>
      </c>
      <c r="X168">
        <v>27</v>
      </c>
      <c r="Z168" t="s">
        <v>32</v>
      </c>
      <c r="AB168" t="s">
        <v>121</v>
      </c>
      <c r="AC168" t="s">
        <v>59</v>
      </c>
    </row>
    <row r="169" spans="1:30" x14ac:dyDescent="0.2">
      <c r="A169" s="3">
        <v>42589</v>
      </c>
      <c r="B169" t="s">
        <v>23</v>
      </c>
      <c r="C169">
        <v>113</v>
      </c>
      <c r="D169">
        <v>3</v>
      </c>
      <c r="E169">
        <v>2</v>
      </c>
      <c r="F169" t="s">
        <v>24</v>
      </c>
      <c r="G169" t="s">
        <v>25</v>
      </c>
      <c r="H169" t="s">
        <v>26</v>
      </c>
      <c r="I169" t="s">
        <v>27</v>
      </c>
      <c r="J169" t="s">
        <v>34</v>
      </c>
      <c r="K169" t="s">
        <v>188</v>
      </c>
      <c r="L169" t="s">
        <v>30</v>
      </c>
      <c r="M169">
        <v>0</v>
      </c>
      <c r="N169">
        <v>1</v>
      </c>
      <c r="O169" s="17" t="s">
        <v>1080</v>
      </c>
      <c r="P169" s="17" t="s">
        <v>1081</v>
      </c>
      <c r="Q169">
        <f>30-13</f>
        <v>17</v>
      </c>
      <c r="R169" t="s">
        <v>75</v>
      </c>
      <c r="S169" t="s">
        <v>145</v>
      </c>
      <c r="T169">
        <v>18</v>
      </c>
      <c r="U169">
        <v>88</v>
      </c>
      <c r="V169">
        <v>17</v>
      </c>
      <c r="W169">
        <v>13</v>
      </c>
      <c r="X169">
        <v>26.7</v>
      </c>
      <c r="Z169" t="s">
        <v>32</v>
      </c>
      <c r="AB169" t="s">
        <v>121</v>
      </c>
      <c r="AC169" t="s">
        <v>59</v>
      </c>
    </row>
    <row r="170" spans="1:30" x14ac:dyDescent="0.2">
      <c r="A170" s="3">
        <v>42592</v>
      </c>
      <c r="B170" t="s">
        <v>23</v>
      </c>
      <c r="C170">
        <v>401</v>
      </c>
      <c r="D170">
        <v>4</v>
      </c>
      <c r="E170">
        <v>1</v>
      </c>
      <c r="F170" t="s">
        <v>24</v>
      </c>
      <c r="G170" t="s">
        <v>25</v>
      </c>
      <c r="H170" t="s">
        <v>26</v>
      </c>
      <c r="I170" t="s">
        <v>27</v>
      </c>
      <c r="J170" t="s">
        <v>34</v>
      </c>
      <c r="K170" t="s">
        <v>188</v>
      </c>
      <c r="L170" t="s">
        <v>30</v>
      </c>
      <c r="M170">
        <v>0</v>
      </c>
      <c r="N170">
        <v>1</v>
      </c>
      <c r="O170" s="17" t="s">
        <v>1258</v>
      </c>
      <c r="P170" s="17" t="s">
        <v>1259</v>
      </c>
      <c r="Q170">
        <f>34-13.5</f>
        <v>20.5</v>
      </c>
      <c r="R170" t="s">
        <v>31</v>
      </c>
      <c r="S170" t="s">
        <v>32</v>
      </c>
      <c r="T170">
        <v>19</v>
      </c>
      <c r="U170">
        <v>93.5</v>
      </c>
      <c r="V170">
        <v>18</v>
      </c>
      <c r="W170">
        <v>13.5</v>
      </c>
      <c r="X170">
        <v>28.2</v>
      </c>
      <c r="Z170" t="s">
        <v>145</v>
      </c>
      <c r="AB170" t="s">
        <v>44</v>
      </c>
      <c r="AC170" t="s">
        <v>59</v>
      </c>
    </row>
    <row r="171" spans="1:30" x14ac:dyDescent="0.2">
      <c r="A171" s="3">
        <v>42605</v>
      </c>
      <c r="B171" t="s">
        <v>23</v>
      </c>
      <c r="C171">
        <v>401</v>
      </c>
      <c r="D171">
        <v>3</v>
      </c>
      <c r="E171">
        <v>2</v>
      </c>
      <c r="F171" t="s">
        <v>64</v>
      </c>
      <c r="G171" t="s">
        <v>25</v>
      </c>
      <c r="H171" t="s">
        <v>26</v>
      </c>
      <c r="I171" t="s">
        <v>27</v>
      </c>
      <c r="J171" t="s">
        <v>28</v>
      </c>
      <c r="K171" t="s">
        <v>188</v>
      </c>
      <c r="L171" t="s">
        <v>30</v>
      </c>
      <c r="M171">
        <v>0</v>
      </c>
      <c r="N171">
        <v>0</v>
      </c>
      <c r="O171" s="17" t="s">
        <v>1258</v>
      </c>
      <c r="P171" s="17" t="s">
        <v>1259</v>
      </c>
      <c r="Q171">
        <f>36-16</f>
        <v>20</v>
      </c>
      <c r="R171" t="s">
        <v>31</v>
      </c>
      <c r="S171" t="s">
        <v>32</v>
      </c>
      <c r="T171">
        <v>20</v>
      </c>
      <c r="U171">
        <v>98</v>
      </c>
      <c r="V171">
        <v>17.5</v>
      </c>
      <c r="W171">
        <v>13.1</v>
      </c>
      <c r="X171">
        <v>28.5</v>
      </c>
      <c r="Z171" t="s">
        <v>145</v>
      </c>
      <c r="AA171" t="s">
        <v>260</v>
      </c>
      <c r="AB171" t="s">
        <v>121</v>
      </c>
      <c r="AC171" t="s">
        <v>59</v>
      </c>
    </row>
    <row r="172" spans="1:30" x14ac:dyDescent="0.2">
      <c r="A172" s="3">
        <v>42606</v>
      </c>
      <c r="B172" t="s">
        <v>23</v>
      </c>
      <c r="C172">
        <v>401</v>
      </c>
      <c r="D172">
        <v>1</v>
      </c>
      <c r="E172">
        <v>2</v>
      </c>
      <c r="F172" t="s">
        <v>64</v>
      </c>
      <c r="G172" t="s">
        <v>25</v>
      </c>
      <c r="H172" t="s">
        <v>26</v>
      </c>
      <c r="I172" t="s">
        <v>27</v>
      </c>
      <c r="J172" t="s">
        <v>28</v>
      </c>
      <c r="K172" t="s">
        <v>188</v>
      </c>
      <c r="L172" t="s">
        <v>30</v>
      </c>
      <c r="M172">
        <v>0</v>
      </c>
      <c r="N172">
        <v>0</v>
      </c>
      <c r="O172" s="17" t="s">
        <v>1258</v>
      </c>
      <c r="P172" s="17" t="s">
        <v>1259</v>
      </c>
      <c r="Q172">
        <f>36-17</f>
        <v>19</v>
      </c>
      <c r="R172" t="s">
        <v>31</v>
      </c>
      <c r="S172" t="s">
        <v>32</v>
      </c>
      <c r="T172">
        <v>20</v>
      </c>
      <c r="U172">
        <v>100</v>
      </c>
      <c r="V172">
        <v>17</v>
      </c>
      <c r="W172">
        <v>13</v>
      </c>
      <c r="X172">
        <v>28.4</v>
      </c>
      <c r="Z172" t="s">
        <v>145</v>
      </c>
      <c r="AA172" t="s">
        <v>260</v>
      </c>
      <c r="AB172" t="s">
        <v>53</v>
      </c>
      <c r="AC172" t="s">
        <v>122</v>
      </c>
    </row>
    <row r="173" spans="1:30" x14ac:dyDescent="0.2">
      <c r="A173" s="3">
        <v>42592</v>
      </c>
      <c r="B173" t="s">
        <v>23</v>
      </c>
      <c r="C173">
        <v>303</v>
      </c>
      <c r="D173">
        <v>4</v>
      </c>
      <c r="E173">
        <v>1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 t="s">
        <v>188</v>
      </c>
      <c r="L173" t="s">
        <v>30</v>
      </c>
      <c r="M173">
        <v>0</v>
      </c>
      <c r="N173">
        <v>0</v>
      </c>
      <c r="O173" s="17" t="s">
        <v>1255</v>
      </c>
      <c r="P173" s="17" t="s">
        <v>1256</v>
      </c>
      <c r="Q173">
        <f>27.5-13</f>
        <v>14.5</v>
      </c>
      <c r="R173" t="s">
        <v>31</v>
      </c>
      <c r="T173">
        <v>18</v>
      </c>
      <c r="U173">
        <v>81.5</v>
      </c>
      <c r="V173">
        <v>16</v>
      </c>
      <c r="W173">
        <v>13.1</v>
      </c>
      <c r="X173">
        <v>26.8</v>
      </c>
      <c r="Z173" t="s">
        <v>32</v>
      </c>
      <c r="AB173" t="s">
        <v>44</v>
      </c>
      <c r="AC173" t="s">
        <v>59</v>
      </c>
    </row>
    <row r="174" spans="1:30" x14ac:dyDescent="0.2">
      <c r="A174" s="3">
        <v>42593</v>
      </c>
      <c r="B174" t="s">
        <v>23</v>
      </c>
      <c r="C174">
        <v>303</v>
      </c>
      <c r="D174">
        <v>7</v>
      </c>
      <c r="E174">
        <v>2</v>
      </c>
      <c r="F174" t="s">
        <v>24</v>
      </c>
      <c r="G174" t="s">
        <v>25</v>
      </c>
      <c r="H174" t="s">
        <v>26</v>
      </c>
      <c r="I174" t="s">
        <v>27</v>
      </c>
      <c r="J174" t="s">
        <v>28</v>
      </c>
      <c r="K174" t="s">
        <v>188</v>
      </c>
      <c r="L174" t="s">
        <v>30</v>
      </c>
      <c r="M174">
        <v>0</v>
      </c>
      <c r="N174">
        <v>0</v>
      </c>
      <c r="O174" s="17" t="s">
        <v>1255</v>
      </c>
      <c r="P174" s="17" t="s">
        <v>1256</v>
      </c>
      <c r="Q174">
        <f>28-13</f>
        <v>15</v>
      </c>
      <c r="R174" t="s">
        <v>31</v>
      </c>
      <c r="S174" t="s">
        <v>32</v>
      </c>
      <c r="T174">
        <v>17</v>
      </c>
      <c r="U174">
        <v>81.5</v>
      </c>
      <c r="V174">
        <v>17</v>
      </c>
      <c r="W174">
        <v>12.8</v>
      </c>
      <c r="X174">
        <v>27</v>
      </c>
      <c r="Z174" t="s">
        <v>32</v>
      </c>
      <c r="AB174" t="s">
        <v>44</v>
      </c>
      <c r="AC174" t="s">
        <v>122</v>
      </c>
    </row>
    <row r="175" spans="1:30" x14ac:dyDescent="0.2">
      <c r="A175" s="3">
        <v>42605</v>
      </c>
      <c r="B175" t="s">
        <v>23</v>
      </c>
      <c r="C175">
        <v>303</v>
      </c>
      <c r="D175">
        <v>3</v>
      </c>
      <c r="E175">
        <v>2</v>
      </c>
      <c r="F175" t="s">
        <v>64</v>
      </c>
      <c r="G175" t="s">
        <v>25</v>
      </c>
      <c r="H175" t="s">
        <v>26</v>
      </c>
      <c r="I175" t="s">
        <v>27</v>
      </c>
      <c r="J175" t="s">
        <v>28</v>
      </c>
      <c r="K175" t="s">
        <v>188</v>
      </c>
      <c r="L175" t="s">
        <v>30</v>
      </c>
      <c r="M175">
        <v>0</v>
      </c>
      <c r="N175">
        <v>0</v>
      </c>
      <c r="O175" s="17" t="s">
        <v>1255</v>
      </c>
      <c r="P175" s="17" t="s">
        <v>1256</v>
      </c>
      <c r="Q175">
        <f>27-13.5</f>
        <v>13.5</v>
      </c>
      <c r="R175" t="s">
        <v>31</v>
      </c>
      <c r="S175" t="s">
        <v>32</v>
      </c>
      <c r="T175">
        <v>18</v>
      </c>
      <c r="U175">
        <v>80</v>
      </c>
      <c r="V175">
        <v>16</v>
      </c>
      <c r="W175">
        <v>12.8</v>
      </c>
      <c r="X175">
        <v>26.8</v>
      </c>
      <c r="Z175" t="s">
        <v>145</v>
      </c>
      <c r="AB175" t="s">
        <v>121</v>
      </c>
      <c r="AC175" t="s">
        <v>59</v>
      </c>
      <c r="AD175" t="s">
        <v>1519</v>
      </c>
    </row>
    <row r="176" spans="1:30" x14ac:dyDescent="0.2">
      <c r="A176" s="3">
        <v>42606</v>
      </c>
      <c r="B176" t="s">
        <v>23</v>
      </c>
      <c r="C176">
        <v>303</v>
      </c>
      <c r="D176">
        <v>4</v>
      </c>
      <c r="E176">
        <v>1</v>
      </c>
      <c r="F176" t="s">
        <v>64</v>
      </c>
      <c r="G176" t="s">
        <v>25</v>
      </c>
      <c r="H176" t="s">
        <v>26</v>
      </c>
      <c r="I176" t="s">
        <v>27</v>
      </c>
      <c r="J176" t="s">
        <v>28</v>
      </c>
      <c r="K176" t="s">
        <v>188</v>
      </c>
      <c r="L176" t="s">
        <v>30</v>
      </c>
      <c r="M176">
        <v>0</v>
      </c>
      <c r="N176">
        <v>0</v>
      </c>
      <c r="O176" s="17" t="s">
        <v>1255</v>
      </c>
      <c r="P176" s="17" t="s">
        <v>1256</v>
      </c>
      <c r="Q176">
        <f>28-14</f>
        <v>14</v>
      </c>
      <c r="R176" t="s">
        <v>31</v>
      </c>
      <c r="S176" t="s">
        <v>32</v>
      </c>
      <c r="T176">
        <v>17</v>
      </c>
      <c r="U176">
        <v>88</v>
      </c>
      <c r="V176">
        <v>16</v>
      </c>
      <c r="W176">
        <v>13</v>
      </c>
      <c r="X176">
        <v>27.1</v>
      </c>
      <c r="Z176" t="s">
        <v>145</v>
      </c>
      <c r="AA176" t="s">
        <v>260</v>
      </c>
      <c r="AB176" t="s">
        <v>53</v>
      </c>
      <c r="AC176" t="s">
        <v>122</v>
      </c>
    </row>
    <row r="177" spans="1:30" x14ac:dyDescent="0.2">
      <c r="A177" s="3">
        <v>42591</v>
      </c>
      <c r="B177" t="s">
        <v>23</v>
      </c>
      <c r="C177">
        <v>503</v>
      </c>
      <c r="D177">
        <v>9</v>
      </c>
      <c r="E177">
        <v>2</v>
      </c>
      <c r="F177" t="s">
        <v>24</v>
      </c>
      <c r="G177" t="s">
        <v>25</v>
      </c>
      <c r="H177" t="s">
        <v>26</v>
      </c>
      <c r="I177" t="s">
        <v>27</v>
      </c>
      <c r="J177" t="s">
        <v>34</v>
      </c>
      <c r="K177" t="s">
        <v>123</v>
      </c>
      <c r="L177" t="s">
        <v>30</v>
      </c>
      <c r="M177">
        <v>0</v>
      </c>
      <c r="N177">
        <v>1</v>
      </c>
      <c r="O177" s="17" t="s">
        <v>1128</v>
      </c>
      <c r="P177" s="17" t="s">
        <v>1129</v>
      </c>
      <c r="Q177">
        <f>27.5-14</f>
        <v>13.5</v>
      </c>
      <c r="R177" t="s">
        <v>31</v>
      </c>
      <c r="S177" t="s">
        <v>32</v>
      </c>
      <c r="T177">
        <v>19</v>
      </c>
      <c r="U177">
        <v>71</v>
      </c>
      <c r="V177">
        <v>17</v>
      </c>
      <c r="W177">
        <v>12.3</v>
      </c>
      <c r="X177">
        <v>26</v>
      </c>
      <c r="Z177" t="s">
        <v>145</v>
      </c>
      <c r="AB177" t="s">
        <v>44</v>
      </c>
      <c r="AC177" t="s">
        <v>59</v>
      </c>
    </row>
    <row r="178" spans="1:30" x14ac:dyDescent="0.2">
      <c r="A178" s="3">
        <v>42605</v>
      </c>
      <c r="B178" t="s">
        <v>23</v>
      </c>
      <c r="C178">
        <v>503</v>
      </c>
      <c r="D178">
        <v>10</v>
      </c>
      <c r="E178">
        <v>2</v>
      </c>
      <c r="F178" t="s">
        <v>64</v>
      </c>
      <c r="G178" t="s">
        <v>25</v>
      </c>
      <c r="H178" t="s">
        <v>26</v>
      </c>
      <c r="I178" t="s">
        <v>27</v>
      </c>
      <c r="J178" t="s">
        <v>28</v>
      </c>
      <c r="K178" t="s">
        <v>123</v>
      </c>
      <c r="L178" t="s">
        <v>30</v>
      </c>
      <c r="M178">
        <v>0</v>
      </c>
      <c r="N178">
        <v>0</v>
      </c>
      <c r="O178" s="17" t="s">
        <v>1128</v>
      </c>
      <c r="P178" s="17" t="s">
        <v>1129</v>
      </c>
      <c r="Q178">
        <f>24-13.5</f>
        <v>10.5</v>
      </c>
      <c r="R178" t="s">
        <v>31</v>
      </c>
      <c r="S178" t="s">
        <v>32</v>
      </c>
      <c r="Z178" t="s">
        <v>32</v>
      </c>
      <c r="AB178" t="s">
        <v>121</v>
      </c>
      <c r="AC178" t="s">
        <v>59</v>
      </c>
      <c r="AD178" t="s">
        <v>1729</v>
      </c>
    </row>
    <row r="179" spans="1:30" x14ac:dyDescent="0.2">
      <c r="A179" s="3">
        <v>42591</v>
      </c>
      <c r="B179" t="s">
        <v>23</v>
      </c>
      <c r="C179">
        <v>501</v>
      </c>
      <c r="D179">
        <v>9</v>
      </c>
      <c r="E179">
        <v>1</v>
      </c>
      <c r="F179" t="s">
        <v>24</v>
      </c>
      <c r="G179" t="s">
        <v>25</v>
      </c>
      <c r="H179" t="s">
        <v>26</v>
      </c>
      <c r="I179" t="s">
        <v>27</v>
      </c>
      <c r="J179" t="s">
        <v>34</v>
      </c>
      <c r="K179" t="s">
        <v>29</v>
      </c>
      <c r="L179" t="s">
        <v>35</v>
      </c>
      <c r="M179">
        <v>0</v>
      </c>
      <c r="N179">
        <v>1</v>
      </c>
      <c r="O179" s="17" t="s">
        <v>1121</v>
      </c>
      <c r="P179" s="17" t="s">
        <v>1122</v>
      </c>
      <c r="Q179">
        <f>30-13</f>
        <v>17</v>
      </c>
      <c r="R179" t="s">
        <v>63</v>
      </c>
      <c r="T179">
        <v>21</v>
      </c>
      <c r="U179">
        <v>85</v>
      </c>
      <c r="V179">
        <v>14</v>
      </c>
      <c r="W179">
        <v>13</v>
      </c>
      <c r="X179">
        <v>29.3</v>
      </c>
      <c r="Z179" t="s">
        <v>32</v>
      </c>
      <c r="AB179" t="s">
        <v>44</v>
      </c>
      <c r="AC179" t="s">
        <v>59</v>
      </c>
    </row>
    <row r="180" spans="1:30" x14ac:dyDescent="0.2">
      <c r="A180" s="3">
        <v>42591</v>
      </c>
      <c r="B180" t="s">
        <v>23</v>
      </c>
      <c r="C180">
        <v>501</v>
      </c>
      <c r="D180">
        <v>1</v>
      </c>
      <c r="E180">
        <v>1</v>
      </c>
      <c r="F180" t="s">
        <v>24</v>
      </c>
      <c r="G180" t="s">
        <v>25</v>
      </c>
      <c r="H180" t="s">
        <v>26</v>
      </c>
      <c r="I180" t="s">
        <v>27</v>
      </c>
      <c r="J180" t="s">
        <v>34</v>
      </c>
      <c r="K180" t="s">
        <v>188</v>
      </c>
      <c r="L180" t="s">
        <v>35</v>
      </c>
      <c r="M180">
        <v>0</v>
      </c>
      <c r="N180">
        <v>1</v>
      </c>
      <c r="O180" s="17" t="s">
        <v>1119</v>
      </c>
      <c r="P180" s="17" t="s">
        <v>1120</v>
      </c>
      <c r="Q180">
        <f>29-13</f>
        <v>16</v>
      </c>
      <c r="R180" t="s">
        <v>63</v>
      </c>
      <c r="T180">
        <v>19</v>
      </c>
      <c r="U180">
        <v>8</v>
      </c>
      <c r="V180">
        <v>16</v>
      </c>
      <c r="W180">
        <v>13.5</v>
      </c>
      <c r="X180">
        <v>26.35</v>
      </c>
      <c r="Z180" t="s">
        <v>145</v>
      </c>
      <c r="AB180" t="s">
        <v>121</v>
      </c>
      <c r="AC180" t="s">
        <v>59</v>
      </c>
    </row>
    <row r="181" spans="1:30" x14ac:dyDescent="0.2">
      <c r="A181" s="3">
        <v>42592</v>
      </c>
      <c r="B181" t="s">
        <v>23</v>
      </c>
      <c r="C181">
        <v>501</v>
      </c>
      <c r="D181">
        <v>3</v>
      </c>
      <c r="E181">
        <v>2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188</v>
      </c>
      <c r="L181" t="s">
        <v>35</v>
      </c>
      <c r="M181">
        <v>0</v>
      </c>
      <c r="N181">
        <v>0</v>
      </c>
      <c r="O181" s="17" t="s">
        <v>1119</v>
      </c>
      <c r="P181" s="17" t="s">
        <v>1120</v>
      </c>
      <c r="R181" t="s">
        <v>63</v>
      </c>
      <c r="T181">
        <v>20</v>
      </c>
      <c r="U181">
        <v>82</v>
      </c>
      <c r="V181">
        <v>16</v>
      </c>
      <c r="W181">
        <v>13.5</v>
      </c>
      <c r="X181">
        <v>27.2</v>
      </c>
      <c r="Z181" t="s">
        <v>145</v>
      </c>
      <c r="AB181" t="s">
        <v>44</v>
      </c>
      <c r="AC181" t="s">
        <v>59</v>
      </c>
    </row>
    <row r="182" spans="1:30" x14ac:dyDescent="0.2">
      <c r="A182" s="3">
        <v>42593</v>
      </c>
      <c r="B182" t="s">
        <v>23</v>
      </c>
      <c r="C182">
        <v>501</v>
      </c>
      <c r="D182">
        <v>5</v>
      </c>
      <c r="E182">
        <v>1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188</v>
      </c>
      <c r="L182" t="s">
        <v>35</v>
      </c>
      <c r="M182">
        <v>0</v>
      </c>
      <c r="N182">
        <v>0</v>
      </c>
      <c r="O182" s="17" t="s">
        <v>1119</v>
      </c>
      <c r="P182" s="17" t="s">
        <v>1120</v>
      </c>
      <c r="Q182">
        <f>30.5-14.5</f>
        <v>16</v>
      </c>
      <c r="R182" t="s">
        <v>63</v>
      </c>
      <c r="T182">
        <v>20</v>
      </c>
      <c r="U182">
        <v>85</v>
      </c>
      <c r="V182">
        <v>19</v>
      </c>
      <c r="W182">
        <v>13.4</v>
      </c>
      <c r="X182">
        <v>26.85</v>
      </c>
      <c r="Z182" t="s">
        <v>145</v>
      </c>
      <c r="AB182" t="s">
        <v>44</v>
      </c>
      <c r="AC182" t="s">
        <v>122</v>
      </c>
    </row>
    <row r="183" spans="1:30" x14ac:dyDescent="0.2">
      <c r="A183" s="3">
        <v>42605</v>
      </c>
      <c r="B183" t="s">
        <v>23</v>
      </c>
      <c r="C183">
        <v>501</v>
      </c>
      <c r="D183">
        <v>2</v>
      </c>
      <c r="E183">
        <v>2</v>
      </c>
      <c r="F183" t="s">
        <v>64</v>
      </c>
      <c r="G183" t="s">
        <v>25</v>
      </c>
      <c r="H183" t="s">
        <v>26</v>
      </c>
      <c r="I183" t="s">
        <v>27</v>
      </c>
      <c r="J183" t="s">
        <v>28</v>
      </c>
      <c r="K183" t="s">
        <v>188</v>
      </c>
      <c r="L183" t="s">
        <v>35</v>
      </c>
      <c r="M183">
        <v>0</v>
      </c>
      <c r="N183">
        <v>0</v>
      </c>
      <c r="O183" s="17" t="s">
        <v>1119</v>
      </c>
      <c r="P183" s="17" t="s">
        <v>1120</v>
      </c>
      <c r="Q183">
        <f>32-16</f>
        <v>16</v>
      </c>
      <c r="R183" t="s">
        <v>63</v>
      </c>
      <c r="T183">
        <v>19.5</v>
      </c>
      <c r="U183">
        <v>85</v>
      </c>
      <c r="V183">
        <v>17</v>
      </c>
      <c r="W183">
        <v>13</v>
      </c>
      <c r="X183">
        <v>27.5</v>
      </c>
      <c r="Z183" t="s">
        <v>145</v>
      </c>
      <c r="AB183" t="s">
        <v>121</v>
      </c>
      <c r="AC183" t="s">
        <v>59</v>
      </c>
    </row>
    <row r="184" spans="1:30" x14ac:dyDescent="0.2">
      <c r="A184" s="3">
        <v>42606</v>
      </c>
      <c r="B184" t="s">
        <v>23</v>
      </c>
      <c r="C184">
        <v>501</v>
      </c>
      <c r="D184">
        <v>1</v>
      </c>
      <c r="E184">
        <v>1</v>
      </c>
      <c r="F184" t="s">
        <v>64</v>
      </c>
      <c r="G184" t="s">
        <v>25</v>
      </c>
      <c r="H184" t="s">
        <v>26</v>
      </c>
      <c r="I184" t="s">
        <v>27</v>
      </c>
      <c r="J184" t="s">
        <v>28</v>
      </c>
      <c r="K184" t="s">
        <v>188</v>
      </c>
      <c r="L184" t="s">
        <v>35</v>
      </c>
      <c r="M184">
        <v>0</v>
      </c>
      <c r="N184">
        <v>0</v>
      </c>
      <c r="O184" s="17" t="s">
        <v>1119</v>
      </c>
      <c r="P184" s="17" t="s">
        <v>1120</v>
      </c>
      <c r="Q184">
        <f>31-16</f>
        <v>15</v>
      </c>
      <c r="R184" t="s">
        <v>63</v>
      </c>
      <c r="T184">
        <v>20</v>
      </c>
      <c r="U184">
        <v>88</v>
      </c>
      <c r="V184">
        <v>18</v>
      </c>
      <c r="W184">
        <v>13.1</v>
      </c>
      <c r="X184">
        <v>28.3</v>
      </c>
      <c r="Z184" t="s">
        <v>145</v>
      </c>
      <c r="AA184" t="s">
        <v>260</v>
      </c>
      <c r="AB184" t="s">
        <v>53</v>
      </c>
      <c r="AC184" t="s">
        <v>122</v>
      </c>
    </row>
    <row r="185" spans="1:30" x14ac:dyDescent="0.2">
      <c r="A185" s="3">
        <v>42500</v>
      </c>
      <c r="B185" t="s">
        <v>23</v>
      </c>
      <c r="C185">
        <v>501</v>
      </c>
      <c r="D185">
        <v>4</v>
      </c>
      <c r="E185">
        <v>1</v>
      </c>
      <c r="F185" t="s">
        <v>24</v>
      </c>
      <c r="G185" t="s">
        <v>25</v>
      </c>
      <c r="H185" t="s">
        <v>26</v>
      </c>
      <c r="I185" t="s">
        <v>27</v>
      </c>
      <c r="J185" t="s">
        <v>34</v>
      </c>
      <c r="K185" t="s">
        <v>29</v>
      </c>
      <c r="L185" t="s">
        <v>35</v>
      </c>
      <c r="M185">
        <v>0</v>
      </c>
      <c r="N185">
        <v>1</v>
      </c>
      <c r="O185" s="17">
        <v>26604</v>
      </c>
      <c r="P185" s="17">
        <v>26603</v>
      </c>
      <c r="Q185">
        <f>29-7.5</f>
        <v>21.5</v>
      </c>
      <c r="R185" t="s">
        <v>63</v>
      </c>
      <c r="S185" t="s">
        <v>32</v>
      </c>
      <c r="T185">
        <v>19</v>
      </c>
      <c r="U185">
        <v>92</v>
      </c>
      <c r="V185">
        <v>14</v>
      </c>
      <c r="Z185" t="s">
        <v>32</v>
      </c>
      <c r="AB185" t="s">
        <v>44</v>
      </c>
      <c r="AC185" t="s">
        <v>59</v>
      </c>
    </row>
    <row r="186" spans="1:30" x14ac:dyDescent="0.2">
      <c r="A186" s="3">
        <v>42501</v>
      </c>
      <c r="B186" t="s">
        <v>23</v>
      </c>
      <c r="C186">
        <v>501</v>
      </c>
      <c r="D186">
        <v>5</v>
      </c>
      <c r="E186">
        <v>1</v>
      </c>
      <c r="F186" t="s">
        <v>24</v>
      </c>
      <c r="G186" t="s">
        <v>25</v>
      </c>
      <c r="H186" t="s">
        <v>26</v>
      </c>
      <c r="I186" t="s">
        <v>27</v>
      </c>
      <c r="J186" t="s">
        <v>28</v>
      </c>
      <c r="K186" t="s">
        <v>29</v>
      </c>
      <c r="L186" t="s">
        <v>35</v>
      </c>
      <c r="M186">
        <v>0</v>
      </c>
      <c r="N186">
        <v>0</v>
      </c>
      <c r="O186" s="17">
        <v>26604</v>
      </c>
      <c r="P186" s="17">
        <v>26603</v>
      </c>
      <c r="Q186">
        <f>28.5-7.5</f>
        <v>21</v>
      </c>
      <c r="R186" t="s">
        <v>63</v>
      </c>
      <c r="S186" t="s">
        <v>32</v>
      </c>
      <c r="T186">
        <v>19</v>
      </c>
      <c r="U186">
        <v>94</v>
      </c>
      <c r="V186">
        <v>17</v>
      </c>
      <c r="Z186" t="s">
        <v>32</v>
      </c>
      <c r="AB186" t="s">
        <v>60</v>
      </c>
      <c r="AC186" t="s">
        <v>59</v>
      </c>
    </row>
    <row r="187" spans="1:30" x14ac:dyDescent="0.2">
      <c r="A187" s="3">
        <v>42502</v>
      </c>
      <c r="B187" t="s">
        <v>23</v>
      </c>
      <c r="C187">
        <v>501</v>
      </c>
      <c r="D187">
        <v>5</v>
      </c>
      <c r="E187">
        <v>1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 t="s">
        <v>29</v>
      </c>
      <c r="L187" t="s">
        <v>35</v>
      </c>
      <c r="M187">
        <v>0</v>
      </c>
      <c r="N187">
        <v>0</v>
      </c>
      <c r="O187" s="17">
        <v>26604</v>
      </c>
      <c r="P187" s="17">
        <v>26603</v>
      </c>
      <c r="Q187">
        <v>21</v>
      </c>
      <c r="R187" t="s">
        <v>63</v>
      </c>
      <c r="S187" t="s">
        <v>32</v>
      </c>
      <c r="T187">
        <v>18</v>
      </c>
      <c r="U187">
        <v>90</v>
      </c>
      <c r="V187">
        <v>20.5</v>
      </c>
      <c r="Z187" t="s">
        <v>32</v>
      </c>
      <c r="AB187" t="s">
        <v>53</v>
      </c>
      <c r="AC187" t="s">
        <v>59</v>
      </c>
    </row>
    <row r="188" spans="1:30" x14ac:dyDescent="0.2">
      <c r="A188" s="3">
        <v>42515</v>
      </c>
      <c r="B188" t="s">
        <v>23</v>
      </c>
      <c r="C188">
        <v>501</v>
      </c>
      <c r="D188">
        <v>4</v>
      </c>
      <c r="E188">
        <v>1</v>
      </c>
      <c r="F188" t="s">
        <v>33</v>
      </c>
      <c r="G188" t="s">
        <v>25</v>
      </c>
      <c r="H188" t="s">
        <v>26</v>
      </c>
      <c r="I188" t="s">
        <v>27</v>
      </c>
      <c r="J188" t="s">
        <v>28</v>
      </c>
      <c r="K188" t="s">
        <v>29</v>
      </c>
      <c r="L188" t="s">
        <v>35</v>
      </c>
      <c r="M188">
        <v>0</v>
      </c>
      <c r="N188">
        <v>0</v>
      </c>
      <c r="O188" s="17">
        <v>26604</v>
      </c>
      <c r="P188" s="17">
        <v>26603</v>
      </c>
      <c r="Q188">
        <f>22.5-2</f>
        <v>20.5</v>
      </c>
      <c r="R188" t="s">
        <v>39</v>
      </c>
      <c r="S188" t="s">
        <v>32</v>
      </c>
      <c r="T188">
        <v>20</v>
      </c>
      <c r="U188">
        <v>85</v>
      </c>
      <c r="V188">
        <v>13</v>
      </c>
      <c r="Z188" t="s">
        <v>32</v>
      </c>
      <c r="AB188" t="s">
        <v>144</v>
      </c>
      <c r="AC188" t="s">
        <v>122</v>
      </c>
    </row>
    <row r="189" spans="1:30" x14ac:dyDescent="0.2">
      <c r="A189" s="3">
        <v>42516</v>
      </c>
      <c r="B189" t="s">
        <v>23</v>
      </c>
      <c r="C189">
        <v>501</v>
      </c>
      <c r="D189">
        <v>7</v>
      </c>
      <c r="E189">
        <v>1</v>
      </c>
      <c r="F189" t="s">
        <v>33</v>
      </c>
      <c r="G189" t="s">
        <v>25</v>
      </c>
      <c r="H189" t="s">
        <v>26</v>
      </c>
      <c r="I189" t="s">
        <v>27</v>
      </c>
      <c r="J189" t="s">
        <v>28</v>
      </c>
      <c r="K189" t="s">
        <v>29</v>
      </c>
      <c r="L189" t="s">
        <v>35</v>
      </c>
      <c r="M189">
        <v>0</v>
      </c>
      <c r="N189">
        <v>0</v>
      </c>
      <c r="O189" s="17">
        <v>26604</v>
      </c>
      <c r="P189" s="17">
        <v>26603</v>
      </c>
      <c r="Q189">
        <f>25.5-3.5</f>
        <v>22</v>
      </c>
      <c r="R189" t="s">
        <v>39</v>
      </c>
      <c r="S189" t="s">
        <v>32</v>
      </c>
      <c r="T189">
        <v>18</v>
      </c>
      <c r="U189">
        <v>86</v>
      </c>
      <c r="V189">
        <v>13</v>
      </c>
      <c r="Z189" t="s">
        <v>32</v>
      </c>
      <c r="AB189" t="s">
        <v>53</v>
      </c>
      <c r="AC189" t="s">
        <v>122</v>
      </c>
    </row>
    <row r="190" spans="1:30" x14ac:dyDescent="0.2">
      <c r="A190" s="3">
        <v>42535</v>
      </c>
      <c r="B190" t="s">
        <v>23</v>
      </c>
      <c r="C190">
        <v>501</v>
      </c>
      <c r="D190">
        <v>9</v>
      </c>
      <c r="E190">
        <v>1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 t="s">
        <v>187</v>
      </c>
      <c r="L190" t="s">
        <v>35</v>
      </c>
      <c r="M190">
        <v>0</v>
      </c>
      <c r="N190">
        <v>0</v>
      </c>
      <c r="O190" s="17">
        <v>26604</v>
      </c>
      <c r="P190" s="17">
        <v>26603</v>
      </c>
      <c r="Q190">
        <f>32-10.5</f>
        <v>21.5</v>
      </c>
      <c r="R190" t="s">
        <v>39</v>
      </c>
      <c r="S190" t="s">
        <v>32</v>
      </c>
      <c r="T190">
        <v>19</v>
      </c>
      <c r="U190">
        <v>85</v>
      </c>
      <c r="V190">
        <v>14</v>
      </c>
      <c r="W190">
        <v>12</v>
      </c>
      <c r="X190">
        <v>28.3</v>
      </c>
      <c r="Z190" t="s">
        <v>32</v>
      </c>
      <c r="AB190" t="s">
        <v>44</v>
      </c>
      <c r="AC190" t="s">
        <v>116</v>
      </c>
    </row>
    <row r="191" spans="1:30" x14ac:dyDescent="0.2">
      <c r="A191" s="3">
        <v>42536</v>
      </c>
      <c r="B191" t="s">
        <v>23</v>
      </c>
      <c r="C191">
        <v>501</v>
      </c>
      <c r="D191">
        <v>1</v>
      </c>
      <c r="E191">
        <v>1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 t="s">
        <v>187</v>
      </c>
      <c r="L191" t="s">
        <v>35</v>
      </c>
      <c r="M191">
        <v>0</v>
      </c>
      <c r="N191">
        <v>0</v>
      </c>
      <c r="O191" s="17">
        <v>26604</v>
      </c>
      <c r="P191" s="17">
        <v>26603</v>
      </c>
      <c r="Q191">
        <f>33.5-13.5</f>
        <v>20</v>
      </c>
      <c r="R191" t="s">
        <v>39</v>
      </c>
      <c r="S191" t="s">
        <v>32</v>
      </c>
      <c r="T191">
        <v>19</v>
      </c>
      <c r="U191">
        <v>85</v>
      </c>
      <c r="V191">
        <v>13.5</v>
      </c>
      <c r="W191">
        <v>12.6</v>
      </c>
      <c r="X191">
        <v>28.3</v>
      </c>
      <c r="Z191" t="s">
        <v>32</v>
      </c>
      <c r="AB191" t="s">
        <v>44</v>
      </c>
      <c r="AC191" t="s">
        <v>59</v>
      </c>
    </row>
    <row r="192" spans="1:30" x14ac:dyDescent="0.2">
      <c r="A192" s="3">
        <v>42537</v>
      </c>
      <c r="B192" t="s">
        <v>23</v>
      </c>
      <c r="C192">
        <v>501</v>
      </c>
      <c r="D192">
        <v>3</v>
      </c>
      <c r="E192">
        <v>1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 t="s">
        <v>187</v>
      </c>
      <c r="L192" t="s">
        <v>35</v>
      </c>
      <c r="M192">
        <v>0</v>
      </c>
      <c r="N192">
        <v>0</v>
      </c>
      <c r="O192" s="17">
        <v>26604</v>
      </c>
      <c r="P192" s="17">
        <v>26603</v>
      </c>
      <c r="Q192">
        <f>31.5-11</f>
        <v>20.5</v>
      </c>
      <c r="R192" t="s">
        <v>39</v>
      </c>
      <c r="T192">
        <v>17</v>
      </c>
      <c r="U192">
        <v>82</v>
      </c>
      <c r="V192">
        <v>14</v>
      </c>
      <c r="W192">
        <v>12.25</v>
      </c>
      <c r="X192">
        <v>27.5</v>
      </c>
      <c r="Z192" t="s">
        <v>32</v>
      </c>
      <c r="AB192" t="s">
        <v>44</v>
      </c>
      <c r="AC192" t="s">
        <v>122</v>
      </c>
    </row>
    <row r="193" spans="1:30" x14ac:dyDescent="0.2">
      <c r="A193" s="3">
        <v>42549</v>
      </c>
      <c r="B193" t="s">
        <v>23</v>
      </c>
      <c r="C193">
        <v>501</v>
      </c>
      <c r="D193">
        <v>5</v>
      </c>
      <c r="E193">
        <v>1</v>
      </c>
      <c r="F193" t="s">
        <v>33</v>
      </c>
      <c r="G193" t="s">
        <v>25</v>
      </c>
      <c r="H193" t="s">
        <v>26</v>
      </c>
      <c r="I193" t="s">
        <v>27</v>
      </c>
      <c r="J193" t="s">
        <v>28</v>
      </c>
      <c r="K193" t="s">
        <v>29</v>
      </c>
      <c r="L193" t="s">
        <v>35</v>
      </c>
      <c r="M193">
        <v>0</v>
      </c>
      <c r="N193">
        <v>0</v>
      </c>
      <c r="O193" s="17">
        <v>26604</v>
      </c>
      <c r="P193" s="17">
        <v>26603</v>
      </c>
      <c r="Q193">
        <f>32-13</f>
        <v>19</v>
      </c>
      <c r="R193" t="s">
        <v>39</v>
      </c>
      <c r="T193">
        <v>18</v>
      </c>
      <c r="V193">
        <v>14</v>
      </c>
      <c r="W193">
        <v>12</v>
      </c>
      <c r="X193">
        <v>31.5</v>
      </c>
      <c r="Z193" t="s">
        <v>32</v>
      </c>
      <c r="AB193" t="s">
        <v>149</v>
      </c>
      <c r="AC193" t="s">
        <v>122</v>
      </c>
    </row>
    <row r="194" spans="1:30" x14ac:dyDescent="0.2">
      <c r="A194" s="3">
        <v>42550</v>
      </c>
      <c r="B194" t="s">
        <v>23</v>
      </c>
      <c r="C194">
        <v>501</v>
      </c>
      <c r="D194">
        <v>6</v>
      </c>
      <c r="E194">
        <v>1</v>
      </c>
      <c r="F194" t="s">
        <v>33</v>
      </c>
      <c r="G194" t="s">
        <v>25</v>
      </c>
      <c r="H194" t="s">
        <v>26</v>
      </c>
      <c r="I194" t="s">
        <v>27</v>
      </c>
      <c r="J194" t="s">
        <v>28</v>
      </c>
      <c r="K194" t="s">
        <v>29</v>
      </c>
      <c r="L194" t="s">
        <v>35</v>
      </c>
      <c r="M194">
        <v>0</v>
      </c>
      <c r="N194">
        <v>0</v>
      </c>
      <c r="O194" s="17">
        <v>26604</v>
      </c>
      <c r="P194" s="17">
        <v>26603</v>
      </c>
      <c r="Q194">
        <f>31-12</f>
        <v>19</v>
      </c>
      <c r="R194" t="s">
        <v>39</v>
      </c>
      <c r="T194">
        <v>18</v>
      </c>
      <c r="U194">
        <v>84</v>
      </c>
      <c r="V194">
        <v>14</v>
      </c>
      <c r="W194">
        <v>12.4</v>
      </c>
      <c r="X194">
        <v>27.9</v>
      </c>
      <c r="Z194" t="s">
        <v>32</v>
      </c>
      <c r="AB194" t="s">
        <v>121</v>
      </c>
      <c r="AC194" t="s">
        <v>59</v>
      </c>
    </row>
    <row r="195" spans="1:30" x14ac:dyDescent="0.2">
      <c r="A195" s="3">
        <v>42551</v>
      </c>
      <c r="B195" t="s">
        <v>23</v>
      </c>
      <c r="C195">
        <v>501</v>
      </c>
      <c r="D195">
        <v>4</v>
      </c>
      <c r="E195">
        <v>1</v>
      </c>
      <c r="F195" t="s">
        <v>33</v>
      </c>
      <c r="G195" t="s">
        <v>25</v>
      </c>
      <c r="H195" t="s">
        <v>26</v>
      </c>
      <c r="I195" t="s">
        <v>27</v>
      </c>
      <c r="J195" t="s">
        <v>28</v>
      </c>
      <c r="K195" t="s">
        <v>29</v>
      </c>
      <c r="L195" t="s">
        <v>35</v>
      </c>
      <c r="M195">
        <v>0</v>
      </c>
      <c r="N195">
        <v>0</v>
      </c>
      <c r="O195" s="17">
        <v>26604</v>
      </c>
      <c r="P195" s="17">
        <v>26603</v>
      </c>
      <c r="Q195">
        <f>30-11.5</f>
        <v>18.5</v>
      </c>
      <c r="R195" t="s">
        <v>39</v>
      </c>
      <c r="T195">
        <v>18</v>
      </c>
      <c r="U195">
        <v>84</v>
      </c>
      <c r="V195">
        <v>14</v>
      </c>
      <c r="W195">
        <v>12.4</v>
      </c>
      <c r="X195">
        <v>27.9</v>
      </c>
      <c r="Z195" t="s">
        <v>32</v>
      </c>
      <c r="AB195" t="s">
        <v>44</v>
      </c>
      <c r="AC195" t="s">
        <v>59</v>
      </c>
    </row>
    <row r="196" spans="1:30" x14ac:dyDescent="0.2">
      <c r="A196" s="3">
        <v>42509</v>
      </c>
      <c r="B196" t="s">
        <v>23</v>
      </c>
      <c r="C196">
        <v>113</v>
      </c>
      <c r="D196">
        <v>1</v>
      </c>
      <c r="E196">
        <v>1</v>
      </c>
      <c r="F196" t="s">
        <v>24</v>
      </c>
      <c r="G196" t="s">
        <v>25</v>
      </c>
      <c r="H196" t="s">
        <v>26</v>
      </c>
      <c r="I196" t="s">
        <v>27</v>
      </c>
      <c r="J196" t="s">
        <v>34</v>
      </c>
      <c r="K196" t="s">
        <v>29</v>
      </c>
      <c r="L196" t="s">
        <v>30</v>
      </c>
      <c r="M196">
        <v>0</v>
      </c>
      <c r="N196">
        <v>1</v>
      </c>
      <c r="O196" s="17">
        <v>26614</v>
      </c>
      <c r="P196" s="17">
        <v>26613</v>
      </c>
      <c r="Q196">
        <v>20</v>
      </c>
      <c r="R196" t="s">
        <v>61</v>
      </c>
      <c r="S196" t="s">
        <v>32</v>
      </c>
      <c r="T196">
        <v>19</v>
      </c>
      <c r="U196">
        <v>88</v>
      </c>
      <c r="V196">
        <v>14</v>
      </c>
      <c r="Z196" t="s">
        <v>32</v>
      </c>
      <c r="AB196" t="s">
        <v>121</v>
      </c>
      <c r="AC196" t="s">
        <v>122</v>
      </c>
    </row>
    <row r="197" spans="1:30" x14ac:dyDescent="0.2">
      <c r="A197" s="3">
        <v>42509</v>
      </c>
      <c r="B197" t="s">
        <v>23</v>
      </c>
      <c r="C197">
        <v>113</v>
      </c>
      <c r="D197">
        <v>8</v>
      </c>
      <c r="E197">
        <v>1</v>
      </c>
      <c r="F197" t="s">
        <v>24</v>
      </c>
      <c r="G197" t="s">
        <v>25</v>
      </c>
      <c r="H197" t="s">
        <v>26</v>
      </c>
      <c r="I197" t="s">
        <v>27</v>
      </c>
      <c r="J197" t="s">
        <v>34</v>
      </c>
      <c r="K197" t="s">
        <v>123</v>
      </c>
      <c r="L197" t="s">
        <v>30</v>
      </c>
      <c r="M197">
        <v>0</v>
      </c>
      <c r="N197">
        <v>1</v>
      </c>
      <c r="O197" s="17">
        <v>26616</v>
      </c>
      <c r="P197" s="17">
        <v>26615</v>
      </c>
      <c r="Q197">
        <v>16</v>
      </c>
      <c r="R197" t="s">
        <v>31</v>
      </c>
      <c r="S197" t="s">
        <v>32</v>
      </c>
      <c r="T197">
        <v>16</v>
      </c>
      <c r="U197">
        <v>68</v>
      </c>
      <c r="V197">
        <v>14</v>
      </c>
      <c r="Y197" t="s">
        <v>124</v>
      </c>
      <c r="Z197" t="s">
        <v>32</v>
      </c>
      <c r="AB197" t="s">
        <v>121</v>
      </c>
      <c r="AC197" t="s">
        <v>122</v>
      </c>
    </row>
    <row r="198" spans="1:30" x14ac:dyDescent="0.2">
      <c r="A198" s="3">
        <v>42514</v>
      </c>
      <c r="B198" t="s">
        <v>23</v>
      </c>
      <c r="C198">
        <v>803</v>
      </c>
      <c r="D198">
        <v>3</v>
      </c>
      <c r="E198">
        <v>1</v>
      </c>
      <c r="F198" t="s">
        <v>24</v>
      </c>
      <c r="G198" t="s">
        <v>25</v>
      </c>
      <c r="H198" t="s">
        <v>26</v>
      </c>
      <c r="I198" t="s">
        <v>27</v>
      </c>
      <c r="J198" t="s">
        <v>34</v>
      </c>
      <c r="K198" t="s">
        <v>29</v>
      </c>
      <c r="L198" t="s">
        <v>35</v>
      </c>
      <c r="M198">
        <v>1</v>
      </c>
      <c r="N198">
        <v>0</v>
      </c>
      <c r="O198" s="17">
        <v>26620</v>
      </c>
      <c r="P198" s="17">
        <v>26621</v>
      </c>
      <c r="Q198">
        <f>36.5-13</f>
        <v>23.5</v>
      </c>
      <c r="R198" t="s">
        <v>39</v>
      </c>
      <c r="S198" t="s">
        <v>32</v>
      </c>
      <c r="Z198" t="s">
        <v>32</v>
      </c>
      <c r="AB198" t="s">
        <v>44</v>
      </c>
      <c r="AC198" t="s">
        <v>59</v>
      </c>
      <c r="AD198" t="s">
        <v>141</v>
      </c>
    </row>
    <row r="199" spans="1:30" x14ac:dyDescent="0.2">
      <c r="A199" s="3">
        <v>42493</v>
      </c>
      <c r="B199" t="s">
        <v>23</v>
      </c>
      <c r="C199">
        <v>203</v>
      </c>
      <c r="D199">
        <v>8</v>
      </c>
      <c r="E199">
        <v>1</v>
      </c>
      <c r="F199" t="s">
        <v>24</v>
      </c>
      <c r="G199" t="s">
        <v>25</v>
      </c>
      <c r="H199" t="s">
        <v>26</v>
      </c>
      <c r="I199" t="s">
        <v>27</v>
      </c>
      <c r="J199" t="s">
        <v>45</v>
      </c>
      <c r="K199" t="s">
        <v>29</v>
      </c>
      <c r="L199" t="s">
        <v>30</v>
      </c>
      <c r="M199">
        <v>1</v>
      </c>
      <c r="N199">
        <v>1</v>
      </c>
      <c r="O199" s="17">
        <v>26626</v>
      </c>
      <c r="P199" s="17" t="s">
        <v>46</v>
      </c>
      <c r="Q199">
        <f>26.75-8.25</f>
        <v>18.5</v>
      </c>
      <c r="R199" t="s">
        <v>31</v>
      </c>
      <c r="S199" t="s">
        <v>32</v>
      </c>
      <c r="T199">
        <v>19</v>
      </c>
      <c r="U199">
        <v>83</v>
      </c>
      <c r="V199">
        <v>11</v>
      </c>
      <c r="Z199" t="s">
        <v>32</v>
      </c>
      <c r="AB199" t="s">
        <v>44</v>
      </c>
    </row>
    <row r="200" spans="1:30" x14ac:dyDescent="0.2">
      <c r="A200" s="3">
        <v>42494</v>
      </c>
      <c r="B200" t="s">
        <v>23</v>
      </c>
      <c r="C200">
        <v>203</v>
      </c>
      <c r="D200">
        <v>9</v>
      </c>
      <c r="E200">
        <v>1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29</v>
      </c>
      <c r="L200" t="s">
        <v>30</v>
      </c>
      <c r="M200">
        <v>0</v>
      </c>
      <c r="N200">
        <v>0</v>
      </c>
      <c r="O200" s="17">
        <v>26626</v>
      </c>
      <c r="P200" s="17" t="s">
        <v>46</v>
      </c>
      <c r="Q200">
        <f>27.25-9</f>
        <v>18.25</v>
      </c>
      <c r="R200" t="s">
        <v>31</v>
      </c>
      <c r="S200" t="s">
        <v>32</v>
      </c>
      <c r="T200">
        <v>18</v>
      </c>
      <c r="U200">
        <v>82</v>
      </c>
      <c r="V200">
        <v>13</v>
      </c>
      <c r="Z200" t="s">
        <v>32</v>
      </c>
      <c r="AB200" t="s">
        <v>60</v>
      </c>
      <c r="AC200" t="s">
        <v>59</v>
      </c>
    </row>
    <row r="201" spans="1:30" x14ac:dyDescent="0.2">
      <c r="A201" s="3">
        <v>42495</v>
      </c>
      <c r="B201" t="s">
        <v>23</v>
      </c>
      <c r="C201">
        <v>203</v>
      </c>
      <c r="D201">
        <v>3</v>
      </c>
      <c r="E201">
        <v>1</v>
      </c>
      <c r="F201" t="s">
        <v>24</v>
      </c>
      <c r="G201" t="s">
        <v>25</v>
      </c>
      <c r="H201" t="s">
        <v>26</v>
      </c>
      <c r="I201" t="s">
        <v>27</v>
      </c>
      <c r="J201" t="s">
        <v>28</v>
      </c>
      <c r="K201" t="s">
        <v>29</v>
      </c>
      <c r="L201" t="s">
        <v>30</v>
      </c>
      <c r="M201">
        <v>0</v>
      </c>
      <c r="N201">
        <v>0</v>
      </c>
      <c r="O201" s="17">
        <v>26626</v>
      </c>
      <c r="P201" s="17" t="s">
        <v>46</v>
      </c>
      <c r="Q201">
        <v>18</v>
      </c>
      <c r="R201" t="s">
        <v>61</v>
      </c>
      <c r="S201" t="s">
        <v>32</v>
      </c>
      <c r="T201">
        <v>18</v>
      </c>
      <c r="U201">
        <v>86</v>
      </c>
      <c r="V201">
        <v>14.5</v>
      </c>
      <c r="Z201" t="s">
        <v>32</v>
      </c>
      <c r="AB201" t="s">
        <v>53</v>
      </c>
      <c r="AC201" t="s">
        <v>59</v>
      </c>
    </row>
    <row r="202" spans="1:30" x14ac:dyDescent="0.2">
      <c r="A202" s="3">
        <v>42494</v>
      </c>
      <c r="B202" t="s">
        <v>23</v>
      </c>
      <c r="C202">
        <v>304</v>
      </c>
      <c r="D202">
        <v>8</v>
      </c>
      <c r="E202">
        <v>1</v>
      </c>
      <c r="F202" t="s">
        <v>24</v>
      </c>
      <c r="G202" t="s">
        <v>25</v>
      </c>
      <c r="H202" t="s">
        <v>26</v>
      </c>
      <c r="I202" t="s">
        <v>27</v>
      </c>
      <c r="K202" t="s">
        <v>29</v>
      </c>
      <c r="L202" t="s">
        <v>35</v>
      </c>
      <c r="M202">
        <v>0</v>
      </c>
      <c r="N202">
        <v>0</v>
      </c>
      <c r="O202" s="17">
        <v>26628</v>
      </c>
      <c r="P202" s="17">
        <v>26629</v>
      </c>
      <c r="Q202">
        <f>30-7.5</f>
        <v>22.5</v>
      </c>
      <c r="R202" t="s">
        <v>39</v>
      </c>
      <c r="S202" t="s">
        <v>32</v>
      </c>
      <c r="T202">
        <v>21.5</v>
      </c>
      <c r="U202">
        <v>78</v>
      </c>
      <c r="V202">
        <v>17</v>
      </c>
      <c r="Z202" t="s">
        <v>32</v>
      </c>
      <c r="AB202" t="s">
        <v>60</v>
      </c>
      <c r="AC202" t="s">
        <v>59</v>
      </c>
    </row>
    <row r="203" spans="1:30" x14ac:dyDescent="0.2">
      <c r="A203" s="3">
        <v>42528</v>
      </c>
      <c r="B203" t="s">
        <v>23</v>
      </c>
      <c r="C203">
        <v>304</v>
      </c>
      <c r="D203">
        <v>2</v>
      </c>
      <c r="E203">
        <v>1</v>
      </c>
      <c r="F203" t="s">
        <v>24</v>
      </c>
      <c r="G203" t="s">
        <v>25</v>
      </c>
      <c r="H203" t="s">
        <v>26</v>
      </c>
      <c r="I203" t="s">
        <v>27</v>
      </c>
      <c r="J203" t="s">
        <v>28</v>
      </c>
      <c r="K203" t="s">
        <v>29</v>
      </c>
      <c r="L203" t="s">
        <v>35</v>
      </c>
      <c r="M203">
        <v>0</v>
      </c>
      <c r="N203">
        <v>0</v>
      </c>
      <c r="O203" s="17">
        <v>26628</v>
      </c>
      <c r="P203" s="17">
        <v>26629</v>
      </c>
      <c r="R203" t="s">
        <v>39</v>
      </c>
      <c r="S203" t="s">
        <v>32</v>
      </c>
      <c r="T203">
        <v>19</v>
      </c>
      <c r="U203">
        <v>86</v>
      </c>
      <c r="V203">
        <v>17</v>
      </c>
      <c r="W203">
        <v>12.5</v>
      </c>
      <c r="X203">
        <v>30</v>
      </c>
      <c r="Y203" t="s">
        <v>183</v>
      </c>
      <c r="Z203" t="s">
        <v>32</v>
      </c>
      <c r="AB203" t="s">
        <v>149</v>
      </c>
      <c r="AC203" t="s">
        <v>59</v>
      </c>
    </row>
    <row r="204" spans="1:30" x14ac:dyDescent="0.2">
      <c r="A204" s="3">
        <v>42495</v>
      </c>
      <c r="B204" t="s">
        <v>23</v>
      </c>
      <c r="C204">
        <v>201</v>
      </c>
      <c r="D204">
        <v>7</v>
      </c>
      <c r="E204">
        <v>1</v>
      </c>
      <c r="F204" t="s">
        <v>24</v>
      </c>
      <c r="G204" t="s">
        <v>25</v>
      </c>
      <c r="H204" t="s">
        <v>26</v>
      </c>
      <c r="I204" t="s">
        <v>27</v>
      </c>
      <c r="J204" t="s">
        <v>34</v>
      </c>
      <c r="K204" t="s">
        <v>29</v>
      </c>
      <c r="L204" t="s">
        <v>30</v>
      </c>
      <c r="M204">
        <v>0</v>
      </c>
      <c r="N204">
        <v>1</v>
      </c>
      <c r="O204" s="17">
        <v>26630</v>
      </c>
      <c r="P204" s="17">
        <v>26631</v>
      </c>
      <c r="Q204">
        <v>20.5</v>
      </c>
      <c r="R204" t="s">
        <v>31</v>
      </c>
      <c r="S204" t="s">
        <v>32</v>
      </c>
      <c r="T204">
        <v>19</v>
      </c>
      <c r="U204">
        <v>92</v>
      </c>
      <c r="V204">
        <v>15</v>
      </c>
      <c r="Z204" t="s">
        <v>32</v>
      </c>
      <c r="AB204" t="s">
        <v>53</v>
      </c>
      <c r="AC204" t="s">
        <v>59</v>
      </c>
    </row>
    <row r="205" spans="1:30" x14ac:dyDescent="0.2">
      <c r="A205" s="3">
        <v>42507</v>
      </c>
      <c r="B205" t="s">
        <v>23</v>
      </c>
      <c r="C205">
        <v>201</v>
      </c>
      <c r="D205">
        <v>7</v>
      </c>
      <c r="E205">
        <v>1</v>
      </c>
      <c r="F205" t="s">
        <v>33</v>
      </c>
      <c r="G205" t="s">
        <v>25</v>
      </c>
      <c r="H205" t="s">
        <v>26</v>
      </c>
      <c r="I205" t="s">
        <v>27</v>
      </c>
      <c r="J205" t="s">
        <v>28</v>
      </c>
      <c r="K205" t="s">
        <v>29</v>
      </c>
      <c r="L205" t="s">
        <v>30</v>
      </c>
      <c r="M205">
        <v>0</v>
      </c>
      <c r="N205">
        <v>0</v>
      </c>
      <c r="O205" s="17">
        <v>26630</v>
      </c>
      <c r="P205" s="17">
        <v>26631</v>
      </c>
      <c r="Q205">
        <f>43-14.5</f>
        <v>28.5</v>
      </c>
      <c r="R205" t="s">
        <v>94</v>
      </c>
      <c r="S205" t="s">
        <v>32</v>
      </c>
      <c r="T205">
        <v>19</v>
      </c>
      <c r="U205">
        <v>93</v>
      </c>
      <c r="V205">
        <v>14</v>
      </c>
      <c r="Z205" t="s">
        <v>32</v>
      </c>
      <c r="AB205" t="s">
        <v>44</v>
      </c>
      <c r="AC205" t="s">
        <v>116</v>
      </c>
    </row>
    <row r="206" spans="1:30" x14ac:dyDescent="0.2">
      <c r="A206" s="3">
        <v>42502</v>
      </c>
      <c r="B206" t="s">
        <v>23</v>
      </c>
      <c r="C206">
        <v>303</v>
      </c>
      <c r="D206">
        <v>1</v>
      </c>
      <c r="E206">
        <v>1</v>
      </c>
      <c r="F206" t="s">
        <v>24</v>
      </c>
      <c r="G206" t="s">
        <v>25</v>
      </c>
      <c r="H206" t="s">
        <v>26</v>
      </c>
      <c r="I206" t="s">
        <v>27</v>
      </c>
      <c r="J206" t="s">
        <v>34</v>
      </c>
      <c r="K206" t="s">
        <v>29</v>
      </c>
      <c r="L206" t="s">
        <v>30</v>
      </c>
      <c r="M206">
        <v>0</v>
      </c>
      <c r="N206">
        <v>1</v>
      </c>
      <c r="O206" s="17">
        <v>26635</v>
      </c>
      <c r="P206" s="17">
        <v>26608</v>
      </c>
      <c r="Q206">
        <f>32-8</f>
        <v>24</v>
      </c>
      <c r="R206" t="s">
        <v>75</v>
      </c>
      <c r="S206" t="s">
        <v>32</v>
      </c>
      <c r="T206">
        <v>19</v>
      </c>
      <c r="U206">
        <v>95</v>
      </c>
      <c r="V206">
        <v>18</v>
      </c>
      <c r="Z206" t="s">
        <v>32</v>
      </c>
      <c r="AB206" t="s">
        <v>53</v>
      </c>
      <c r="AC206" t="s">
        <v>59</v>
      </c>
    </row>
    <row r="207" spans="1:30" x14ac:dyDescent="0.2">
      <c r="A207" s="3">
        <v>42515</v>
      </c>
      <c r="B207" t="s">
        <v>23</v>
      </c>
      <c r="C207">
        <v>303</v>
      </c>
      <c r="D207">
        <v>1</v>
      </c>
      <c r="E207">
        <v>1</v>
      </c>
      <c r="F207" t="s">
        <v>33</v>
      </c>
      <c r="G207" t="s">
        <v>25</v>
      </c>
      <c r="H207" t="s">
        <v>26</v>
      </c>
      <c r="I207" t="s">
        <v>27</v>
      </c>
      <c r="J207" t="s">
        <v>146</v>
      </c>
      <c r="K207" t="s">
        <v>29</v>
      </c>
      <c r="L207" t="s">
        <v>30</v>
      </c>
      <c r="M207">
        <v>0</v>
      </c>
      <c r="N207">
        <v>0</v>
      </c>
      <c r="O207" s="17">
        <v>26635</v>
      </c>
      <c r="P207" s="17">
        <v>26608</v>
      </c>
      <c r="Q207">
        <f>28-1</f>
        <v>27</v>
      </c>
      <c r="R207" t="s">
        <v>94</v>
      </c>
      <c r="S207" t="s">
        <v>32</v>
      </c>
      <c r="T207">
        <v>20</v>
      </c>
      <c r="U207">
        <v>91</v>
      </c>
      <c r="V207">
        <v>14</v>
      </c>
      <c r="Z207" t="s">
        <v>32</v>
      </c>
      <c r="AB207" t="s">
        <v>144</v>
      </c>
      <c r="AC207" t="s">
        <v>122</v>
      </c>
    </row>
    <row r="208" spans="1:30" x14ac:dyDescent="0.2">
      <c r="A208" s="3">
        <v>42501</v>
      </c>
      <c r="B208" t="s">
        <v>23</v>
      </c>
      <c r="C208">
        <v>501</v>
      </c>
      <c r="D208">
        <v>9</v>
      </c>
      <c r="E208">
        <v>1</v>
      </c>
      <c r="F208" t="s">
        <v>24</v>
      </c>
      <c r="G208" t="s">
        <v>25</v>
      </c>
      <c r="H208" t="s">
        <v>26</v>
      </c>
      <c r="I208" t="s">
        <v>27</v>
      </c>
      <c r="J208" t="s">
        <v>34</v>
      </c>
      <c r="K208" t="s">
        <v>29</v>
      </c>
      <c r="L208" t="s">
        <v>35</v>
      </c>
      <c r="M208">
        <v>0</v>
      </c>
      <c r="N208">
        <v>1</v>
      </c>
      <c r="O208" s="17">
        <v>26639</v>
      </c>
      <c r="P208" s="17">
        <v>26638</v>
      </c>
      <c r="Q208">
        <f>33-8.5</f>
        <v>24.5</v>
      </c>
      <c r="R208" t="s">
        <v>63</v>
      </c>
      <c r="S208" t="s">
        <v>32</v>
      </c>
      <c r="T208">
        <v>18</v>
      </c>
      <c r="U208">
        <v>83</v>
      </c>
      <c r="V208">
        <v>18</v>
      </c>
      <c r="Z208" t="s">
        <v>32</v>
      </c>
      <c r="AB208" t="s">
        <v>44</v>
      </c>
      <c r="AC208" t="s">
        <v>59</v>
      </c>
    </row>
    <row r="209" spans="1:29" x14ac:dyDescent="0.2">
      <c r="A209" s="3">
        <v>42502</v>
      </c>
      <c r="B209" t="s">
        <v>23</v>
      </c>
      <c r="C209">
        <v>501</v>
      </c>
      <c r="D209">
        <v>9</v>
      </c>
      <c r="E209">
        <v>1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29</v>
      </c>
      <c r="L209" t="s">
        <v>35</v>
      </c>
      <c r="M209">
        <v>0</v>
      </c>
      <c r="N209">
        <v>0</v>
      </c>
      <c r="O209" s="17">
        <v>26639</v>
      </c>
      <c r="P209" s="17">
        <v>26638</v>
      </c>
      <c r="Q209">
        <f>31.5-11.5</f>
        <v>20</v>
      </c>
      <c r="R209" t="s">
        <v>39</v>
      </c>
      <c r="S209" t="s">
        <v>32</v>
      </c>
      <c r="T209">
        <v>20</v>
      </c>
      <c r="U209">
        <v>86</v>
      </c>
      <c r="V209">
        <v>17</v>
      </c>
      <c r="Z209" t="s">
        <v>32</v>
      </c>
      <c r="AB209" t="s">
        <v>53</v>
      </c>
      <c r="AC209" t="s">
        <v>59</v>
      </c>
    </row>
    <row r="210" spans="1:29" x14ac:dyDescent="0.2">
      <c r="A210" s="3">
        <v>42495</v>
      </c>
      <c r="B210" t="s">
        <v>23</v>
      </c>
      <c r="C210">
        <v>201</v>
      </c>
      <c r="D210">
        <v>7</v>
      </c>
      <c r="E210">
        <v>2</v>
      </c>
      <c r="F210" t="s">
        <v>24</v>
      </c>
      <c r="G210" t="s">
        <v>25</v>
      </c>
      <c r="H210" t="s">
        <v>26</v>
      </c>
      <c r="I210" t="s">
        <v>27</v>
      </c>
      <c r="J210" t="s">
        <v>34</v>
      </c>
      <c r="K210" t="s">
        <v>29</v>
      </c>
      <c r="L210" t="s">
        <v>35</v>
      </c>
      <c r="M210">
        <v>0</v>
      </c>
      <c r="N210">
        <v>1</v>
      </c>
      <c r="O210" s="17">
        <v>26644</v>
      </c>
      <c r="P210" s="17">
        <v>26643</v>
      </c>
      <c r="Q210">
        <v>25</v>
      </c>
      <c r="R210" t="s">
        <v>39</v>
      </c>
      <c r="S210" t="s">
        <v>32</v>
      </c>
      <c r="T210">
        <v>19</v>
      </c>
      <c r="U210">
        <v>96</v>
      </c>
      <c r="V210">
        <v>14</v>
      </c>
      <c r="Z210" t="s">
        <v>32</v>
      </c>
      <c r="AB210" t="s">
        <v>53</v>
      </c>
      <c r="AC210" t="s">
        <v>59</v>
      </c>
    </row>
    <row r="211" spans="1:29" x14ac:dyDescent="0.2">
      <c r="A211" s="3">
        <v>42493</v>
      </c>
      <c r="B211" t="s">
        <v>23</v>
      </c>
      <c r="C211">
        <v>201</v>
      </c>
      <c r="D211">
        <v>7</v>
      </c>
      <c r="E211">
        <v>1</v>
      </c>
      <c r="F211" t="s">
        <v>33</v>
      </c>
      <c r="G211" t="s">
        <v>25</v>
      </c>
      <c r="H211" t="s">
        <v>26</v>
      </c>
      <c r="I211" t="s">
        <v>27</v>
      </c>
      <c r="J211" t="s">
        <v>34</v>
      </c>
      <c r="K211" t="s">
        <v>29</v>
      </c>
      <c r="L211" t="s">
        <v>35</v>
      </c>
      <c r="M211">
        <v>0</v>
      </c>
      <c r="N211">
        <v>1</v>
      </c>
      <c r="O211" s="17">
        <v>26645</v>
      </c>
      <c r="P211" s="17">
        <v>26646</v>
      </c>
      <c r="Q211">
        <f>27-7.75</f>
        <v>19.25</v>
      </c>
      <c r="R211" t="s">
        <v>36</v>
      </c>
      <c r="S211" t="s">
        <v>32</v>
      </c>
      <c r="T211">
        <v>19</v>
      </c>
      <c r="U211">
        <v>85</v>
      </c>
      <c r="V211">
        <v>11</v>
      </c>
      <c r="Z211" t="s">
        <v>32</v>
      </c>
      <c r="AB211" t="s">
        <v>44</v>
      </c>
    </row>
    <row r="212" spans="1:29" x14ac:dyDescent="0.2">
      <c r="A212" s="3">
        <v>42494</v>
      </c>
      <c r="B212" t="s">
        <v>23</v>
      </c>
      <c r="C212">
        <v>201</v>
      </c>
      <c r="D212">
        <v>2</v>
      </c>
      <c r="E212">
        <v>1</v>
      </c>
      <c r="F212" t="s">
        <v>33</v>
      </c>
      <c r="G212" t="s">
        <v>25</v>
      </c>
      <c r="H212" t="s">
        <v>26</v>
      </c>
      <c r="I212" t="s">
        <v>27</v>
      </c>
      <c r="J212" t="s">
        <v>28</v>
      </c>
      <c r="K212" t="s">
        <v>29</v>
      </c>
      <c r="L212" t="s">
        <v>35</v>
      </c>
      <c r="M212">
        <v>0</v>
      </c>
      <c r="N212">
        <v>0</v>
      </c>
      <c r="O212" s="17">
        <v>26645</v>
      </c>
      <c r="P212" s="17">
        <v>26646</v>
      </c>
      <c r="Q212">
        <f>29-13</f>
        <v>16</v>
      </c>
      <c r="R212" t="s">
        <v>39</v>
      </c>
      <c r="S212" t="s">
        <v>32</v>
      </c>
      <c r="T212">
        <v>19</v>
      </c>
      <c r="U212">
        <v>86</v>
      </c>
      <c r="V212">
        <v>13</v>
      </c>
      <c r="Z212" t="s">
        <v>32</v>
      </c>
      <c r="AB212" t="s">
        <v>60</v>
      </c>
      <c r="AC212" t="s">
        <v>59</v>
      </c>
    </row>
    <row r="213" spans="1:29" x14ac:dyDescent="0.2">
      <c r="A213" s="3">
        <v>42495</v>
      </c>
      <c r="B213" t="s">
        <v>23</v>
      </c>
      <c r="C213">
        <v>201</v>
      </c>
      <c r="D213">
        <v>6</v>
      </c>
      <c r="E213">
        <v>2</v>
      </c>
      <c r="F213" t="s">
        <v>33</v>
      </c>
      <c r="G213" t="s">
        <v>25</v>
      </c>
      <c r="H213" t="s">
        <v>26</v>
      </c>
      <c r="I213" t="s">
        <v>27</v>
      </c>
      <c r="J213" t="s">
        <v>28</v>
      </c>
      <c r="K213" t="s">
        <v>29</v>
      </c>
      <c r="L213" t="s">
        <v>35</v>
      </c>
      <c r="M213">
        <v>0</v>
      </c>
      <c r="N213">
        <v>0</v>
      </c>
      <c r="O213" s="17">
        <v>26645</v>
      </c>
      <c r="P213" s="17">
        <v>26646</v>
      </c>
      <c r="Q213">
        <f>32-11</f>
        <v>21</v>
      </c>
      <c r="R213" t="s">
        <v>39</v>
      </c>
      <c r="S213" t="s">
        <v>32</v>
      </c>
      <c r="T213">
        <v>20</v>
      </c>
      <c r="U213">
        <v>92</v>
      </c>
      <c r="V213">
        <v>12</v>
      </c>
      <c r="Z213" t="s">
        <v>32</v>
      </c>
      <c r="AB213" t="s">
        <v>53</v>
      </c>
      <c r="AC213" t="s">
        <v>59</v>
      </c>
    </row>
    <row r="214" spans="1:29" x14ac:dyDescent="0.2">
      <c r="A214" s="3">
        <v>42507</v>
      </c>
      <c r="B214" t="s">
        <v>23</v>
      </c>
      <c r="C214">
        <v>201</v>
      </c>
      <c r="D214">
        <v>9</v>
      </c>
      <c r="E214">
        <v>1</v>
      </c>
      <c r="F214" t="s">
        <v>33</v>
      </c>
      <c r="G214" t="s">
        <v>25</v>
      </c>
      <c r="H214" t="s">
        <v>26</v>
      </c>
      <c r="I214" t="s">
        <v>27</v>
      </c>
      <c r="J214" t="s">
        <v>28</v>
      </c>
      <c r="K214" t="s">
        <v>29</v>
      </c>
      <c r="L214" t="s">
        <v>35</v>
      </c>
      <c r="M214">
        <v>0</v>
      </c>
      <c r="N214">
        <v>0</v>
      </c>
      <c r="O214" s="17">
        <v>26645</v>
      </c>
      <c r="P214" s="17">
        <v>26646</v>
      </c>
      <c r="Q214">
        <f>36-13.5</f>
        <v>22.5</v>
      </c>
      <c r="R214" t="s">
        <v>39</v>
      </c>
      <c r="S214" t="s">
        <v>32</v>
      </c>
      <c r="T214">
        <v>19</v>
      </c>
      <c r="U214">
        <v>92</v>
      </c>
      <c r="V214">
        <v>13</v>
      </c>
      <c r="Z214" t="s">
        <v>32</v>
      </c>
      <c r="AB214" t="s">
        <v>44</v>
      </c>
      <c r="AC214" t="s">
        <v>116</v>
      </c>
    </row>
    <row r="215" spans="1:29" x14ac:dyDescent="0.2">
      <c r="A215" s="3">
        <v>42493</v>
      </c>
      <c r="B215" t="s">
        <v>23</v>
      </c>
      <c r="C215">
        <v>201</v>
      </c>
      <c r="D215">
        <v>2</v>
      </c>
      <c r="E215">
        <v>1</v>
      </c>
      <c r="F215" t="s">
        <v>24</v>
      </c>
      <c r="G215" t="s">
        <v>25</v>
      </c>
      <c r="H215" t="s">
        <v>26</v>
      </c>
      <c r="I215" t="s">
        <v>27</v>
      </c>
      <c r="J215" t="s">
        <v>34</v>
      </c>
      <c r="K215" t="s">
        <v>29</v>
      </c>
      <c r="L215" t="s">
        <v>35</v>
      </c>
      <c r="M215">
        <v>0</v>
      </c>
      <c r="N215">
        <v>1</v>
      </c>
      <c r="O215" s="17">
        <v>26648</v>
      </c>
      <c r="P215" s="17">
        <v>26647</v>
      </c>
      <c r="Q215">
        <f>29.25-8.25</f>
        <v>21</v>
      </c>
      <c r="R215" t="s">
        <v>39</v>
      </c>
      <c r="S215" t="s">
        <v>32</v>
      </c>
      <c r="T215">
        <v>19</v>
      </c>
      <c r="U215">
        <v>93</v>
      </c>
      <c r="V215">
        <v>11.5</v>
      </c>
      <c r="Z215" t="s">
        <v>32</v>
      </c>
      <c r="AB215" t="s">
        <v>44</v>
      </c>
    </row>
    <row r="216" spans="1:29" x14ac:dyDescent="0.2">
      <c r="A216" s="3">
        <v>42494</v>
      </c>
      <c r="B216" t="s">
        <v>23</v>
      </c>
      <c r="C216">
        <v>201</v>
      </c>
      <c r="D216">
        <v>1</v>
      </c>
      <c r="E216">
        <v>2</v>
      </c>
      <c r="F216" t="s">
        <v>33</v>
      </c>
      <c r="G216" t="s">
        <v>25</v>
      </c>
      <c r="H216" t="s">
        <v>26</v>
      </c>
      <c r="I216" t="s">
        <v>27</v>
      </c>
      <c r="J216" t="s">
        <v>28</v>
      </c>
      <c r="K216" t="s">
        <v>29</v>
      </c>
      <c r="L216" t="s">
        <v>35</v>
      </c>
      <c r="M216">
        <v>0</v>
      </c>
      <c r="N216">
        <v>0</v>
      </c>
      <c r="O216" s="17">
        <v>26648</v>
      </c>
      <c r="P216" s="17">
        <v>26647</v>
      </c>
      <c r="Q216">
        <f>34.5-12</f>
        <v>22.5</v>
      </c>
      <c r="R216" t="s">
        <v>39</v>
      </c>
      <c r="S216" t="s">
        <v>32</v>
      </c>
      <c r="T216">
        <v>19</v>
      </c>
      <c r="U216">
        <v>90</v>
      </c>
      <c r="V216">
        <v>11</v>
      </c>
      <c r="Z216" t="s">
        <v>32</v>
      </c>
      <c r="AB216" t="s">
        <v>60</v>
      </c>
      <c r="AC216" t="s">
        <v>59</v>
      </c>
    </row>
    <row r="217" spans="1:29" x14ac:dyDescent="0.2">
      <c r="A217" s="3">
        <v>42495</v>
      </c>
      <c r="B217" t="s">
        <v>23</v>
      </c>
      <c r="C217">
        <v>201</v>
      </c>
      <c r="D217">
        <v>4</v>
      </c>
      <c r="E217">
        <v>1</v>
      </c>
      <c r="F217" t="s">
        <v>24</v>
      </c>
      <c r="G217" t="s">
        <v>25</v>
      </c>
      <c r="H217" t="s">
        <v>26</v>
      </c>
      <c r="I217" t="s">
        <v>27</v>
      </c>
      <c r="J217" t="s">
        <v>28</v>
      </c>
      <c r="K217" t="s">
        <v>29</v>
      </c>
      <c r="L217" t="s">
        <v>35</v>
      </c>
      <c r="M217">
        <v>0</v>
      </c>
      <c r="N217">
        <v>0</v>
      </c>
      <c r="O217" s="17">
        <v>26648</v>
      </c>
      <c r="P217" s="17">
        <v>26647</v>
      </c>
      <c r="Q217">
        <v>21</v>
      </c>
      <c r="R217" t="s">
        <v>39</v>
      </c>
      <c r="S217" t="s">
        <v>32</v>
      </c>
      <c r="T217">
        <v>18</v>
      </c>
      <c r="U217">
        <v>95</v>
      </c>
      <c r="V217">
        <v>12</v>
      </c>
      <c r="Z217" t="s">
        <v>32</v>
      </c>
      <c r="AB217" t="s">
        <v>53</v>
      </c>
      <c r="AC217" t="s">
        <v>59</v>
      </c>
    </row>
    <row r="218" spans="1:29" x14ac:dyDescent="0.2">
      <c r="A218" s="3">
        <v>42507</v>
      </c>
      <c r="B218" t="s">
        <v>23</v>
      </c>
      <c r="C218">
        <v>201</v>
      </c>
      <c r="D218">
        <v>2</v>
      </c>
      <c r="E218">
        <v>1</v>
      </c>
      <c r="F218" t="s">
        <v>33</v>
      </c>
      <c r="G218" t="s">
        <v>25</v>
      </c>
      <c r="H218" t="s">
        <v>26</v>
      </c>
      <c r="I218" t="s">
        <v>27</v>
      </c>
      <c r="J218" t="s">
        <v>28</v>
      </c>
      <c r="K218" t="s">
        <v>29</v>
      </c>
      <c r="L218" t="s">
        <v>35</v>
      </c>
      <c r="M218">
        <v>0</v>
      </c>
      <c r="N218">
        <v>0</v>
      </c>
      <c r="O218" s="17">
        <v>26648</v>
      </c>
      <c r="P218" s="17">
        <v>26647</v>
      </c>
      <c r="Q218">
        <f>36-12.5</f>
        <v>23.5</v>
      </c>
      <c r="R218" t="s">
        <v>39</v>
      </c>
      <c r="S218" t="s">
        <v>32</v>
      </c>
      <c r="T218">
        <v>20</v>
      </c>
      <c r="U218">
        <v>91</v>
      </c>
      <c r="V218">
        <v>11</v>
      </c>
      <c r="Z218" t="s">
        <v>32</v>
      </c>
      <c r="AB218" t="s">
        <v>44</v>
      </c>
      <c r="AC218" t="s">
        <v>116</v>
      </c>
    </row>
    <row r="219" spans="1:29" x14ac:dyDescent="0.2">
      <c r="A219" s="3">
        <v>42509</v>
      </c>
      <c r="B219" t="s">
        <v>23</v>
      </c>
      <c r="C219">
        <v>201</v>
      </c>
      <c r="D219">
        <v>1</v>
      </c>
      <c r="E219">
        <v>2</v>
      </c>
      <c r="F219" t="s">
        <v>33</v>
      </c>
      <c r="G219" t="s">
        <v>25</v>
      </c>
      <c r="H219" t="s">
        <v>26</v>
      </c>
      <c r="I219" t="s">
        <v>27</v>
      </c>
      <c r="J219" t="s">
        <v>28</v>
      </c>
      <c r="K219" t="s">
        <v>29</v>
      </c>
      <c r="L219" t="s">
        <v>35</v>
      </c>
      <c r="M219">
        <v>0</v>
      </c>
      <c r="N219">
        <v>0</v>
      </c>
      <c r="O219" s="17">
        <v>26648</v>
      </c>
      <c r="P219" s="17">
        <v>26647</v>
      </c>
      <c r="Q219">
        <v>21</v>
      </c>
      <c r="R219" t="s">
        <v>39</v>
      </c>
      <c r="S219" t="s">
        <v>32</v>
      </c>
      <c r="T219">
        <v>19</v>
      </c>
      <c r="U219">
        <v>95</v>
      </c>
      <c r="V219">
        <v>12</v>
      </c>
      <c r="Z219" t="s">
        <v>32</v>
      </c>
      <c r="AB219" t="s">
        <v>121</v>
      </c>
      <c r="AC219" t="s">
        <v>122</v>
      </c>
    </row>
    <row r="220" spans="1:29" x14ac:dyDescent="0.2">
      <c r="A220" s="3">
        <v>42528</v>
      </c>
      <c r="B220" t="s">
        <v>23</v>
      </c>
      <c r="C220">
        <v>201</v>
      </c>
      <c r="D220">
        <v>1</v>
      </c>
      <c r="E220">
        <v>1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29</v>
      </c>
      <c r="L220" t="s">
        <v>35</v>
      </c>
      <c r="M220">
        <v>0</v>
      </c>
      <c r="N220">
        <v>0</v>
      </c>
      <c r="O220" s="17">
        <v>26648</v>
      </c>
      <c r="P220" s="17">
        <v>26647</v>
      </c>
      <c r="Q220">
        <f>34-11.5</f>
        <v>22.5</v>
      </c>
      <c r="R220" t="s">
        <v>39</v>
      </c>
      <c r="S220" t="s">
        <v>32</v>
      </c>
      <c r="T220">
        <v>19</v>
      </c>
      <c r="U220">
        <v>99.5</v>
      </c>
      <c r="V220">
        <v>15</v>
      </c>
      <c r="W220">
        <v>12.3</v>
      </c>
      <c r="X220">
        <v>28</v>
      </c>
      <c r="Z220" t="s">
        <v>32</v>
      </c>
      <c r="AB220" t="s">
        <v>121</v>
      </c>
      <c r="AC220" t="s">
        <v>59</v>
      </c>
    </row>
    <row r="221" spans="1:29" x14ac:dyDescent="0.2">
      <c r="A221" s="3">
        <v>42529</v>
      </c>
      <c r="B221" t="s">
        <v>23</v>
      </c>
      <c r="C221">
        <v>201</v>
      </c>
      <c r="D221">
        <v>4</v>
      </c>
      <c r="E221">
        <v>1</v>
      </c>
      <c r="F221" t="s">
        <v>24</v>
      </c>
      <c r="G221" t="s">
        <v>25</v>
      </c>
      <c r="H221" t="s">
        <v>26</v>
      </c>
      <c r="I221" t="s">
        <v>27</v>
      </c>
      <c r="J221" t="s">
        <v>28</v>
      </c>
      <c r="K221" t="s">
        <v>187</v>
      </c>
      <c r="L221" t="s">
        <v>35</v>
      </c>
      <c r="M221">
        <v>0</v>
      </c>
      <c r="N221">
        <v>0</v>
      </c>
      <c r="O221" s="17">
        <v>26648</v>
      </c>
      <c r="P221" s="17">
        <v>26647</v>
      </c>
      <c r="Q221">
        <f>35-13.5</f>
        <v>21.5</v>
      </c>
      <c r="R221" t="s">
        <v>39</v>
      </c>
      <c r="S221" t="s">
        <v>32</v>
      </c>
      <c r="T221">
        <v>19</v>
      </c>
      <c r="U221">
        <v>96</v>
      </c>
      <c r="V221">
        <v>15</v>
      </c>
      <c r="W221">
        <v>12.3</v>
      </c>
      <c r="X221">
        <v>28.7</v>
      </c>
      <c r="Z221" t="s">
        <v>32</v>
      </c>
      <c r="AB221" t="s">
        <v>121</v>
      </c>
      <c r="AC221" t="s">
        <v>59</v>
      </c>
    </row>
    <row r="222" spans="1:29" x14ac:dyDescent="0.2">
      <c r="A222" s="3">
        <v>42528</v>
      </c>
      <c r="B222" t="s">
        <v>23</v>
      </c>
      <c r="C222">
        <v>112</v>
      </c>
      <c r="D222">
        <v>4</v>
      </c>
      <c r="E222">
        <v>1</v>
      </c>
      <c r="F222" t="s">
        <v>33</v>
      </c>
      <c r="G222" t="s">
        <v>25</v>
      </c>
      <c r="H222" t="s">
        <v>26</v>
      </c>
      <c r="I222" t="s">
        <v>27</v>
      </c>
      <c r="J222" t="s">
        <v>34</v>
      </c>
      <c r="K222" t="s">
        <v>29</v>
      </c>
      <c r="L222" t="s">
        <v>30</v>
      </c>
      <c r="M222">
        <v>0</v>
      </c>
      <c r="N222">
        <v>1</v>
      </c>
      <c r="O222" s="17">
        <v>50303</v>
      </c>
      <c r="P222" s="17">
        <v>50302</v>
      </c>
      <c r="Q222">
        <f>35-3.5</f>
        <v>31.5</v>
      </c>
      <c r="R222" t="s">
        <v>94</v>
      </c>
      <c r="S222" t="s">
        <v>32</v>
      </c>
      <c r="T222">
        <v>19</v>
      </c>
      <c r="U222">
        <v>84</v>
      </c>
      <c r="V222">
        <v>15</v>
      </c>
      <c r="W222">
        <v>11</v>
      </c>
      <c r="X222">
        <v>25.8</v>
      </c>
      <c r="Z222" t="s">
        <v>32</v>
      </c>
      <c r="AB222" t="s">
        <v>149</v>
      </c>
      <c r="AC222" t="s">
        <v>59</v>
      </c>
    </row>
    <row r="223" spans="1:29" x14ac:dyDescent="0.2">
      <c r="A223" s="3">
        <v>42528</v>
      </c>
      <c r="B223" t="s">
        <v>23</v>
      </c>
      <c r="C223">
        <v>112</v>
      </c>
      <c r="D223">
        <v>10</v>
      </c>
      <c r="E223">
        <v>1</v>
      </c>
      <c r="F223" t="s">
        <v>33</v>
      </c>
      <c r="G223" t="s">
        <v>25</v>
      </c>
      <c r="H223" t="s">
        <v>26</v>
      </c>
      <c r="I223" t="s">
        <v>27</v>
      </c>
      <c r="J223" t="s">
        <v>34</v>
      </c>
      <c r="K223" t="s">
        <v>29</v>
      </c>
      <c r="L223" t="s">
        <v>30</v>
      </c>
      <c r="M223">
        <v>0</v>
      </c>
      <c r="N223">
        <v>1</v>
      </c>
      <c r="O223" s="17">
        <v>50305</v>
      </c>
      <c r="P223" s="17">
        <v>50304</v>
      </c>
      <c r="Q223">
        <f>25.5-4</f>
        <v>21.5</v>
      </c>
      <c r="R223" t="s">
        <v>61</v>
      </c>
      <c r="S223" t="s">
        <v>145</v>
      </c>
      <c r="T223">
        <v>19</v>
      </c>
      <c r="U223">
        <v>78</v>
      </c>
      <c r="V223">
        <v>16</v>
      </c>
      <c r="W223">
        <v>11.8</v>
      </c>
      <c r="X223">
        <v>26</v>
      </c>
      <c r="Z223" t="s">
        <v>32</v>
      </c>
      <c r="AB223" t="s">
        <v>121</v>
      </c>
      <c r="AC223" t="s">
        <v>59</v>
      </c>
    </row>
    <row r="224" spans="1:29" x14ac:dyDescent="0.2">
      <c r="A224" s="3">
        <v>42529</v>
      </c>
      <c r="B224" t="s">
        <v>23</v>
      </c>
      <c r="C224">
        <v>111</v>
      </c>
      <c r="D224">
        <v>9</v>
      </c>
      <c r="E224">
        <v>2</v>
      </c>
      <c r="F224" t="s">
        <v>33</v>
      </c>
      <c r="G224" t="s">
        <v>25</v>
      </c>
      <c r="H224" t="s">
        <v>26</v>
      </c>
      <c r="I224" t="s">
        <v>27</v>
      </c>
      <c r="J224" t="s">
        <v>34</v>
      </c>
      <c r="K224" t="s">
        <v>188</v>
      </c>
      <c r="L224" t="s">
        <v>35</v>
      </c>
      <c r="M224">
        <v>0</v>
      </c>
      <c r="N224">
        <v>1</v>
      </c>
      <c r="O224" s="17">
        <v>50307</v>
      </c>
      <c r="P224" s="17">
        <v>50306</v>
      </c>
      <c r="Q224">
        <f>21-5.5</f>
        <v>15.5</v>
      </c>
      <c r="R224" t="s">
        <v>39</v>
      </c>
      <c r="S224" t="s">
        <v>32</v>
      </c>
      <c r="T224">
        <v>19</v>
      </c>
      <c r="U224">
        <v>87</v>
      </c>
      <c r="V224">
        <v>15</v>
      </c>
      <c r="W224">
        <v>10.5</v>
      </c>
      <c r="X224">
        <v>24</v>
      </c>
      <c r="Z224" t="s">
        <v>32</v>
      </c>
      <c r="AB224" t="s">
        <v>149</v>
      </c>
      <c r="AC224" t="s">
        <v>59</v>
      </c>
    </row>
    <row r="225" spans="1:29" x14ac:dyDescent="0.2">
      <c r="A225" s="3">
        <v>42530</v>
      </c>
      <c r="B225" t="s">
        <v>23</v>
      </c>
      <c r="C225">
        <v>111</v>
      </c>
      <c r="D225">
        <v>2</v>
      </c>
      <c r="E225">
        <v>1</v>
      </c>
      <c r="F225" t="s">
        <v>33</v>
      </c>
      <c r="G225" t="s">
        <v>25</v>
      </c>
      <c r="H225" t="s">
        <v>26</v>
      </c>
      <c r="I225" t="s">
        <v>27</v>
      </c>
      <c r="J225" t="s">
        <v>34</v>
      </c>
      <c r="K225" t="s">
        <v>187</v>
      </c>
      <c r="L225" t="s">
        <v>35</v>
      </c>
      <c r="M225">
        <v>0</v>
      </c>
      <c r="N225">
        <v>1</v>
      </c>
      <c r="O225" s="17">
        <v>50310</v>
      </c>
      <c r="P225" s="17">
        <v>50309</v>
      </c>
      <c r="Q225">
        <f>32.5-11</f>
        <v>21.5</v>
      </c>
      <c r="R225" t="s">
        <v>39</v>
      </c>
      <c r="S225" t="s">
        <v>32</v>
      </c>
      <c r="T225">
        <v>19</v>
      </c>
      <c r="U225">
        <v>97</v>
      </c>
      <c r="V225">
        <v>14</v>
      </c>
      <c r="W225">
        <v>13.5</v>
      </c>
      <c r="X225">
        <v>28.7</v>
      </c>
      <c r="Z225" t="s">
        <v>32</v>
      </c>
      <c r="AB225" t="s">
        <v>59</v>
      </c>
      <c r="AC225" t="s">
        <v>191</v>
      </c>
    </row>
    <row r="226" spans="1:29" x14ac:dyDescent="0.2">
      <c r="A226" s="3">
        <v>42528</v>
      </c>
      <c r="B226" t="s">
        <v>23</v>
      </c>
      <c r="C226">
        <v>112</v>
      </c>
      <c r="D226">
        <v>2</v>
      </c>
      <c r="E226">
        <v>2</v>
      </c>
      <c r="F226" t="s">
        <v>33</v>
      </c>
      <c r="G226" t="s">
        <v>25</v>
      </c>
      <c r="H226" t="s">
        <v>26</v>
      </c>
      <c r="I226" t="s">
        <v>27</v>
      </c>
      <c r="J226" t="s">
        <v>34</v>
      </c>
      <c r="K226" t="s">
        <v>123</v>
      </c>
      <c r="L226" t="s">
        <v>35</v>
      </c>
      <c r="M226">
        <v>0</v>
      </c>
      <c r="N226">
        <v>1</v>
      </c>
      <c r="O226" s="17">
        <v>50313</v>
      </c>
      <c r="P226" s="17">
        <v>50312</v>
      </c>
      <c r="Q226">
        <f>25-13</f>
        <v>12</v>
      </c>
      <c r="R226" t="s">
        <v>31</v>
      </c>
      <c r="S226" t="s">
        <v>32</v>
      </c>
      <c r="T226">
        <v>18</v>
      </c>
      <c r="U226">
        <v>75</v>
      </c>
      <c r="V226">
        <v>15</v>
      </c>
      <c r="W226">
        <v>10.199999999999999</v>
      </c>
      <c r="X226">
        <v>24</v>
      </c>
      <c r="Z226" t="s">
        <v>32</v>
      </c>
      <c r="AB226" t="s">
        <v>149</v>
      </c>
      <c r="AC226" t="s">
        <v>59</v>
      </c>
    </row>
    <row r="227" spans="1:29" x14ac:dyDescent="0.2">
      <c r="A227" s="3">
        <v>42515</v>
      </c>
      <c r="B227" t="s">
        <v>23</v>
      </c>
      <c r="C227">
        <v>401</v>
      </c>
      <c r="D227">
        <v>6</v>
      </c>
      <c r="E227">
        <v>1</v>
      </c>
      <c r="F227" t="s">
        <v>33</v>
      </c>
      <c r="G227" t="s">
        <v>25</v>
      </c>
      <c r="H227" t="s">
        <v>26</v>
      </c>
      <c r="I227" t="s">
        <v>27</v>
      </c>
      <c r="J227" t="s">
        <v>34</v>
      </c>
      <c r="K227" t="s">
        <v>29</v>
      </c>
      <c r="L227" t="s">
        <v>30</v>
      </c>
      <c r="M227">
        <v>0</v>
      </c>
      <c r="N227">
        <v>1</v>
      </c>
      <c r="O227" s="17">
        <v>50317</v>
      </c>
      <c r="P227" s="17">
        <v>50316</v>
      </c>
      <c r="Q227">
        <f>19.5</f>
        <v>19.5</v>
      </c>
      <c r="R227" t="s">
        <v>91</v>
      </c>
      <c r="S227" t="s">
        <v>32</v>
      </c>
      <c r="T227">
        <v>18</v>
      </c>
      <c r="U227">
        <v>82</v>
      </c>
      <c r="V227">
        <v>13</v>
      </c>
      <c r="Z227" t="s">
        <v>32</v>
      </c>
      <c r="AB227" t="s">
        <v>144</v>
      </c>
      <c r="AC227" t="s">
        <v>122</v>
      </c>
    </row>
    <row r="228" spans="1:29" x14ac:dyDescent="0.2">
      <c r="A228" s="3">
        <v>42514</v>
      </c>
      <c r="B228" t="s">
        <v>23</v>
      </c>
      <c r="C228">
        <v>401</v>
      </c>
      <c r="D228">
        <v>6</v>
      </c>
      <c r="E228">
        <v>1</v>
      </c>
      <c r="F228" t="s">
        <v>33</v>
      </c>
      <c r="G228" t="s">
        <v>25</v>
      </c>
      <c r="H228" t="s">
        <v>26</v>
      </c>
      <c r="I228" t="s">
        <v>27</v>
      </c>
      <c r="J228" t="s">
        <v>34</v>
      </c>
      <c r="K228" t="s">
        <v>29</v>
      </c>
      <c r="L228" t="s">
        <v>35</v>
      </c>
      <c r="M228">
        <v>0</v>
      </c>
      <c r="N228">
        <v>1</v>
      </c>
      <c r="O228" s="17">
        <v>50321</v>
      </c>
      <c r="P228" s="17">
        <v>50320</v>
      </c>
      <c r="Q228">
        <v>19</v>
      </c>
      <c r="R228" t="s">
        <v>31</v>
      </c>
      <c r="S228" t="s">
        <v>32</v>
      </c>
      <c r="T228">
        <v>19</v>
      </c>
      <c r="U228">
        <v>86</v>
      </c>
      <c r="V228">
        <v>13</v>
      </c>
      <c r="Z228" t="s">
        <v>32</v>
      </c>
      <c r="AB228" t="s">
        <v>44</v>
      </c>
      <c r="AC228" t="s">
        <v>59</v>
      </c>
    </row>
    <row r="229" spans="1:29" x14ac:dyDescent="0.2">
      <c r="A229" s="3">
        <v>42515</v>
      </c>
      <c r="B229" t="s">
        <v>23</v>
      </c>
      <c r="C229">
        <v>401</v>
      </c>
      <c r="D229">
        <v>5</v>
      </c>
      <c r="E229">
        <v>1</v>
      </c>
      <c r="F229" t="s">
        <v>33</v>
      </c>
      <c r="G229" t="s">
        <v>25</v>
      </c>
      <c r="H229" t="s">
        <v>26</v>
      </c>
      <c r="I229" t="s">
        <v>27</v>
      </c>
      <c r="J229" t="s">
        <v>28</v>
      </c>
      <c r="K229" t="s">
        <v>29</v>
      </c>
      <c r="L229" t="s">
        <v>35</v>
      </c>
      <c r="M229">
        <v>0</v>
      </c>
      <c r="N229">
        <v>0</v>
      </c>
      <c r="O229" s="17">
        <v>50321</v>
      </c>
      <c r="P229" s="17">
        <v>50320</v>
      </c>
      <c r="Q229">
        <f>25.5-1</f>
        <v>24.5</v>
      </c>
      <c r="R229" t="s">
        <v>39</v>
      </c>
      <c r="S229" t="s">
        <v>32</v>
      </c>
      <c r="T229">
        <v>20</v>
      </c>
      <c r="U229">
        <v>88</v>
      </c>
      <c r="V229">
        <v>14</v>
      </c>
      <c r="Z229" t="s">
        <v>32</v>
      </c>
      <c r="AB229" t="s">
        <v>144</v>
      </c>
      <c r="AC229" t="s">
        <v>122</v>
      </c>
    </row>
    <row r="230" spans="1:29" x14ac:dyDescent="0.2">
      <c r="A230" s="3">
        <v>42536</v>
      </c>
      <c r="B230" t="s">
        <v>23</v>
      </c>
      <c r="C230">
        <v>303</v>
      </c>
      <c r="D230">
        <v>1</v>
      </c>
      <c r="E230">
        <v>1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187</v>
      </c>
      <c r="L230" t="s">
        <v>35</v>
      </c>
      <c r="M230">
        <v>0</v>
      </c>
      <c r="N230">
        <v>0</v>
      </c>
      <c r="O230" s="17">
        <v>50321</v>
      </c>
      <c r="P230" s="17">
        <v>50320</v>
      </c>
      <c r="Q230">
        <f>32.5-12</f>
        <v>20.5</v>
      </c>
      <c r="R230" t="s">
        <v>63</v>
      </c>
      <c r="S230" t="s">
        <v>32</v>
      </c>
      <c r="T230">
        <v>19</v>
      </c>
      <c r="U230">
        <v>80</v>
      </c>
      <c r="V230">
        <v>16</v>
      </c>
      <c r="W230">
        <v>12.4</v>
      </c>
      <c r="X230">
        <v>28.8</v>
      </c>
      <c r="Z230" t="s">
        <v>32</v>
      </c>
      <c r="AB230" t="s">
        <v>44</v>
      </c>
      <c r="AC230" t="s">
        <v>59</v>
      </c>
    </row>
    <row r="231" spans="1:29" x14ac:dyDescent="0.2">
      <c r="A231" s="3">
        <v>42537</v>
      </c>
      <c r="B231" t="s">
        <v>23</v>
      </c>
      <c r="C231">
        <v>303</v>
      </c>
      <c r="D231">
        <v>1</v>
      </c>
      <c r="E231">
        <v>1</v>
      </c>
      <c r="F231" t="s">
        <v>24</v>
      </c>
      <c r="G231" t="s">
        <v>25</v>
      </c>
      <c r="H231" t="s">
        <v>26</v>
      </c>
      <c r="I231" t="s">
        <v>27</v>
      </c>
      <c r="J231" t="s">
        <v>28</v>
      </c>
      <c r="K231" t="s">
        <v>187</v>
      </c>
      <c r="L231" t="s">
        <v>35</v>
      </c>
      <c r="M231">
        <v>0</v>
      </c>
      <c r="N231">
        <v>0</v>
      </c>
      <c r="O231" s="17" t="s">
        <v>2207</v>
      </c>
      <c r="P231" s="17" t="s">
        <v>2208</v>
      </c>
      <c r="Q231">
        <f>35-12</f>
        <v>23</v>
      </c>
      <c r="R231" t="s">
        <v>39</v>
      </c>
      <c r="T231">
        <v>18</v>
      </c>
      <c r="U231">
        <v>85</v>
      </c>
      <c r="V231">
        <v>16</v>
      </c>
      <c r="W231">
        <v>12.5</v>
      </c>
      <c r="X231">
        <v>30.5</v>
      </c>
      <c r="Z231" t="s">
        <v>32</v>
      </c>
      <c r="AB231" t="s">
        <v>44</v>
      </c>
      <c r="AC231" t="s">
        <v>122</v>
      </c>
    </row>
    <row r="232" spans="1:29" x14ac:dyDescent="0.2">
      <c r="A232" s="3">
        <v>42549</v>
      </c>
      <c r="B232" t="s">
        <v>23</v>
      </c>
      <c r="C232">
        <v>303</v>
      </c>
      <c r="D232">
        <v>3</v>
      </c>
      <c r="E232">
        <v>1</v>
      </c>
      <c r="F232" t="s">
        <v>33</v>
      </c>
      <c r="G232" t="s">
        <v>25</v>
      </c>
      <c r="H232" t="s">
        <v>26</v>
      </c>
      <c r="I232" t="s">
        <v>27</v>
      </c>
      <c r="J232" t="s">
        <v>28</v>
      </c>
      <c r="K232" t="s">
        <v>29</v>
      </c>
      <c r="L232" t="s">
        <v>35</v>
      </c>
      <c r="M232">
        <v>0</v>
      </c>
      <c r="N232">
        <v>0</v>
      </c>
      <c r="O232" s="17">
        <v>50321</v>
      </c>
      <c r="P232" s="17">
        <v>50320</v>
      </c>
      <c r="Q232">
        <f>33-12</f>
        <v>21</v>
      </c>
      <c r="R232" t="s">
        <v>39</v>
      </c>
      <c r="T232">
        <v>19</v>
      </c>
      <c r="V232">
        <v>14</v>
      </c>
      <c r="W232">
        <v>12.6</v>
      </c>
      <c r="X232">
        <v>30.2</v>
      </c>
      <c r="Y232" t="s">
        <v>303</v>
      </c>
      <c r="Z232" t="s">
        <v>32</v>
      </c>
      <c r="AB232" t="s">
        <v>121</v>
      </c>
      <c r="AC232" t="s">
        <v>122</v>
      </c>
    </row>
    <row r="233" spans="1:29" x14ac:dyDescent="0.2">
      <c r="A233" s="3">
        <v>42550</v>
      </c>
      <c r="B233" t="s">
        <v>23</v>
      </c>
      <c r="C233">
        <v>303</v>
      </c>
      <c r="D233">
        <v>9</v>
      </c>
      <c r="E233">
        <v>1</v>
      </c>
      <c r="F233" t="s">
        <v>33</v>
      </c>
      <c r="G233" t="s">
        <v>25</v>
      </c>
      <c r="H233" t="s">
        <v>26</v>
      </c>
      <c r="I233" t="s">
        <v>27</v>
      </c>
      <c r="J233" t="s">
        <v>28</v>
      </c>
      <c r="K233" t="s">
        <v>29</v>
      </c>
      <c r="L233" t="s">
        <v>35</v>
      </c>
      <c r="M233">
        <v>0</v>
      </c>
      <c r="N233">
        <v>0</v>
      </c>
      <c r="O233" s="17">
        <v>50321</v>
      </c>
      <c r="P233" s="17">
        <v>50320</v>
      </c>
      <c r="Q233">
        <f>33-12</f>
        <v>21</v>
      </c>
      <c r="R233" t="s">
        <v>39</v>
      </c>
      <c r="T233">
        <v>18</v>
      </c>
      <c r="U233">
        <v>80</v>
      </c>
      <c r="V233">
        <v>13</v>
      </c>
      <c r="W233">
        <v>13.1</v>
      </c>
      <c r="X233">
        <v>28.9</v>
      </c>
      <c r="Z233" t="s">
        <v>32</v>
      </c>
      <c r="AB233" t="s">
        <v>121</v>
      </c>
      <c r="AC233" t="s">
        <v>59</v>
      </c>
    </row>
    <row r="234" spans="1:29" x14ac:dyDescent="0.2">
      <c r="A234" s="3">
        <v>42551</v>
      </c>
      <c r="B234" t="s">
        <v>23</v>
      </c>
      <c r="C234">
        <v>303</v>
      </c>
      <c r="D234">
        <v>1</v>
      </c>
      <c r="E234">
        <v>2</v>
      </c>
      <c r="F234" t="s">
        <v>33</v>
      </c>
      <c r="G234" t="s">
        <v>25</v>
      </c>
      <c r="H234" t="s">
        <v>26</v>
      </c>
      <c r="I234" t="s">
        <v>27</v>
      </c>
      <c r="J234" t="s">
        <v>28</v>
      </c>
      <c r="K234" t="s">
        <v>29</v>
      </c>
      <c r="L234" t="s">
        <v>35</v>
      </c>
      <c r="M234">
        <v>0</v>
      </c>
      <c r="N234">
        <v>0</v>
      </c>
      <c r="O234" s="17">
        <v>50321</v>
      </c>
      <c r="P234" s="17">
        <v>50520</v>
      </c>
      <c r="Q234">
        <f>35-14.5</f>
        <v>20.5</v>
      </c>
      <c r="R234" t="s">
        <v>39</v>
      </c>
      <c r="T234">
        <v>20</v>
      </c>
      <c r="U234">
        <v>78</v>
      </c>
      <c r="V234">
        <v>14</v>
      </c>
      <c r="W234">
        <v>12.8</v>
      </c>
      <c r="X234">
        <v>29.1</v>
      </c>
      <c r="Z234" t="s">
        <v>32</v>
      </c>
      <c r="AB234" t="s">
        <v>44</v>
      </c>
      <c r="AC234" t="s">
        <v>59</v>
      </c>
    </row>
    <row r="235" spans="1:29" x14ac:dyDescent="0.2">
      <c r="A235" s="3">
        <v>42563</v>
      </c>
      <c r="B235" t="s">
        <v>23</v>
      </c>
      <c r="C235">
        <v>303</v>
      </c>
      <c r="D235">
        <v>2</v>
      </c>
      <c r="E235">
        <v>2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29</v>
      </c>
      <c r="L235" t="s">
        <v>35</v>
      </c>
      <c r="M235">
        <v>0</v>
      </c>
      <c r="N235">
        <v>0</v>
      </c>
      <c r="O235" s="17">
        <v>50321</v>
      </c>
      <c r="P235" s="17">
        <v>50320</v>
      </c>
      <c r="Q235">
        <f>35-11.5</f>
        <v>23.5</v>
      </c>
      <c r="R235" t="s">
        <v>39</v>
      </c>
      <c r="W235">
        <v>13.3</v>
      </c>
      <c r="X235">
        <v>26.8</v>
      </c>
      <c r="Z235" t="s">
        <v>32</v>
      </c>
      <c r="AB235" t="s">
        <v>255</v>
      </c>
      <c r="AC235" t="s">
        <v>122</v>
      </c>
    </row>
    <row r="236" spans="1:29" x14ac:dyDescent="0.2">
      <c r="A236" s="3">
        <v>42564</v>
      </c>
      <c r="B236" t="s">
        <v>23</v>
      </c>
      <c r="C236">
        <v>303</v>
      </c>
      <c r="D236">
        <v>1</v>
      </c>
      <c r="E236">
        <v>1</v>
      </c>
      <c r="F236" t="s">
        <v>24</v>
      </c>
      <c r="G236" t="s">
        <v>25</v>
      </c>
      <c r="H236" t="s">
        <v>26</v>
      </c>
      <c r="I236" t="s">
        <v>27</v>
      </c>
      <c r="J236" t="s">
        <v>28</v>
      </c>
      <c r="K236" t="s">
        <v>29</v>
      </c>
      <c r="L236" t="s">
        <v>35</v>
      </c>
      <c r="M236">
        <v>0</v>
      </c>
      <c r="N236">
        <v>0</v>
      </c>
      <c r="O236" s="17">
        <v>50321</v>
      </c>
      <c r="P236" s="17">
        <v>50320</v>
      </c>
      <c r="Q236">
        <v>22</v>
      </c>
      <c r="R236" t="s">
        <v>63</v>
      </c>
      <c r="T236">
        <v>19</v>
      </c>
      <c r="U236">
        <v>82</v>
      </c>
      <c r="V236">
        <v>16.5</v>
      </c>
      <c r="W236">
        <v>13.4</v>
      </c>
      <c r="X236">
        <v>28.2</v>
      </c>
      <c r="Z236" t="s">
        <v>32</v>
      </c>
    </row>
    <row r="237" spans="1:29" x14ac:dyDescent="0.2">
      <c r="A237" s="3">
        <v>42495</v>
      </c>
      <c r="B237" t="s">
        <v>23</v>
      </c>
      <c r="C237">
        <v>201</v>
      </c>
      <c r="D237">
        <v>4</v>
      </c>
      <c r="E237">
        <v>2</v>
      </c>
      <c r="F237" t="s">
        <v>33</v>
      </c>
      <c r="G237" t="s">
        <v>25</v>
      </c>
      <c r="H237" t="s">
        <v>26</v>
      </c>
      <c r="I237" t="s">
        <v>27</v>
      </c>
      <c r="J237" t="s">
        <v>34</v>
      </c>
      <c r="K237" t="s">
        <v>29</v>
      </c>
      <c r="L237" t="s">
        <v>35</v>
      </c>
      <c r="M237">
        <v>0</v>
      </c>
      <c r="N237">
        <v>1</v>
      </c>
      <c r="O237" s="17">
        <v>50327</v>
      </c>
      <c r="P237" s="17">
        <v>50326</v>
      </c>
      <c r="Q237">
        <f>24</f>
        <v>24</v>
      </c>
      <c r="R237" t="s">
        <v>39</v>
      </c>
      <c r="S237" t="s">
        <v>32</v>
      </c>
      <c r="T237">
        <v>20</v>
      </c>
      <c r="U237">
        <v>83</v>
      </c>
      <c r="V237">
        <v>13</v>
      </c>
      <c r="Z237" t="s">
        <v>32</v>
      </c>
      <c r="AB237" t="s">
        <v>53</v>
      </c>
      <c r="AC237" t="s">
        <v>59</v>
      </c>
    </row>
    <row r="238" spans="1:29" x14ac:dyDescent="0.2">
      <c r="A238" s="3">
        <v>42500</v>
      </c>
      <c r="B238" t="s">
        <v>23</v>
      </c>
      <c r="C238">
        <v>803</v>
      </c>
      <c r="D238">
        <v>2</v>
      </c>
      <c r="E238">
        <v>1</v>
      </c>
      <c r="F238" t="s">
        <v>33</v>
      </c>
      <c r="G238" t="s">
        <v>25</v>
      </c>
      <c r="H238" t="s">
        <v>26</v>
      </c>
      <c r="I238" t="s">
        <v>27</v>
      </c>
      <c r="J238" t="s">
        <v>45</v>
      </c>
      <c r="K238" t="s">
        <v>29</v>
      </c>
      <c r="L238" t="s">
        <v>30</v>
      </c>
      <c r="M238">
        <v>1</v>
      </c>
      <c r="N238">
        <v>1</v>
      </c>
      <c r="O238" s="17">
        <v>50330</v>
      </c>
      <c r="P238" s="17" t="s">
        <v>69</v>
      </c>
      <c r="Q238">
        <f>34-11</f>
        <v>23</v>
      </c>
      <c r="R238" t="s">
        <v>61</v>
      </c>
      <c r="S238" t="s">
        <v>32</v>
      </c>
      <c r="T238">
        <v>20</v>
      </c>
      <c r="U238">
        <v>74</v>
      </c>
      <c r="V238">
        <v>13</v>
      </c>
      <c r="Z238" t="s">
        <v>32</v>
      </c>
      <c r="AB238" t="s">
        <v>60</v>
      </c>
      <c r="AC238" t="s">
        <v>70</v>
      </c>
    </row>
    <row r="239" spans="1:29" x14ac:dyDescent="0.2">
      <c r="A239" s="3">
        <v>42501</v>
      </c>
      <c r="B239" t="s">
        <v>23</v>
      </c>
      <c r="C239">
        <v>803</v>
      </c>
      <c r="D239">
        <v>5</v>
      </c>
      <c r="E239">
        <v>1</v>
      </c>
      <c r="F239" t="s">
        <v>33</v>
      </c>
      <c r="G239" t="s">
        <v>25</v>
      </c>
      <c r="H239" t="s">
        <v>26</v>
      </c>
      <c r="I239" t="s">
        <v>27</v>
      </c>
      <c r="J239" t="s">
        <v>28</v>
      </c>
      <c r="K239" t="s">
        <v>29</v>
      </c>
      <c r="L239" t="s">
        <v>30</v>
      </c>
      <c r="M239">
        <v>0</v>
      </c>
      <c r="N239">
        <v>0</v>
      </c>
      <c r="O239" s="17">
        <v>50330</v>
      </c>
      <c r="P239" s="17" t="s">
        <v>69</v>
      </c>
      <c r="Q239">
        <f>31.5-9</f>
        <v>22.5</v>
      </c>
      <c r="R239" t="s">
        <v>61</v>
      </c>
      <c r="S239" t="s">
        <v>32</v>
      </c>
      <c r="T239">
        <v>20</v>
      </c>
      <c r="U239">
        <v>76</v>
      </c>
      <c r="V239">
        <v>13</v>
      </c>
      <c r="Z239" t="s">
        <v>32</v>
      </c>
      <c r="AB239" t="s">
        <v>60</v>
      </c>
      <c r="AC239" t="s">
        <v>59</v>
      </c>
    </row>
    <row r="240" spans="1:29" x14ac:dyDescent="0.2">
      <c r="A240" s="3">
        <v>42502</v>
      </c>
      <c r="B240" t="s">
        <v>23</v>
      </c>
      <c r="C240">
        <v>803</v>
      </c>
      <c r="D240">
        <v>3</v>
      </c>
      <c r="E240">
        <v>1</v>
      </c>
      <c r="F240" t="s">
        <v>33</v>
      </c>
      <c r="G240" t="s">
        <v>25</v>
      </c>
      <c r="H240" t="s">
        <v>26</v>
      </c>
      <c r="I240" t="s">
        <v>27</v>
      </c>
      <c r="J240" t="s">
        <v>28</v>
      </c>
      <c r="K240" t="s">
        <v>29</v>
      </c>
      <c r="L240" t="s">
        <v>30</v>
      </c>
      <c r="M240">
        <v>0</v>
      </c>
      <c r="N240">
        <v>0</v>
      </c>
      <c r="O240" s="17">
        <v>50330</v>
      </c>
      <c r="P240" s="17" t="s">
        <v>69</v>
      </c>
      <c r="Q240">
        <f>33.5-8.5</f>
        <v>25</v>
      </c>
      <c r="R240" t="s">
        <v>31</v>
      </c>
      <c r="S240" t="s">
        <v>32</v>
      </c>
      <c r="T240">
        <v>20</v>
      </c>
      <c r="U240">
        <v>78</v>
      </c>
      <c r="V240">
        <v>13</v>
      </c>
      <c r="Z240" t="s">
        <v>32</v>
      </c>
    </row>
    <row r="241" spans="1:29" x14ac:dyDescent="0.2">
      <c r="A241" s="3">
        <v>42507</v>
      </c>
      <c r="B241" t="s">
        <v>23</v>
      </c>
      <c r="C241">
        <v>203</v>
      </c>
      <c r="D241">
        <v>5</v>
      </c>
      <c r="E241">
        <v>1</v>
      </c>
      <c r="F241" t="s">
        <v>33</v>
      </c>
      <c r="G241" t="s">
        <v>25</v>
      </c>
      <c r="H241" t="s">
        <v>26</v>
      </c>
      <c r="I241" t="s">
        <v>27</v>
      </c>
      <c r="J241" t="s">
        <v>117</v>
      </c>
      <c r="K241" t="s">
        <v>29</v>
      </c>
      <c r="L241" t="s">
        <v>30</v>
      </c>
      <c r="M241">
        <v>1</v>
      </c>
      <c r="N241">
        <v>1</v>
      </c>
      <c r="O241" s="17">
        <v>50333</v>
      </c>
      <c r="P241" s="17" t="s">
        <v>46</v>
      </c>
      <c r="Q241">
        <f>35-13.5</f>
        <v>21.5</v>
      </c>
      <c r="R241" t="s">
        <v>91</v>
      </c>
      <c r="S241" t="s">
        <v>32</v>
      </c>
      <c r="T241">
        <v>19</v>
      </c>
      <c r="U241">
        <v>85</v>
      </c>
      <c r="V241">
        <v>13</v>
      </c>
      <c r="Z241" t="s">
        <v>32</v>
      </c>
      <c r="AB241" t="s">
        <v>44</v>
      </c>
      <c r="AC241" t="s">
        <v>116</v>
      </c>
    </row>
    <row r="242" spans="1:29" x14ac:dyDescent="0.2">
      <c r="A242" s="3">
        <v>42509</v>
      </c>
      <c r="B242" t="s">
        <v>23</v>
      </c>
      <c r="C242">
        <v>201</v>
      </c>
      <c r="D242">
        <v>1</v>
      </c>
      <c r="E242">
        <v>1</v>
      </c>
      <c r="F242" t="s">
        <v>33</v>
      </c>
      <c r="G242" t="s">
        <v>25</v>
      </c>
      <c r="H242" t="s">
        <v>26</v>
      </c>
      <c r="I242" t="s">
        <v>27</v>
      </c>
      <c r="J242" t="s">
        <v>34</v>
      </c>
      <c r="K242" t="s">
        <v>29</v>
      </c>
      <c r="L242" t="s">
        <v>35</v>
      </c>
      <c r="M242">
        <v>0</v>
      </c>
      <c r="N242">
        <v>1</v>
      </c>
      <c r="O242" s="17">
        <v>50335</v>
      </c>
      <c r="P242" s="17">
        <v>50334</v>
      </c>
      <c r="Q242">
        <f>30.5-8.5</f>
        <v>22</v>
      </c>
      <c r="R242" t="s">
        <v>39</v>
      </c>
      <c r="S242" t="s">
        <v>32</v>
      </c>
      <c r="T242">
        <v>20</v>
      </c>
      <c r="U242">
        <v>83</v>
      </c>
      <c r="V242">
        <v>15</v>
      </c>
      <c r="Z242" t="s">
        <v>32</v>
      </c>
      <c r="AB242" t="s">
        <v>121</v>
      </c>
      <c r="AC242" t="s">
        <v>122</v>
      </c>
    </row>
    <row r="243" spans="1:29" x14ac:dyDescent="0.2">
      <c r="A243" s="3">
        <v>42542</v>
      </c>
      <c r="B243" t="s">
        <v>23</v>
      </c>
      <c r="C243">
        <v>201</v>
      </c>
      <c r="D243">
        <v>2</v>
      </c>
      <c r="E243">
        <v>1</v>
      </c>
      <c r="F243" t="s">
        <v>33</v>
      </c>
      <c r="G243" t="s">
        <v>25</v>
      </c>
      <c r="H243" t="s">
        <v>26</v>
      </c>
      <c r="I243" t="s">
        <v>27</v>
      </c>
      <c r="J243" t="s">
        <v>28</v>
      </c>
      <c r="K243" t="s">
        <v>29</v>
      </c>
      <c r="L243" t="s">
        <v>35</v>
      </c>
      <c r="M243">
        <v>0</v>
      </c>
      <c r="N243">
        <v>0</v>
      </c>
      <c r="O243" s="17">
        <v>50335</v>
      </c>
      <c r="P243" s="17">
        <v>50334</v>
      </c>
      <c r="Q243">
        <f>34.5-13</f>
        <v>21.5</v>
      </c>
      <c r="R243" t="s">
        <v>39</v>
      </c>
      <c r="T243">
        <v>20</v>
      </c>
      <c r="U243">
        <v>74</v>
      </c>
      <c r="V243">
        <v>14</v>
      </c>
      <c r="W243">
        <v>12.5</v>
      </c>
      <c r="X243">
        <v>28.6</v>
      </c>
      <c r="Z243" t="s">
        <v>32</v>
      </c>
      <c r="AB243" t="s">
        <v>44</v>
      </c>
      <c r="AC243" t="s">
        <v>122</v>
      </c>
    </row>
    <row r="244" spans="1:29" x14ac:dyDescent="0.2">
      <c r="A244" s="3">
        <v>42557</v>
      </c>
      <c r="B244" t="s">
        <v>23</v>
      </c>
      <c r="C244">
        <v>201</v>
      </c>
      <c r="D244">
        <v>1</v>
      </c>
      <c r="E244">
        <v>1</v>
      </c>
      <c r="F244" t="s">
        <v>24</v>
      </c>
      <c r="G244" t="s">
        <v>25</v>
      </c>
      <c r="H244" t="s">
        <v>26</v>
      </c>
      <c r="I244" t="s">
        <v>27</v>
      </c>
      <c r="J244" t="s">
        <v>28</v>
      </c>
      <c r="K244" t="s">
        <v>29</v>
      </c>
      <c r="L244" t="s">
        <v>35</v>
      </c>
      <c r="M244">
        <v>0</v>
      </c>
      <c r="N244">
        <v>0</v>
      </c>
      <c r="O244" s="17">
        <v>50335</v>
      </c>
      <c r="P244" s="17">
        <v>50334</v>
      </c>
      <c r="Q244">
        <v>21</v>
      </c>
      <c r="R244" t="s">
        <v>39</v>
      </c>
      <c r="T244">
        <v>19</v>
      </c>
      <c r="U244">
        <v>87</v>
      </c>
      <c r="V244">
        <v>16</v>
      </c>
      <c r="W244">
        <v>13.5</v>
      </c>
      <c r="X244">
        <v>27.6</v>
      </c>
      <c r="Z244" t="s">
        <v>32</v>
      </c>
      <c r="AB244" t="s">
        <v>44</v>
      </c>
      <c r="AC244" t="s">
        <v>122</v>
      </c>
    </row>
    <row r="245" spans="1:29" x14ac:dyDescent="0.2">
      <c r="A245" s="3">
        <v>42558</v>
      </c>
      <c r="B245" t="s">
        <v>23</v>
      </c>
      <c r="C245">
        <v>201</v>
      </c>
      <c r="D245">
        <v>2</v>
      </c>
      <c r="E245">
        <v>1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29</v>
      </c>
      <c r="L245" t="s">
        <v>35</v>
      </c>
      <c r="M245">
        <v>0</v>
      </c>
      <c r="N245">
        <v>0</v>
      </c>
      <c r="O245" s="17">
        <v>50335</v>
      </c>
      <c r="P245" s="17">
        <v>50334</v>
      </c>
      <c r="Q245">
        <f>31-9</f>
        <v>22</v>
      </c>
      <c r="R245" t="s">
        <v>39</v>
      </c>
      <c r="T245">
        <v>19</v>
      </c>
      <c r="U245">
        <v>92</v>
      </c>
      <c r="V245">
        <v>17</v>
      </c>
      <c r="W245">
        <v>13.6</v>
      </c>
      <c r="X245">
        <v>29.4</v>
      </c>
      <c r="Z245" t="s">
        <v>32</v>
      </c>
      <c r="AB245" t="s">
        <v>121</v>
      </c>
      <c r="AC245" t="s">
        <v>254</v>
      </c>
    </row>
    <row r="246" spans="1:29" x14ac:dyDescent="0.2">
      <c r="A246" s="3">
        <v>42570</v>
      </c>
      <c r="B246" t="s">
        <v>23</v>
      </c>
      <c r="C246">
        <v>201</v>
      </c>
      <c r="D246">
        <v>2</v>
      </c>
      <c r="E246">
        <v>2</v>
      </c>
      <c r="F246" t="s">
        <v>33</v>
      </c>
      <c r="G246" t="s">
        <v>25</v>
      </c>
      <c r="H246" t="s">
        <v>26</v>
      </c>
      <c r="I246" t="s">
        <v>27</v>
      </c>
      <c r="J246" t="s">
        <v>28</v>
      </c>
      <c r="K246" t="s">
        <v>29</v>
      </c>
      <c r="L246" t="s">
        <v>35</v>
      </c>
      <c r="M246">
        <v>0</v>
      </c>
      <c r="N246">
        <v>0</v>
      </c>
      <c r="O246" s="17">
        <v>50335</v>
      </c>
      <c r="P246" s="17">
        <v>50334</v>
      </c>
      <c r="Q246">
        <f>35.5-14</f>
        <v>21.5</v>
      </c>
      <c r="R246" t="s">
        <v>39</v>
      </c>
      <c r="T246">
        <v>20</v>
      </c>
      <c r="U246">
        <v>85</v>
      </c>
      <c r="V246">
        <v>16</v>
      </c>
      <c r="W246">
        <v>13</v>
      </c>
      <c r="X246">
        <v>27.3</v>
      </c>
      <c r="Y246" t="s">
        <v>548</v>
      </c>
      <c r="Z246" t="s">
        <v>145</v>
      </c>
      <c r="AA246" t="s">
        <v>260</v>
      </c>
      <c r="AB246" t="s">
        <v>121</v>
      </c>
      <c r="AC246" t="s">
        <v>59</v>
      </c>
    </row>
    <row r="247" spans="1:29" x14ac:dyDescent="0.2">
      <c r="A247" s="3">
        <v>42571</v>
      </c>
      <c r="B247" t="s">
        <v>23</v>
      </c>
      <c r="C247">
        <v>201</v>
      </c>
      <c r="D247">
        <v>2</v>
      </c>
      <c r="E247">
        <v>2</v>
      </c>
      <c r="F247" t="s">
        <v>33</v>
      </c>
      <c r="G247" t="s">
        <v>25</v>
      </c>
      <c r="H247" t="s">
        <v>26</v>
      </c>
      <c r="I247" t="s">
        <v>27</v>
      </c>
      <c r="J247" t="s">
        <v>28</v>
      </c>
      <c r="K247" t="s">
        <v>29</v>
      </c>
      <c r="L247" t="s">
        <v>35</v>
      </c>
      <c r="M247">
        <v>0</v>
      </c>
      <c r="N247">
        <v>0</v>
      </c>
      <c r="O247" s="17">
        <v>50335</v>
      </c>
      <c r="P247" s="17">
        <v>50334</v>
      </c>
      <c r="Q247">
        <f>36-15</f>
        <v>21</v>
      </c>
      <c r="R247" t="s">
        <v>39</v>
      </c>
      <c r="T247">
        <v>21</v>
      </c>
      <c r="U247">
        <v>82</v>
      </c>
      <c r="V247">
        <v>14</v>
      </c>
      <c r="W247">
        <v>12.9</v>
      </c>
      <c r="X247">
        <v>26.8</v>
      </c>
      <c r="Z247" t="s">
        <v>145</v>
      </c>
      <c r="AA247" t="s">
        <v>260</v>
      </c>
      <c r="AB247" t="s">
        <v>121</v>
      </c>
      <c r="AC247" t="s">
        <v>116</v>
      </c>
    </row>
    <row r="248" spans="1:29" x14ac:dyDescent="0.2">
      <c r="A248" s="3">
        <v>42572</v>
      </c>
      <c r="B248" t="s">
        <v>23</v>
      </c>
      <c r="C248">
        <v>201</v>
      </c>
      <c r="D248">
        <v>7</v>
      </c>
      <c r="E248">
        <v>2</v>
      </c>
      <c r="F248" t="s">
        <v>33</v>
      </c>
      <c r="G248" t="s">
        <v>25</v>
      </c>
      <c r="H248" t="s">
        <v>26</v>
      </c>
      <c r="I248" t="s">
        <v>27</v>
      </c>
      <c r="J248" t="s">
        <v>28</v>
      </c>
      <c r="K248" t="s">
        <v>29</v>
      </c>
      <c r="L248" t="s">
        <v>35</v>
      </c>
      <c r="M248">
        <v>0</v>
      </c>
      <c r="N248">
        <v>0</v>
      </c>
      <c r="O248" s="17">
        <v>50335</v>
      </c>
      <c r="P248" s="17">
        <v>50334</v>
      </c>
      <c r="Q248">
        <v>23</v>
      </c>
      <c r="R248" t="s">
        <v>39</v>
      </c>
      <c r="T248">
        <v>21</v>
      </c>
      <c r="U248">
        <v>79</v>
      </c>
      <c r="V248">
        <v>16</v>
      </c>
      <c r="W248">
        <v>13.1</v>
      </c>
      <c r="X248">
        <v>27.5</v>
      </c>
      <c r="Z248" t="s">
        <v>145</v>
      </c>
      <c r="AB248" t="s">
        <v>121</v>
      </c>
      <c r="AC248" t="s">
        <v>59</v>
      </c>
    </row>
    <row r="249" spans="1:29" x14ac:dyDescent="0.2">
      <c r="A249" s="3">
        <v>42585</v>
      </c>
      <c r="B249" t="s">
        <v>23</v>
      </c>
      <c r="C249">
        <v>201</v>
      </c>
      <c r="D249">
        <v>1</v>
      </c>
      <c r="E249">
        <v>2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29</v>
      </c>
      <c r="L249" t="s">
        <v>35</v>
      </c>
      <c r="M249">
        <v>0</v>
      </c>
      <c r="N249">
        <v>0</v>
      </c>
      <c r="O249" s="17">
        <v>50335</v>
      </c>
      <c r="P249" s="17">
        <v>50334</v>
      </c>
      <c r="Q249">
        <f>35-12.5</f>
        <v>22.5</v>
      </c>
      <c r="R249" t="s">
        <v>39</v>
      </c>
      <c r="T249">
        <v>20</v>
      </c>
      <c r="U249">
        <v>84.5</v>
      </c>
      <c r="V249">
        <v>14.5</v>
      </c>
      <c r="W249">
        <v>13.1</v>
      </c>
      <c r="X249">
        <v>27.4</v>
      </c>
      <c r="Z249" t="s">
        <v>145</v>
      </c>
      <c r="AB249" t="s">
        <v>44</v>
      </c>
      <c r="AC249" t="s">
        <v>59</v>
      </c>
    </row>
    <row r="250" spans="1:29" x14ac:dyDescent="0.2">
      <c r="A250" s="3">
        <v>42599</v>
      </c>
      <c r="B250" t="s">
        <v>23</v>
      </c>
      <c r="C250">
        <v>201</v>
      </c>
      <c r="D250">
        <v>4</v>
      </c>
      <c r="E250">
        <v>1</v>
      </c>
      <c r="F250" t="s">
        <v>64</v>
      </c>
      <c r="G250" t="s">
        <v>25</v>
      </c>
      <c r="H250" t="s">
        <v>26</v>
      </c>
      <c r="I250" t="s">
        <v>27</v>
      </c>
      <c r="J250" t="s">
        <v>28</v>
      </c>
      <c r="K250" t="s">
        <v>29</v>
      </c>
      <c r="L250" t="s">
        <v>35</v>
      </c>
      <c r="M250">
        <v>0</v>
      </c>
      <c r="N250">
        <v>0</v>
      </c>
      <c r="O250" s="17" t="s">
        <v>1598</v>
      </c>
      <c r="P250" s="17" t="s">
        <v>1599</v>
      </c>
      <c r="Q250">
        <f>34-14.5</f>
        <v>19.5</v>
      </c>
      <c r="R250" t="s">
        <v>39</v>
      </c>
      <c r="T250">
        <v>19.5</v>
      </c>
      <c r="U250">
        <v>89</v>
      </c>
      <c r="V250">
        <v>15</v>
      </c>
      <c r="W250">
        <v>13.2</v>
      </c>
      <c r="X250">
        <v>27.9</v>
      </c>
      <c r="Z250" t="s">
        <v>145</v>
      </c>
      <c r="AA250" t="s">
        <v>260</v>
      </c>
      <c r="AB250" t="s">
        <v>121</v>
      </c>
      <c r="AC250" t="s">
        <v>59</v>
      </c>
    </row>
    <row r="251" spans="1:29" x14ac:dyDescent="0.2">
      <c r="A251" s="3">
        <v>42600</v>
      </c>
      <c r="B251" t="s">
        <v>23</v>
      </c>
      <c r="C251">
        <v>201</v>
      </c>
      <c r="D251">
        <v>2</v>
      </c>
      <c r="E251">
        <v>1</v>
      </c>
      <c r="F251" t="s">
        <v>64</v>
      </c>
      <c r="G251" t="s">
        <v>25</v>
      </c>
      <c r="H251" t="s">
        <v>26</v>
      </c>
      <c r="I251" t="s">
        <v>27</v>
      </c>
      <c r="J251" t="s">
        <v>28</v>
      </c>
      <c r="K251" t="s">
        <v>29</v>
      </c>
      <c r="L251" t="s">
        <v>35</v>
      </c>
      <c r="M251">
        <v>0</v>
      </c>
      <c r="N251">
        <v>0</v>
      </c>
      <c r="O251" s="17" t="s">
        <v>1598</v>
      </c>
      <c r="P251" s="17" t="s">
        <v>1599</v>
      </c>
      <c r="Q251">
        <f>35-14</f>
        <v>21</v>
      </c>
      <c r="R251" t="s">
        <v>39</v>
      </c>
      <c r="T251">
        <v>20</v>
      </c>
      <c r="U251">
        <v>84</v>
      </c>
      <c r="V251">
        <v>17</v>
      </c>
      <c r="W251">
        <v>23.3</v>
      </c>
      <c r="X251">
        <v>27.8</v>
      </c>
      <c r="Z251" t="s">
        <v>145</v>
      </c>
      <c r="AA251" t="s">
        <v>260</v>
      </c>
      <c r="AB251" t="s">
        <v>121</v>
      </c>
      <c r="AC251" t="s">
        <v>122</v>
      </c>
    </row>
    <row r="252" spans="1:29" x14ac:dyDescent="0.2">
      <c r="A252" s="3">
        <v>42516</v>
      </c>
      <c r="B252" t="s">
        <v>23</v>
      </c>
      <c r="C252">
        <v>303</v>
      </c>
      <c r="D252">
        <v>6</v>
      </c>
      <c r="E252">
        <v>1</v>
      </c>
      <c r="F252" t="s">
        <v>33</v>
      </c>
      <c r="G252" t="s">
        <v>25</v>
      </c>
      <c r="H252" t="s">
        <v>26</v>
      </c>
      <c r="I252" t="s">
        <v>27</v>
      </c>
      <c r="J252" t="s">
        <v>34</v>
      </c>
      <c r="K252" t="s">
        <v>29</v>
      </c>
      <c r="L252" t="s">
        <v>35</v>
      </c>
      <c r="M252">
        <v>0</v>
      </c>
      <c r="N252">
        <v>1</v>
      </c>
      <c r="O252" s="17">
        <v>50340</v>
      </c>
      <c r="P252" s="17">
        <v>50339</v>
      </c>
      <c r="Q252">
        <f>22-4.5</f>
        <v>17.5</v>
      </c>
      <c r="R252" t="s">
        <v>39</v>
      </c>
      <c r="S252" t="s">
        <v>32</v>
      </c>
      <c r="T252">
        <v>21</v>
      </c>
      <c r="U252">
        <v>84</v>
      </c>
      <c r="V252">
        <v>15</v>
      </c>
      <c r="Z252" t="s">
        <v>32</v>
      </c>
      <c r="AB252" t="s">
        <v>53</v>
      </c>
      <c r="AC252" t="s">
        <v>122</v>
      </c>
    </row>
    <row r="253" spans="1:29" x14ac:dyDescent="0.2">
      <c r="A253" s="3">
        <v>42584</v>
      </c>
      <c r="B253" t="s">
        <v>23</v>
      </c>
      <c r="C253">
        <v>203</v>
      </c>
      <c r="D253">
        <v>2</v>
      </c>
      <c r="E253">
        <v>2</v>
      </c>
      <c r="F253" t="s">
        <v>24</v>
      </c>
      <c r="G253" t="s">
        <v>25</v>
      </c>
      <c r="H253" t="s">
        <v>26</v>
      </c>
      <c r="I253" t="s">
        <v>27</v>
      </c>
      <c r="J253" t="s">
        <v>45</v>
      </c>
      <c r="K253" t="s">
        <v>188</v>
      </c>
      <c r="L253" t="s">
        <v>30</v>
      </c>
      <c r="M253">
        <v>1</v>
      </c>
      <c r="N253">
        <v>0</v>
      </c>
      <c r="O253" s="17">
        <v>50342</v>
      </c>
      <c r="P253" s="17">
        <v>50932</v>
      </c>
      <c r="Q253">
        <f>34.5-15</f>
        <v>19.5</v>
      </c>
      <c r="R253" t="s">
        <v>91</v>
      </c>
      <c r="S253" t="s">
        <v>32</v>
      </c>
      <c r="T253">
        <v>17</v>
      </c>
      <c r="U253">
        <v>86</v>
      </c>
      <c r="V253">
        <v>18</v>
      </c>
      <c r="W253">
        <v>13.1</v>
      </c>
      <c r="X253">
        <v>25.5</v>
      </c>
      <c r="Z253" t="s">
        <v>145</v>
      </c>
      <c r="AA253" t="s">
        <v>260</v>
      </c>
      <c r="AB253" t="s">
        <v>44</v>
      </c>
      <c r="AC253" t="s">
        <v>59</v>
      </c>
    </row>
    <row r="254" spans="1:29" x14ac:dyDescent="0.2">
      <c r="A254" s="3">
        <v>42528</v>
      </c>
      <c r="B254" t="s">
        <v>23</v>
      </c>
      <c r="C254">
        <v>111</v>
      </c>
      <c r="D254">
        <v>4</v>
      </c>
      <c r="E254">
        <v>1</v>
      </c>
      <c r="F254" t="s">
        <v>33</v>
      </c>
      <c r="G254" t="s">
        <v>25</v>
      </c>
      <c r="H254" t="s">
        <v>26</v>
      </c>
      <c r="I254" t="s">
        <v>27</v>
      </c>
      <c r="J254" t="s">
        <v>34</v>
      </c>
      <c r="K254" t="s">
        <v>29</v>
      </c>
      <c r="L254" t="s">
        <v>30</v>
      </c>
      <c r="M254">
        <v>0</v>
      </c>
      <c r="N254">
        <v>1</v>
      </c>
      <c r="O254" s="17" t="s">
        <v>2211</v>
      </c>
      <c r="P254" s="17">
        <v>50345</v>
      </c>
      <c r="Q254">
        <f>45-15</f>
        <v>30</v>
      </c>
      <c r="R254" t="s">
        <v>94</v>
      </c>
      <c r="S254" t="s">
        <v>32</v>
      </c>
      <c r="T254">
        <v>19</v>
      </c>
      <c r="U254">
        <v>78</v>
      </c>
      <c r="V254">
        <v>15</v>
      </c>
      <c r="W254">
        <v>22.4</v>
      </c>
      <c r="X254">
        <v>25.5</v>
      </c>
      <c r="Z254" t="s">
        <v>32</v>
      </c>
      <c r="AB254" t="s">
        <v>121</v>
      </c>
      <c r="AC254" t="s">
        <v>59</v>
      </c>
    </row>
    <row r="255" spans="1:29" x14ac:dyDescent="0.2">
      <c r="A255" s="3">
        <v>42575</v>
      </c>
      <c r="B255" t="s">
        <v>23</v>
      </c>
      <c r="C255">
        <v>501</v>
      </c>
      <c r="D255">
        <v>1</v>
      </c>
      <c r="E255">
        <v>1</v>
      </c>
      <c r="F255" t="s">
        <v>33</v>
      </c>
      <c r="G255" t="s">
        <v>25</v>
      </c>
      <c r="H255" t="s">
        <v>26</v>
      </c>
      <c r="I255" t="s">
        <v>27</v>
      </c>
      <c r="J255" t="s">
        <v>34</v>
      </c>
      <c r="K255" t="s">
        <v>188</v>
      </c>
      <c r="L255" t="s">
        <v>35</v>
      </c>
      <c r="M255">
        <v>0</v>
      </c>
      <c r="N255">
        <v>1</v>
      </c>
      <c r="O255" s="17">
        <v>50346</v>
      </c>
      <c r="P255" s="17">
        <v>50345</v>
      </c>
      <c r="Q255">
        <f>31-12</f>
        <v>19</v>
      </c>
      <c r="R255" t="s">
        <v>39</v>
      </c>
      <c r="T255">
        <v>18</v>
      </c>
      <c r="U255">
        <v>84</v>
      </c>
      <c r="V255">
        <v>14</v>
      </c>
      <c r="W255">
        <v>13</v>
      </c>
      <c r="X255">
        <v>26.9</v>
      </c>
      <c r="Z255" t="s">
        <v>32</v>
      </c>
      <c r="AB255" t="s">
        <v>711</v>
      </c>
      <c r="AC255" t="s">
        <v>59</v>
      </c>
    </row>
    <row r="256" spans="1:29" x14ac:dyDescent="0.2">
      <c r="A256" s="3">
        <v>42528</v>
      </c>
      <c r="B256" t="s">
        <v>23</v>
      </c>
      <c r="C256">
        <v>111</v>
      </c>
      <c r="D256">
        <v>8</v>
      </c>
      <c r="E256">
        <v>1</v>
      </c>
      <c r="F256" t="s">
        <v>33</v>
      </c>
      <c r="G256" t="s">
        <v>25</v>
      </c>
      <c r="H256" t="s">
        <v>26</v>
      </c>
      <c r="I256" t="s">
        <v>27</v>
      </c>
      <c r="J256" t="s">
        <v>34</v>
      </c>
      <c r="K256" t="s">
        <v>29</v>
      </c>
      <c r="L256" t="s">
        <v>30</v>
      </c>
      <c r="M256">
        <v>0</v>
      </c>
      <c r="N256">
        <v>1</v>
      </c>
      <c r="O256" s="17">
        <v>50348</v>
      </c>
      <c r="P256" s="17">
        <v>50347</v>
      </c>
      <c r="Q256">
        <v>22</v>
      </c>
      <c r="R256" t="s">
        <v>91</v>
      </c>
      <c r="S256" t="s">
        <v>145</v>
      </c>
      <c r="T256">
        <v>20</v>
      </c>
      <c r="U256">
        <v>88</v>
      </c>
      <c r="V256">
        <v>16</v>
      </c>
      <c r="W256">
        <v>21.3</v>
      </c>
      <c r="X256">
        <v>26.4</v>
      </c>
      <c r="Z256" t="s">
        <v>32</v>
      </c>
      <c r="AB256" t="s">
        <v>149</v>
      </c>
      <c r="AC256" t="s">
        <v>59</v>
      </c>
    </row>
    <row r="257" spans="1:30" x14ac:dyDescent="0.2">
      <c r="A257" s="3">
        <v>42529</v>
      </c>
      <c r="B257" t="s">
        <v>23</v>
      </c>
      <c r="C257">
        <v>111</v>
      </c>
      <c r="D257">
        <v>7</v>
      </c>
      <c r="E257">
        <v>2</v>
      </c>
      <c r="F257" t="s">
        <v>33</v>
      </c>
      <c r="G257" t="s">
        <v>25</v>
      </c>
      <c r="H257" t="s">
        <v>26</v>
      </c>
      <c r="I257" t="s">
        <v>27</v>
      </c>
      <c r="J257" t="s">
        <v>28</v>
      </c>
      <c r="K257" t="s">
        <v>187</v>
      </c>
      <c r="L257" t="s">
        <v>30</v>
      </c>
      <c r="M257">
        <v>0</v>
      </c>
      <c r="N257">
        <v>0</v>
      </c>
      <c r="O257" s="17">
        <v>50348</v>
      </c>
      <c r="P257" s="17">
        <v>50347</v>
      </c>
      <c r="Q257">
        <f>26-5.5</f>
        <v>20.5</v>
      </c>
      <c r="R257" t="s">
        <v>61</v>
      </c>
      <c r="S257" t="s">
        <v>145</v>
      </c>
      <c r="T257">
        <v>19</v>
      </c>
      <c r="U257">
        <v>88</v>
      </c>
      <c r="V257">
        <v>15</v>
      </c>
      <c r="W257">
        <v>10.5</v>
      </c>
      <c r="X257">
        <v>28.4</v>
      </c>
      <c r="Z257" t="s">
        <v>32</v>
      </c>
      <c r="AB257" t="s">
        <v>121</v>
      </c>
      <c r="AC257" t="s">
        <v>59</v>
      </c>
    </row>
    <row r="258" spans="1:30" x14ac:dyDescent="0.2">
      <c r="A258" s="3">
        <v>42530</v>
      </c>
      <c r="B258" t="s">
        <v>23</v>
      </c>
      <c r="C258">
        <v>111</v>
      </c>
      <c r="D258">
        <v>7</v>
      </c>
      <c r="E258">
        <v>1</v>
      </c>
      <c r="F258" t="s">
        <v>33</v>
      </c>
      <c r="G258" t="s">
        <v>25</v>
      </c>
      <c r="H258" t="s">
        <v>26</v>
      </c>
      <c r="I258" t="s">
        <v>27</v>
      </c>
      <c r="J258" t="s">
        <v>28</v>
      </c>
      <c r="K258" t="s">
        <v>187</v>
      </c>
      <c r="L258" t="s">
        <v>30</v>
      </c>
      <c r="M258">
        <v>0</v>
      </c>
      <c r="N258">
        <v>0</v>
      </c>
      <c r="O258" s="17">
        <v>50348</v>
      </c>
      <c r="P258" s="17">
        <v>50347</v>
      </c>
      <c r="Q258">
        <f>38-14</f>
        <v>24</v>
      </c>
      <c r="R258" t="s">
        <v>61</v>
      </c>
      <c r="S258" t="s">
        <v>145</v>
      </c>
      <c r="T258">
        <v>19</v>
      </c>
      <c r="U258">
        <v>83</v>
      </c>
      <c r="V258">
        <v>14</v>
      </c>
      <c r="W258">
        <v>13.9</v>
      </c>
      <c r="X258">
        <v>27.6</v>
      </c>
      <c r="Z258" t="s">
        <v>32</v>
      </c>
      <c r="AB258" t="s">
        <v>59</v>
      </c>
      <c r="AC258" t="s">
        <v>191</v>
      </c>
    </row>
    <row r="259" spans="1:30" x14ac:dyDescent="0.2">
      <c r="A259" s="3">
        <v>42541</v>
      </c>
      <c r="B259" t="s">
        <v>23</v>
      </c>
      <c r="C259">
        <v>111</v>
      </c>
      <c r="D259">
        <v>6</v>
      </c>
      <c r="E259">
        <v>1</v>
      </c>
      <c r="F259" t="s">
        <v>24</v>
      </c>
      <c r="G259" t="s">
        <v>25</v>
      </c>
      <c r="H259" t="s">
        <v>26</v>
      </c>
      <c r="I259" t="s">
        <v>27</v>
      </c>
      <c r="J259" t="s">
        <v>28</v>
      </c>
      <c r="K259" t="s">
        <v>29</v>
      </c>
      <c r="L259" t="s">
        <v>30</v>
      </c>
      <c r="M259">
        <v>0</v>
      </c>
      <c r="N259">
        <v>0</v>
      </c>
      <c r="O259" s="17">
        <v>50348</v>
      </c>
      <c r="P259" s="17">
        <v>50347</v>
      </c>
      <c r="Q259">
        <f>34.5-12.5</f>
        <v>22</v>
      </c>
      <c r="R259" t="s">
        <v>61</v>
      </c>
      <c r="S259" t="s">
        <v>32</v>
      </c>
      <c r="T259">
        <v>18</v>
      </c>
      <c r="U259">
        <v>88</v>
      </c>
      <c r="V259">
        <v>16</v>
      </c>
      <c r="Z259" t="s">
        <v>32</v>
      </c>
      <c r="AB259" t="s">
        <v>255</v>
      </c>
      <c r="AC259" t="s">
        <v>254</v>
      </c>
    </row>
    <row r="260" spans="1:30" x14ac:dyDescent="0.2">
      <c r="A260" s="3">
        <v>42542</v>
      </c>
      <c r="B260" t="s">
        <v>23</v>
      </c>
      <c r="C260">
        <v>111</v>
      </c>
      <c r="D260">
        <v>8</v>
      </c>
      <c r="E260">
        <v>1</v>
      </c>
      <c r="F260" t="s">
        <v>24</v>
      </c>
      <c r="G260" t="s">
        <v>25</v>
      </c>
      <c r="H260" t="s">
        <v>26</v>
      </c>
      <c r="I260" t="s">
        <v>27</v>
      </c>
      <c r="J260" t="s">
        <v>28</v>
      </c>
      <c r="K260" t="s">
        <v>29</v>
      </c>
      <c r="L260" t="s">
        <v>30</v>
      </c>
      <c r="M260">
        <v>0</v>
      </c>
      <c r="N260">
        <v>0</v>
      </c>
      <c r="O260" s="17">
        <v>50348</v>
      </c>
      <c r="P260" s="17">
        <v>50347</v>
      </c>
      <c r="Q260">
        <f>32.5-13.5</f>
        <v>19</v>
      </c>
      <c r="R260" t="s">
        <v>75</v>
      </c>
      <c r="S260" t="s">
        <v>145</v>
      </c>
      <c r="T260">
        <v>18.5</v>
      </c>
      <c r="U260">
        <v>87</v>
      </c>
      <c r="V260">
        <v>17</v>
      </c>
      <c r="W260">
        <v>11.8</v>
      </c>
      <c r="X260">
        <v>25.6</v>
      </c>
      <c r="Z260" t="s">
        <v>32</v>
      </c>
      <c r="AB260" t="s">
        <v>44</v>
      </c>
      <c r="AC260" t="s">
        <v>122</v>
      </c>
    </row>
    <row r="261" spans="1:30" x14ac:dyDescent="0.2">
      <c r="A261" s="3">
        <v>42543</v>
      </c>
      <c r="B261" t="s">
        <v>23</v>
      </c>
      <c r="C261">
        <v>111</v>
      </c>
      <c r="D261">
        <v>2</v>
      </c>
      <c r="E261">
        <v>1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29</v>
      </c>
      <c r="L261" t="s">
        <v>30</v>
      </c>
      <c r="M261">
        <v>0</v>
      </c>
      <c r="N261">
        <v>0</v>
      </c>
      <c r="O261" s="17">
        <v>50348</v>
      </c>
      <c r="P261" s="17">
        <v>50347</v>
      </c>
      <c r="Q261">
        <f>31-11.5</f>
        <v>19.5</v>
      </c>
      <c r="R261" t="s">
        <v>75</v>
      </c>
      <c r="S261" t="s">
        <v>145</v>
      </c>
      <c r="T261">
        <v>18</v>
      </c>
      <c r="U261">
        <v>86.5</v>
      </c>
      <c r="V261">
        <v>17</v>
      </c>
      <c r="W261">
        <v>12</v>
      </c>
      <c r="X261">
        <v>26.4</v>
      </c>
      <c r="Y261" t="s">
        <v>281</v>
      </c>
      <c r="Z261" t="s">
        <v>32</v>
      </c>
      <c r="AB261" t="s">
        <v>53</v>
      </c>
      <c r="AC261" t="s">
        <v>59</v>
      </c>
    </row>
    <row r="262" spans="1:30" x14ac:dyDescent="0.2">
      <c r="A262" s="3">
        <v>42556</v>
      </c>
      <c r="B262" t="s">
        <v>23</v>
      </c>
      <c r="C262">
        <v>111</v>
      </c>
      <c r="D262">
        <v>3</v>
      </c>
      <c r="E262">
        <v>1</v>
      </c>
      <c r="F262" t="s">
        <v>33</v>
      </c>
      <c r="G262" t="s">
        <v>25</v>
      </c>
      <c r="H262" t="s">
        <v>26</v>
      </c>
      <c r="I262" t="s">
        <v>27</v>
      </c>
      <c r="J262" t="s">
        <v>28</v>
      </c>
      <c r="K262" t="s">
        <v>29</v>
      </c>
      <c r="L262" t="s">
        <v>30</v>
      </c>
      <c r="M262">
        <v>0</v>
      </c>
      <c r="N262">
        <v>0</v>
      </c>
      <c r="O262" s="17">
        <v>50348</v>
      </c>
      <c r="P262" s="17">
        <v>50347</v>
      </c>
      <c r="Q262">
        <f>24</f>
        <v>24</v>
      </c>
      <c r="R262" t="s">
        <v>83</v>
      </c>
      <c r="S262" t="s">
        <v>145</v>
      </c>
      <c r="T262">
        <v>19</v>
      </c>
      <c r="U262">
        <v>81</v>
      </c>
      <c r="V262">
        <v>10</v>
      </c>
      <c r="W262">
        <v>13.1</v>
      </c>
      <c r="X262">
        <v>26.9</v>
      </c>
      <c r="Z262" t="s">
        <v>32</v>
      </c>
      <c r="AB262" t="s">
        <v>53</v>
      </c>
      <c r="AC262" t="s">
        <v>59</v>
      </c>
    </row>
    <row r="263" spans="1:30" x14ac:dyDescent="0.2">
      <c r="A263" s="3">
        <v>42557</v>
      </c>
      <c r="B263" t="s">
        <v>23</v>
      </c>
      <c r="C263">
        <v>111</v>
      </c>
      <c r="D263">
        <v>8</v>
      </c>
      <c r="E263">
        <v>1</v>
      </c>
      <c r="F263" t="s">
        <v>33</v>
      </c>
      <c r="G263" t="s">
        <v>25</v>
      </c>
      <c r="H263" t="s">
        <v>26</v>
      </c>
      <c r="I263" t="s">
        <v>27</v>
      </c>
      <c r="J263" t="s">
        <v>28</v>
      </c>
      <c r="K263" t="s">
        <v>29</v>
      </c>
      <c r="L263" t="s">
        <v>30</v>
      </c>
      <c r="M263">
        <v>0</v>
      </c>
      <c r="N263">
        <v>0</v>
      </c>
      <c r="O263" s="17">
        <v>50348</v>
      </c>
      <c r="P263" s="17">
        <v>50347</v>
      </c>
      <c r="Q263">
        <f>32-11</f>
        <v>21</v>
      </c>
      <c r="R263" t="s">
        <v>83</v>
      </c>
      <c r="S263" t="s">
        <v>145</v>
      </c>
      <c r="T263">
        <v>19</v>
      </c>
      <c r="U263">
        <v>82</v>
      </c>
      <c r="V263">
        <v>15</v>
      </c>
      <c r="W263">
        <v>12.5</v>
      </c>
      <c r="X263">
        <v>26.3</v>
      </c>
      <c r="Z263" t="s">
        <v>32</v>
      </c>
      <c r="AB263" t="s">
        <v>44</v>
      </c>
      <c r="AC263" t="s">
        <v>122</v>
      </c>
    </row>
    <row r="264" spans="1:30" x14ac:dyDescent="0.2">
      <c r="A264" s="3">
        <v>42558</v>
      </c>
      <c r="B264" t="s">
        <v>23</v>
      </c>
      <c r="C264">
        <v>111</v>
      </c>
      <c r="D264">
        <v>3</v>
      </c>
      <c r="E264">
        <v>2</v>
      </c>
      <c r="F264" t="s">
        <v>33</v>
      </c>
      <c r="G264" t="s">
        <v>25</v>
      </c>
      <c r="H264" t="s">
        <v>26</v>
      </c>
      <c r="I264" t="s">
        <v>27</v>
      </c>
      <c r="J264" t="s">
        <v>28</v>
      </c>
      <c r="K264" t="s">
        <v>29</v>
      </c>
      <c r="L264" t="s">
        <v>30</v>
      </c>
      <c r="M264">
        <v>0</v>
      </c>
      <c r="N264">
        <v>0</v>
      </c>
      <c r="O264" s="17">
        <v>50348</v>
      </c>
      <c r="P264" s="17">
        <v>50347</v>
      </c>
      <c r="Q264">
        <f>30.5-9.5</f>
        <v>21</v>
      </c>
      <c r="R264" t="s">
        <v>273</v>
      </c>
      <c r="S264" t="s">
        <v>145</v>
      </c>
      <c r="T264">
        <f>20</f>
        <v>20</v>
      </c>
      <c r="U264">
        <v>82</v>
      </c>
      <c r="V264">
        <v>15</v>
      </c>
      <c r="W264">
        <v>12.9</v>
      </c>
      <c r="X264">
        <v>27.5</v>
      </c>
      <c r="Z264" t="s">
        <v>32</v>
      </c>
      <c r="AB264" t="s">
        <v>121</v>
      </c>
      <c r="AC264" t="s">
        <v>254</v>
      </c>
    </row>
    <row r="265" spans="1:30" x14ac:dyDescent="0.2">
      <c r="A265" s="3">
        <v>42570</v>
      </c>
      <c r="B265" t="s">
        <v>23</v>
      </c>
      <c r="C265">
        <v>111</v>
      </c>
      <c r="D265">
        <v>4</v>
      </c>
      <c r="E265">
        <v>1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29</v>
      </c>
      <c r="L265" t="s">
        <v>30</v>
      </c>
      <c r="M265">
        <v>0</v>
      </c>
      <c r="N265">
        <v>0</v>
      </c>
      <c r="O265" s="17">
        <v>50348</v>
      </c>
      <c r="P265" s="17">
        <v>50347</v>
      </c>
      <c r="Q265">
        <f>31.5-9</f>
        <v>22.5</v>
      </c>
      <c r="R265" t="s">
        <v>94</v>
      </c>
      <c r="S265" t="s">
        <v>32</v>
      </c>
      <c r="T265">
        <v>17.5</v>
      </c>
      <c r="U265">
        <v>87</v>
      </c>
      <c r="V265">
        <v>16</v>
      </c>
      <c r="W265">
        <v>12.6</v>
      </c>
      <c r="X265">
        <v>26.2</v>
      </c>
      <c r="Z265" t="s">
        <v>32</v>
      </c>
      <c r="AB265" t="s">
        <v>580</v>
      </c>
      <c r="AC265" t="s">
        <v>59</v>
      </c>
    </row>
    <row r="266" spans="1:30" x14ac:dyDescent="0.2">
      <c r="A266" s="3">
        <v>42571</v>
      </c>
      <c r="B266" t="s">
        <v>23</v>
      </c>
      <c r="C266">
        <v>111</v>
      </c>
      <c r="D266">
        <v>2</v>
      </c>
      <c r="E266">
        <v>1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29</v>
      </c>
      <c r="L266" t="s">
        <v>30</v>
      </c>
      <c r="M266">
        <v>0</v>
      </c>
      <c r="N266">
        <v>0</v>
      </c>
      <c r="O266" s="17">
        <v>50348</v>
      </c>
      <c r="P266" s="17">
        <v>50347</v>
      </c>
      <c r="Q266">
        <f>35-14</f>
        <v>21</v>
      </c>
      <c r="R266" t="s">
        <v>31</v>
      </c>
      <c r="S266" t="s">
        <v>32</v>
      </c>
      <c r="T266">
        <v>20</v>
      </c>
      <c r="U266">
        <v>83</v>
      </c>
      <c r="V266">
        <v>18</v>
      </c>
      <c r="Z266" t="s">
        <v>32</v>
      </c>
      <c r="AB266" t="s">
        <v>44</v>
      </c>
      <c r="AC266" t="s">
        <v>59</v>
      </c>
    </row>
    <row r="267" spans="1:30" x14ac:dyDescent="0.2">
      <c r="A267" s="3">
        <v>42572</v>
      </c>
      <c r="B267" t="s">
        <v>23</v>
      </c>
      <c r="C267">
        <v>111</v>
      </c>
      <c r="D267">
        <v>2</v>
      </c>
      <c r="E267">
        <v>1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29</v>
      </c>
      <c r="L267" t="s">
        <v>30</v>
      </c>
      <c r="M267">
        <v>0</v>
      </c>
      <c r="N267">
        <v>0</v>
      </c>
      <c r="O267" s="17">
        <v>50348</v>
      </c>
      <c r="P267" s="17">
        <v>50347</v>
      </c>
      <c r="Q267">
        <v>20</v>
      </c>
      <c r="R267" t="s">
        <v>31</v>
      </c>
      <c r="S267" t="s">
        <v>32</v>
      </c>
      <c r="T267">
        <v>19</v>
      </c>
      <c r="U267">
        <v>86</v>
      </c>
      <c r="V267">
        <v>17</v>
      </c>
      <c r="Z267" t="s">
        <v>32</v>
      </c>
      <c r="AB267" t="s">
        <v>121</v>
      </c>
      <c r="AC267" t="s">
        <v>122</v>
      </c>
    </row>
    <row r="268" spans="1:30" x14ac:dyDescent="0.2">
      <c r="A268" s="3">
        <v>42584</v>
      </c>
      <c r="B268" t="s">
        <v>23</v>
      </c>
      <c r="C268">
        <v>111</v>
      </c>
      <c r="D268">
        <v>4</v>
      </c>
      <c r="E268">
        <v>2</v>
      </c>
      <c r="F268" t="s">
        <v>33</v>
      </c>
      <c r="G268" t="s">
        <v>25</v>
      </c>
      <c r="H268" t="s">
        <v>26</v>
      </c>
      <c r="I268" t="s">
        <v>27</v>
      </c>
      <c r="J268" t="s">
        <v>28</v>
      </c>
      <c r="K268" t="s">
        <v>29</v>
      </c>
      <c r="L268" t="s">
        <v>30</v>
      </c>
      <c r="M268">
        <v>0</v>
      </c>
      <c r="N268">
        <v>0</v>
      </c>
      <c r="O268" s="17">
        <v>50348</v>
      </c>
      <c r="P268" s="17">
        <v>50347</v>
      </c>
      <c r="Q268">
        <f>32-11.5</f>
        <v>20.5</v>
      </c>
      <c r="R268" t="s">
        <v>83</v>
      </c>
      <c r="S268" t="s">
        <v>145</v>
      </c>
      <c r="T268">
        <v>19</v>
      </c>
      <c r="U268">
        <v>90</v>
      </c>
      <c r="V268">
        <v>16</v>
      </c>
      <c r="W268">
        <v>13</v>
      </c>
      <c r="X268">
        <v>28.3</v>
      </c>
      <c r="Z268" t="s">
        <v>32</v>
      </c>
      <c r="AB268" t="s">
        <v>121</v>
      </c>
      <c r="AC268" t="s">
        <v>59</v>
      </c>
    </row>
    <row r="269" spans="1:30" x14ac:dyDescent="0.2">
      <c r="A269" s="3">
        <v>42576</v>
      </c>
      <c r="B269" t="s">
        <v>23</v>
      </c>
      <c r="C269">
        <v>501</v>
      </c>
      <c r="D269">
        <v>2</v>
      </c>
      <c r="E269">
        <v>2</v>
      </c>
      <c r="F269" t="s">
        <v>33</v>
      </c>
      <c r="G269" t="s">
        <v>25</v>
      </c>
      <c r="H269" t="s">
        <v>26</v>
      </c>
      <c r="I269" t="s">
        <v>27</v>
      </c>
      <c r="J269" t="s">
        <v>34</v>
      </c>
      <c r="K269" t="s">
        <v>188</v>
      </c>
      <c r="L269" t="s">
        <v>30</v>
      </c>
      <c r="M269">
        <v>0</v>
      </c>
      <c r="N269">
        <v>1</v>
      </c>
      <c r="O269" s="17">
        <v>50349</v>
      </c>
      <c r="P269" s="17">
        <v>50348</v>
      </c>
      <c r="Q269">
        <f>27-11</f>
        <v>16</v>
      </c>
      <c r="R269" t="s">
        <v>31</v>
      </c>
      <c r="S269" t="s">
        <v>32</v>
      </c>
      <c r="T269">
        <v>18</v>
      </c>
      <c r="U269">
        <v>90</v>
      </c>
      <c r="V269">
        <v>16</v>
      </c>
      <c r="W269">
        <v>12.9</v>
      </c>
      <c r="X269">
        <v>26.8</v>
      </c>
      <c r="Z269" t="s">
        <v>32</v>
      </c>
      <c r="AB269" t="s">
        <v>121</v>
      </c>
      <c r="AC269" t="s">
        <v>122</v>
      </c>
    </row>
    <row r="270" spans="1:30" x14ac:dyDescent="0.2">
      <c r="A270" s="3">
        <v>42528</v>
      </c>
      <c r="B270" t="s">
        <v>23</v>
      </c>
      <c r="C270">
        <v>112</v>
      </c>
      <c r="D270">
        <v>1</v>
      </c>
      <c r="E270">
        <v>2</v>
      </c>
      <c r="F270" t="s">
        <v>33</v>
      </c>
      <c r="G270" t="s">
        <v>25</v>
      </c>
      <c r="H270" t="s">
        <v>26</v>
      </c>
      <c r="I270" t="s">
        <v>27</v>
      </c>
      <c r="J270" t="s">
        <v>34</v>
      </c>
      <c r="K270" t="s">
        <v>29</v>
      </c>
      <c r="L270" t="s">
        <v>30</v>
      </c>
      <c r="M270">
        <v>0</v>
      </c>
      <c r="N270">
        <v>1</v>
      </c>
      <c r="O270" s="17">
        <v>50350</v>
      </c>
      <c r="P270" s="17">
        <v>50349</v>
      </c>
      <c r="Q270">
        <f>40-11</f>
        <v>29</v>
      </c>
      <c r="R270" t="s">
        <v>94</v>
      </c>
      <c r="S270" t="s">
        <v>32</v>
      </c>
      <c r="T270">
        <v>19</v>
      </c>
      <c r="U270">
        <v>97</v>
      </c>
      <c r="V270">
        <v>15</v>
      </c>
      <c r="W270">
        <v>22.3</v>
      </c>
      <c r="X270">
        <v>28</v>
      </c>
      <c r="Z270" t="s">
        <v>32</v>
      </c>
      <c r="AB270" t="s">
        <v>121</v>
      </c>
      <c r="AC270" t="s">
        <v>59</v>
      </c>
    </row>
    <row r="271" spans="1:30" x14ac:dyDescent="0.2">
      <c r="A271" s="3">
        <v>42541</v>
      </c>
      <c r="B271" t="s">
        <v>23</v>
      </c>
      <c r="C271">
        <v>112</v>
      </c>
      <c r="D271">
        <v>2</v>
      </c>
      <c r="E271">
        <v>1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29</v>
      </c>
      <c r="L271" t="s">
        <v>30</v>
      </c>
      <c r="M271">
        <v>0</v>
      </c>
      <c r="N271">
        <v>0</v>
      </c>
      <c r="O271" s="17">
        <v>50350</v>
      </c>
      <c r="P271" s="17">
        <v>50349</v>
      </c>
      <c r="Q271">
        <f>42-14</f>
        <v>28</v>
      </c>
      <c r="R271" t="s">
        <v>192</v>
      </c>
      <c r="S271" t="s">
        <v>32</v>
      </c>
      <c r="T271">
        <v>19</v>
      </c>
      <c r="U271">
        <v>96</v>
      </c>
      <c r="V271">
        <v>17</v>
      </c>
      <c r="W271">
        <v>13</v>
      </c>
      <c r="X271">
        <v>29.7</v>
      </c>
      <c r="Z271" t="s">
        <v>32</v>
      </c>
      <c r="AB271" t="s">
        <v>256</v>
      </c>
      <c r="AC271" t="s">
        <v>254</v>
      </c>
    </row>
    <row r="272" spans="1:30" x14ac:dyDescent="0.2">
      <c r="A272" s="3">
        <v>42542</v>
      </c>
      <c r="B272" t="s">
        <v>23</v>
      </c>
      <c r="C272">
        <v>112</v>
      </c>
      <c r="D272">
        <v>2</v>
      </c>
      <c r="E272">
        <v>1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29</v>
      </c>
      <c r="L272" t="s">
        <v>30</v>
      </c>
      <c r="M272">
        <v>0</v>
      </c>
      <c r="N272">
        <v>0</v>
      </c>
      <c r="O272" s="17">
        <v>50350</v>
      </c>
      <c r="P272" s="17">
        <v>50349</v>
      </c>
      <c r="Q272">
        <f>40-13</f>
        <v>27</v>
      </c>
      <c r="R272" t="s">
        <v>94</v>
      </c>
      <c r="S272" t="s">
        <v>32</v>
      </c>
      <c r="T272">
        <v>18</v>
      </c>
      <c r="U272">
        <v>96</v>
      </c>
      <c r="V272">
        <v>16</v>
      </c>
      <c r="W272">
        <v>13.1</v>
      </c>
      <c r="X272">
        <v>28.8</v>
      </c>
      <c r="Z272" t="s">
        <v>32</v>
      </c>
      <c r="AB272" t="s">
        <v>44</v>
      </c>
      <c r="AC272" t="s">
        <v>122</v>
      </c>
      <c r="AD272" t="s">
        <v>274</v>
      </c>
    </row>
    <row r="273" spans="1:30" x14ac:dyDescent="0.2">
      <c r="A273" s="3">
        <v>42556</v>
      </c>
      <c r="B273" t="s">
        <v>23</v>
      </c>
      <c r="C273">
        <v>112</v>
      </c>
      <c r="D273">
        <v>2</v>
      </c>
      <c r="E273">
        <v>1</v>
      </c>
      <c r="F273" t="s">
        <v>33</v>
      </c>
      <c r="G273" t="s">
        <v>25</v>
      </c>
      <c r="H273" t="s">
        <v>26</v>
      </c>
      <c r="I273" t="s">
        <v>27</v>
      </c>
      <c r="J273" t="s">
        <v>28</v>
      </c>
      <c r="K273" t="s">
        <v>29</v>
      </c>
      <c r="L273" t="s">
        <v>30</v>
      </c>
      <c r="M273">
        <v>0</v>
      </c>
      <c r="N273">
        <v>0</v>
      </c>
      <c r="O273" s="17">
        <v>50350</v>
      </c>
      <c r="P273" s="17">
        <v>50349</v>
      </c>
      <c r="Q273">
        <f>35-10.5</f>
        <v>24.5</v>
      </c>
      <c r="R273" t="s">
        <v>279</v>
      </c>
      <c r="S273" t="s">
        <v>145</v>
      </c>
      <c r="T273">
        <v>19</v>
      </c>
      <c r="U273">
        <v>90</v>
      </c>
      <c r="V273">
        <v>17</v>
      </c>
      <c r="W273">
        <v>13.2</v>
      </c>
      <c r="X273">
        <v>29.6</v>
      </c>
      <c r="Z273" t="s">
        <v>32</v>
      </c>
      <c r="AB273" t="s">
        <v>53</v>
      </c>
      <c r="AC273" t="s">
        <v>59</v>
      </c>
    </row>
    <row r="274" spans="1:30" x14ac:dyDescent="0.2">
      <c r="A274" s="3">
        <v>42530</v>
      </c>
      <c r="B274" t="s">
        <v>23</v>
      </c>
      <c r="C274">
        <v>304</v>
      </c>
      <c r="D274">
        <v>7</v>
      </c>
      <c r="E274">
        <v>2</v>
      </c>
      <c r="F274" t="s">
        <v>24</v>
      </c>
      <c r="G274" t="s">
        <v>25</v>
      </c>
      <c r="H274" t="s">
        <v>26</v>
      </c>
      <c r="I274" t="s">
        <v>27</v>
      </c>
      <c r="J274" t="s">
        <v>34</v>
      </c>
      <c r="K274" t="s">
        <v>123</v>
      </c>
      <c r="L274" t="s">
        <v>35</v>
      </c>
      <c r="M274">
        <v>0</v>
      </c>
      <c r="N274">
        <v>1</v>
      </c>
      <c r="O274" s="17">
        <v>50352</v>
      </c>
      <c r="P274" s="17">
        <v>50367</v>
      </c>
      <c r="Q274">
        <v>11</v>
      </c>
      <c r="R274" t="s">
        <v>63</v>
      </c>
      <c r="S274" t="s">
        <v>32</v>
      </c>
      <c r="T274">
        <v>18</v>
      </c>
      <c r="U274">
        <v>78</v>
      </c>
      <c r="V274">
        <v>15.5</v>
      </c>
      <c r="W274">
        <v>11.6</v>
      </c>
      <c r="X274">
        <v>26.7</v>
      </c>
      <c r="Z274" t="s">
        <v>32</v>
      </c>
      <c r="AB274" t="s">
        <v>59</v>
      </c>
      <c r="AC274" t="s">
        <v>191</v>
      </c>
    </row>
    <row r="275" spans="1:30" x14ac:dyDescent="0.2">
      <c r="A275" s="3">
        <v>42542</v>
      </c>
      <c r="B275" t="s">
        <v>23</v>
      </c>
      <c r="C275">
        <v>301</v>
      </c>
      <c r="D275">
        <v>5</v>
      </c>
      <c r="E275">
        <v>1</v>
      </c>
      <c r="F275" t="s">
        <v>33</v>
      </c>
      <c r="G275" t="s">
        <v>25</v>
      </c>
      <c r="H275" t="s">
        <v>26</v>
      </c>
      <c r="I275" t="s">
        <v>27</v>
      </c>
      <c r="J275" t="s">
        <v>28</v>
      </c>
      <c r="K275" t="s">
        <v>123</v>
      </c>
      <c r="L275" t="s">
        <v>35</v>
      </c>
      <c r="M275">
        <v>0</v>
      </c>
      <c r="N275">
        <v>0</v>
      </c>
      <c r="O275" s="17">
        <v>50352</v>
      </c>
      <c r="P275" s="17">
        <v>50367</v>
      </c>
      <c r="Q275">
        <f>30-16</f>
        <v>14</v>
      </c>
      <c r="R275" t="s">
        <v>63</v>
      </c>
      <c r="T275">
        <v>19</v>
      </c>
      <c r="U275">
        <v>74</v>
      </c>
      <c r="V275">
        <v>14</v>
      </c>
      <c r="W275">
        <v>12.2</v>
      </c>
      <c r="X275">
        <v>27.4</v>
      </c>
      <c r="Z275" t="s">
        <v>32</v>
      </c>
      <c r="AB275" t="s">
        <v>44</v>
      </c>
      <c r="AC275" t="s">
        <v>122</v>
      </c>
    </row>
    <row r="276" spans="1:30" x14ac:dyDescent="0.2">
      <c r="A276" s="3">
        <v>42543</v>
      </c>
      <c r="B276" t="s">
        <v>23</v>
      </c>
      <c r="C276">
        <v>304</v>
      </c>
      <c r="D276">
        <v>1</v>
      </c>
      <c r="E276">
        <v>1</v>
      </c>
      <c r="F276" t="s">
        <v>33</v>
      </c>
      <c r="G276" t="s">
        <v>25</v>
      </c>
      <c r="H276" t="s">
        <v>26</v>
      </c>
      <c r="I276" t="s">
        <v>27</v>
      </c>
      <c r="J276" t="s">
        <v>28</v>
      </c>
      <c r="K276" t="s">
        <v>123</v>
      </c>
      <c r="L276" t="s">
        <v>35</v>
      </c>
      <c r="M276">
        <v>0</v>
      </c>
      <c r="N276">
        <v>0</v>
      </c>
      <c r="O276" s="17">
        <v>50352</v>
      </c>
      <c r="P276" s="17">
        <v>50367</v>
      </c>
      <c r="Q276">
        <f>29-14.5</f>
        <v>14.5</v>
      </c>
      <c r="R276" t="s">
        <v>63</v>
      </c>
      <c r="T276">
        <v>20</v>
      </c>
      <c r="U276">
        <v>74</v>
      </c>
      <c r="V276">
        <v>14</v>
      </c>
      <c r="W276">
        <v>11.8</v>
      </c>
      <c r="X276">
        <v>27.2</v>
      </c>
      <c r="Z276" t="s">
        <v>32</v>
      </c>
      <c r="AB276" t="s">
        <v>53</v>
      </c>
      <c r="AC276" t="s">
        <v>122</v>
      </c>
    </row>
    <row r="277" spans="1:30" x14ac:dyDescent="0.2">
      <c r="A277" s="3">
        <v>42529</v>
      </c>
      <c r="B277" t="s">
        <v>23</v>
      </c>
      <c r="C277">
        <v>202</v>
      </c>
      <c r="D277">
        <v>9</v>
      </c>
      <c r="E277">
        <v>1</v>
      </c>
      <c r="F277" t="s">
        <v>24</v>
      </c>
      <c r="G277" t="s">
        <v>25</v>
      </c>
      <c r="H277" t="s">
        <v>26</v>
      </c>
      <c r="I277" t="s">
        <v>27</v>
      </c>
      <c r="J277" t="s">
        <v>34</v>
      </c>
      <c r="K277" t="s">
        <v>187</v>
      </c>
      <c r="L277" t="s">
        <v>35</v>
      </c>
      <c r="M277">
        <v>0</v>
      </c>
      <c r="N277">
        <v>1</v>
      </c>
      <c r="O277" s="17">
        <v>50354</v>
      </c>
      <c r="P277" s="17">
        <v>50353</v>
      </c>
      <c r="Q277">
        <v>21</v>
      </c>
      <c r="R277" t="s">
        <v>39</v>
      </c>
      <c r="S277" t="s">
        <v>32</v>
      </c>
      <c r="T277">
        <v>18</v>
      </c>
      <c r="U277">
        <v>88</v>
      </c>
      <c r="V277">
        <v>17</v>
      </c>
      <c r="W277">
        <v>12</v>
      </c>
      <c r="X277">
        <v>26.3</v>
      </c>
      <c r="Z277" t="s">
        <v>32</v>
      </c>
      <c r="AB277" t="s">
        <v>190</v>
      </c>
    </row>
    <row r="278" spans="1:30" x14ac:dyDescent="0.2">
      <c r="A278" s="3">
        <v>42529</v>
      </c>
      <c r="B278" t="s">
        <v>23</v>
      </c>
      <c r="C278">
        <v>203</v>
      </c>
      <c r="D278">
        <v>9</v>
      </c>
      <c r="E278">
        <v>2</v>
      </c>
      <c r="F278" t="s">
        <v>24</v>
      </c>
      <c r="G278" t="s">
        <v>25</v>
      </c>
      <c r="H278" t="s">
        <v>26</v>
      </c>
      <c r="I278" t="s">
        <v>27</v>
      </c>
      <c r="J278" t="s">
        <v>34</v>
      </c>
      <c r="K278" t="s">
        <v>187</v>
      </c>
      <c r="L278" t="s">
        <v>35</v>
      </c>
      <c r="M278">
        <v>0</v>
      </c>
      <c r="N278">
        <v>1</v>
      </c>
      <c r="O278" s="17">
        <v>50356</v>
      </c>
      <c r="P278" s="17">
        <v>50355</v>
      </c>
      <c r="Q278">
        <f>34-12</f>
        <v>22</v>
      </c>
      <c r="R278" t="s">
        <v>39</v>
      </c>
      <c r="S278" t="s">
        <v>32</v>
      </c>
      <c r="T278">
        <v>19</v>
      </c>
      <c r="U278">
        <v>88</v>
      </c>
      <c r="V278">
        <v>16</v>
      </c>
      <c r="W278">
        <v>12.7</v>
      </c>
      <c r="X278">
        <v>29.5</v>
      </c>
      <c r="Z278" t="s">
        <v>32</v>
      </c>
      <c r="AB278" t="s">
        <v>121</v>
      </c>
      <c r="AC278" t="s">
        <v>59</v>
      </c>
    </row>
    <row r="279" spans="1:30" x14ac:dyDescent="0.2">
      <c r="A279" s="3">
        <v>42528</v>
      </c>
      <c r="B279" t="s">
        <v>23</v>
      </c>
      <c r="C279">
        <v>201</v>
      </c>
      <c r="D279">
        <v>8</v>
      </c>
      <c r="E279">
        <v>2</v>
      </c>
      <c r="F279" t="s">
        <v>24</v>
      </c>
      <c r="G279" t="s">
        <v>25</v>
      </c>
      <c r="H279" t="s">
        <v>26</v>
      </c>
      <c r="I279" t="s">
        <v>27</v>
      </c>
      <c r="J279" t="s">
        <v>34</v>
      </c>
      <c r="K279" t="s">
        <v>29</v>
      </c>
      <c r="L279" t="s">
        <v>30</v>
      </c>
      <c r="M279">
        <v>0</v>
      </c>
      <c r="N279">
        <v>1</v>
      </c>
      <c r="O279" s="17">
        <v>50359</v>
      </c>
      <c r="P279" s="17">
        <v>50358</v>
      </c>
      <c r="Q279">
        <f>35-12</f>
        <v>23</v>
      </c>
      <c r="R279" t="s">
        <v>91</v>
      </c>
      <c r="S279" t="s">
        <v>32</v>
      </c>
      <c r="T279">
        <v>18</v>
      </c>
      <c r="U279">
        <v>90</v>
      </c>
      <c r="V279">
        <v>15.5</v>
      </c>
      <c r="W279">
        <v>12.8</v>
      </c>
      <c r="X279">
        <v>27</v>
      </c>
      <c r="Z279" t="s">
        <v>32</v>
      </c>
      <c r="AB279" t="s">
        <v>149</v>
      </c>
      <c r="AC279" t="s">
        <v>59</v>
      </c>
    </row>
    <row r="280" spans="1:30" x14ac:dyDescent="0.2">
      <c r="A280" s="3">
        <v>42541</v>
      </c>
      <c r="B280" t="s">
        <v>23</v>
      </c>
      <c r="C280">
        <v>201</v>
      </c>
      <c r="D280">
        <v>7</v>
      </c>
      <c r="E280">
        <v>2</v>
      </c>
      <c r="F280" t="s">
        <v>33</v>
      </c>
      <c r="G280" t="s">
        <v>25</v>
      </c>
      <c r="H280" t="s">
        <v>26</v>
      </c>
      <c r="I280" t="s">
        <v>27</v>
      </c>
      <c r="J280" t="s">
        <v>28</v>
      </c>
      <c r="K280" t="s">
        <v>29</v>
      </c>
      <c r="L280" t="s">
        <v>30</v>
      </c>
      <c r="M280">
        <v>0</v>
      </c>
      <c r="N280">
        <v>0</v>
      </c>
      <c r="O280" s="17">
        <v>50359</v>
      </c>
      <c r="P280" s="17">
        <v>50358</v>
      </c>
      <c r="Q280">
        <f>34-12</f>
        <v>22</v>
      </c>
      <c r="R280" t="s">
        <v>61</v>
      </c>
      <c r="S280" t="s">
        <v>32</v>
      </c>
      <c r="T280">
        <v>18</v>
      </c>
      <c r="U280">
        <v>85</v>
      </c>
      <c r="V280">
        <v>14</v>
      </c>
      <c r="W280">
        <v>14</v>
      </c>
      <c r="X280">
        <v>29.8</v>
      </c>
      <c r="Z280" t="s">
        <v>32</v>
      </c>
      <c r="AB280" t="s">
        <v>53</v>
      </c>
      <c r="AC280" t="s">
        <v>122</v>
      </c>
    </row>
    <row r="281" spans="1:30" x14ac:dyDescent="0.2">
      <c r="A281" s="3">
        <v>42542</v>
      </c>
      <c r="B281" t="s">
        <v>23</v>
      </c>
      <c r="C281">
        <v>201</v>
      </c>
      <c r="D281">
        <v>8</v>
      </c>
      <c r="E281">
        <v>1</v>
      </c>
      <c r="F281" t="s">
        <v>33</v>
      </c>
      <c r="G281" t="s">
        <v>25</v>
      </c>
      <c r="H281" t="s">
        <v>26</v>
      </c>
      <c r="I281" t="s">
        <v>27</v>
      </c>
      <c r="J281" t="s">
        <v>28</v>
      </c>
      <c r="K281" t="s">
        <v>29</v>
      </c>
      <c r="L281" t="s">
        <v>30</v>
      </c>
      <c r="M281">
        <v>0</v>
      </c>
      <c r="N281">
        <v>0</v>
      </c>
      <c r="O281" s="17">
        <v>50359</v>
      </c>
      <c r="P281" s="17">
        <v>50358</v>
      </c>
      <c r="Q281">
        <f>34-14.5</f>
        <v>19.5</v>
      </c>
      <c r="R281" t="s">
        <v>61</v>
      </c>
      <c r="S281" t="s">
        <v>32</v>
      </c>
      <c r="T281">
        <v>19</v>
      </c>
      <c r="U281">
        <v>82</v>
      </c>
      <c r="V281">
        <v>14</v>
      </c>
      <c r="W281">
        <v>12.9</v>
      </c>
      <c r="X281">
        <v>29.3</v>
      </c>
      <c r="Z281" t="s">
        <v>32</v>
      </c>
      <c r="AB281" t="s">
        <v>44</v>
      </c>
      <c r="AC281" t="s">
        <v>122</v>
      </c>
    </row>
    <row r="282" spans="1:30" x14ac:dyDescent="0.2">
      <c r="A282" s="3">
        <v>42572</v>
      </c>
      <c r="B282" t="s">
        <v>23</v>
      </c>
      <c r="C282">
        <v>201</v>
      </c>
      <c r="D282">
        <v>8</v>
      </c>
      <c r="E282">
        <v>2</v>
      </c>
      <c r="F282" t="s">
        <v>33</v>
      </c>
      <c r="G282" t="s">
        <v>25</v>
      </c>
      <c r="H282" t="s">
        <v>26</v>
      </c>
      <c r="I282" t="s">
        <v>27</v>
      </c>
      <c r="J282" t="s">
        <v>28</v>
      </c>
      <c r="K282" t="s">
        <v>29</v>
      </c>
      <c r="L282" t="s">
        <v>30</v>
      </c>
      <c r="M282">
        <v>0</v>
      </c>
      <c r="N282">
        <v>0</v>
      </c>
      <c r="O282" s="17">
        <v>50359</v>
      </c>
      <c r="P282" s="17">
        <v>50358</v>
      </c>
      <c r="Q282">
        <f>42-11</f>
        <v>31</v>
      </c>
      <c r="R282" t="s">
        <v>273</v>
      </c>
      <c r="S282" t="s">
        <v>145</v>
      </c>
      <c r="T282">
        <v>19</v>
      </c>
      <c r="U282">
        <v>91</v>
      </c>
      <c r="V282">
        <v>16</v>
      </c>
      <c r="W282">
        <v>13.1</v>
      </c>
      <c r="X282">
        <v>26.6</v>
      </c>
      <c r="Z282" t="s">
        <v>32</v>
      </c>
      <c r="AB282" t="s">
        <v>121</v>
      </c>
      <c r="AC282" t="s">
        <v>59</v>
      </c>
    </row>
    <row r="283" spans="1:30" x14ac:dyDescent="0.2">
      <c r="A283" s="3">
        <v>42585</v>
      </c>
      <c r="B283" t="s">
        <v>23</v>
      </c>
      <c r="C283">
        <v>201</v>
      </c>
      <c r="D283">
        <v>8</v>
      </c>
      <c r="E283">
        <v>2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 t="s">
        <v>29</v>
      </c>
      <c r="L283" t="s">
        <v>30</v>
      </c>
      <c r="M283">
        <v>0</v>
      </c>
      <c r="N283">
        <v>0</v>
      </c>
      <c r="O283" s="17">
        <v>50359</v>
      </c>
      <c r="P283" s="17">
        <v>50358</v>
      </c>
      <c r="Q283">
        <f>36-12</f>
        <v>24</v>
      </c>
      <c r="R283" t="s">
        <v>94</v>
      </c>
      <c r="S283" t="s">
        <v>32</v>
      </c>
      <c r="T283">
        <v>17</v>
      </c>
      <c r="U283">
        <v>91</v>
      </c>
      <c r="V283">
        <v>19</v>
      </c>
      <c r="W283">
        <v>13.6</v>
      </c>
      <c r="X283">
        <v>28.8</v>
      </c>
      <c r="Z283" t="s">
        <v>145</v>
      </c>
      <c r="AB283" t="s">
        <v>44</v>
      </c>
      <c r="AC283" t="s">
        <v>59</v>
      </c>
    </row>
    <row r="284" spans="1:30" x14ac:dyDescent="0.2">
      <c r="A284" s="3">
        <v>42586</v>
      </c>
      <c r="B284" t="s">
        <v>23</v>
      </c>
      <c r="C284">
        <v>201</v>
      </c>
      <c r="D284">
        <v>8</v>
      </c>
      <c r="E284">
        <v>1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 t="s">
        <v>29</v>
      </c>
      <c r="L284" t="s">
        <v>30</v>
      </c>
      <c r="M284">
        <v>0</v>
      </c>
      <c r="N284">
        <v>0</v>
      </c>
      <c r="O284" s="17">
        <v>50359</v>
      </c>
      <c r="P284" s="17">
        <v>50358</v>
      </c>
      <c r="Q284">
        <f>37-14</f>
        <v>23</v>
      </c>
      <c r="R284" t="s">
        <v>31</v>
      </c>
      <c r="S284" t="s">
        <v>32</v>
      </c>
      <c r="T284">
        <v>18</v>
      </c>
      <c r="U284">
        <v>90</v>
      </c>
      <c r="V284">
        <v>18</v>
      </c>
      <c r="W284">
        <v>13.7</v>
      </c>
      <c r="X284">
        <v>27</v>
      </c>
      <c r="Z284" t="s">
        <v>145</v>
      </c>
      <c r="AB284" t="s">
        <v>44</v>
      </c>
      <c r="AC284" t="s">
        <v>59</v>
      </c>
    </row>
    <row r="285" spans="1:30" x14ac:dyDescent="0.2">
      <c r="A285" s="3">
        <v>42598</v>
      </c>
      <c r="B285" t="s">
        <v>23</v>
      </c>
      <c r="C285">
        <v>201</v>
      </c>
      <c r="D285">
        <v>6</v>
      </c>
      <c r="E285">
        <v>1</v>
      </c>
      <c r="F285" t="s">
        <v>64</v>
      </c>
      <c r="G285" t="s">
        <v>25</v>
      </c>
      <c r="H285" t="s">
        <v>26</v>
      </c>
      <c r="I285" t="s">
        <v>27</v>
      </c>
      <c r="J285" t="s">
        <v>28</v>
      </c>
      <c r="K285" t="s">
        <v>29</v>
      </c>
      <c r="L285" t="s">
        <v>30</v>
      </c>
      <c r="M285">
        <v>0</v>
      </c>
      <c r="N285">
        <v>0</v>
      </c>
      <c r="O285" s="17" t="s">
        <v>1310</v>
      </c>
      <c r="P285" s="17" t="s">
        <v>1539</v>
      </c>
      <c r="Q285">
        <f>33-14</f>
        <v>19</v>
      </c>
      <c r="R285" t="s">
        <v>251</v>
      </c>
      <c r="S285" t="s">
        <v>145</v>
      </c>
      <c r="T285">
        <v>19</v>
      </c>
      <c r="U285">
        <v>89</v>
      </c>
      <c r="V285">
        <v>17</v>
      </c>
      <c r="W285">
        <v>13.1</v>
      </c>
      <c r="X285">
        <v>29.2</v>
      </c>
      <c r="Z285" t="s">
        <v>145</v>
      </c>
      <c r="AA285" t="s">
        <v>260</v>
      </c>
      <c r="AB285" t="s">
        <v>121</v>
      </c>
      <c r="AC285" t="s">
        <v>122</v>
      </c>
    </row>
    <row r="286" spans="1:30" x14ac:dyDescent="0.2">
      <c r="A286" s="3">
        <v>42600</v>
      </c>
      <c r="B286" t="s">
        <v>23</v>
      </c>
      <c r="C286">
        <v>201</v>
      </c>
      <c r="D286">
        <v>6</v>
      </c>
      <c r="E286">
        <v>2</v>
      </c>
      <c r="F286" t="s">
        <v>64</v>
      </c>
      <c r="G286" t="s">
        <v>25</v>
      </c>
      <c r="H286" t="s">
        <v>26</v>
      </c>
      <c r="I286" t="s">
        <v>27</v>
      </c>
      <c r="J286" t="s">
        <v>28</v>
      </c>
      <c r="K286" t="s">
        <v>29</v>
      </c>
      <c r="L286" t="s">
        <v>30</v>
      </c>
      <c r="M286">
        <v>0</v>
      </c>
      <c r="N286">
        <v>0</v>
      </c>
      <c r="O286" s="17" t="s">
        <v>1310</v>
      </c>
      <c r="P286" s="17" t="s">
        <v>1311</v>
      </c>
      <c r="Q286">
        <f>34-13</f>
        <v>21</v>
      </c>
      <c r="R286" t="s">
        <v>251</v>
      </c>
      <c r="S286" t="s">
        <v>145</v>
      </c>
      <c r="T286">
        <v>18.5</v>
      </c>
      <c r="U286">
        <v>90</v>
      </c>
      <c r="V286">
        <v>18</v>
      </c>
      <c r="W286">
        <v>13.2</v>
      </c>
      <c r="X286">
        <v>28</v>
      </c>
      <c r="Z286" t="s">
        <v>145</v>
      </c>
      <c r="AA286" t="s">
        <v>260</v>
      </c>
      <c r="AB286" t="s">
        <v>121</v>
      </c>
      <c r="AC286" t="s">
        <v>122</v>
      </c>
    </row>
    <row r="287" spans="1:30" x14ac:dyDescent="0.2">
      <c r="A287" s="3">
        <v>42516</v>
      </c>
      <c r="B287" t="s">
        <v>23</v>
      </c>
      <c r="C287">
        <v>701</v>
      </c>
      <c r="D287">
        <v>7</v>
      </c>
      <c r="E287">
        <v>1</v>
      </c>
      <c r="F287" t="s">
        <v>24</v>
      </c>
      <c r="G287" t="s">
        <v>25</v>
      </c>
      <c r="H287" t="s">
        <v>26</v>
      </c>
      <c r="I287" t="s">
        <v>27</v>
      </c>
      <c r="J287" t="s">
        <v>34</v>
      </c>
      <c r="K287" t="s">
        <v>29</v>
      </c>
      <c r="L287" t="s">
        <v>35</v>
      </c>
      <c r="M287">
        <v>0</v>
      </c>
      <c r="N287">
        <v>1</v>
      </c>
      <c r="O287" s="17">
        <v>50370</v>
      </c>
      <c r="P287" s="17">
        <v>50369</v>
      </c>
      <c r="Q287">
        <v>20</v>
      </c>
      <c r="R287" t="s">
        <v>63</v>
      </c>
      <c r="S287" t="s">
        <v>32</v>
      </c>
      <c r="T287">
        <v>19</v>
      </c>
      <c r="U287">
        <v>75</v>
      </c>
      <c r="V287">
        <v>16</v>
      </c>
      <c r="W287">
        <v>11.6</v>
      </c>
      <c r="X287">
        <v>25</v>
      </c>
      <c r="Z287" t="s">
        <v>32</v>
      </c>
      <c r="AB287" t="s">
        <v>44</v>
      </c>
      <c r="AC287" t="s">
        <v>59</v>
      </c>
    </row>
    <row r="288" spans="1:30" x14ac:dyDescent="0.2">
      <c r="A288" s="3">
        <v>42549</v>
      </c>
      <c r="B288" t="s">
        <v>23</v>
      </c>
      <c r="C288">
        <v>701</v>
      </c>
      <c r="D288">
        <v>6</v>
      </c>
      <c r="E288">
        <v>2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t="s">
        <v>29</v>
      </c>
      <c r="L288" t="s">
        <v>35</v>
      </c>
      <c r="M288">
        <v>0</v>
      </c>
      <c r="N288">
        <v>0</v>
      </c>
      <c r="O288" s="17">
        <v>50370</v>
      </c>
      <c r="P288" s="17">
        <v>50369</v>
      </c>
      <c r="Q288">
        <f>34.5-14</f>
        <v>20.5</v>
      </c>
      <c r="R288" t="s">
        <v>39</v>
      </c>
      <c r="T288">
        <v>20</v>
      </c>
      <c r="U288">
        <v>73</v>
      </c>
      <c r="V288">
        <v>16</v>
      </c>
      <c r="Z288" t="s">
        <v>32</v>
      </c>
      <c r="AB288" t="s">
        <v>121</v>
      </c>
      <c r="AC288" t="s">
        <v>122</v>
      </c>
      <c r="AD288" t="s">
        <v>330</v>
      </c>
    </row>
    <row r="289" spans="1:30" x14ac:dyDescent="0.2">
      <c r="A289" s="3">
        <v>42550</v>
      </c>
      <c r="B289" t="s">
        <v>23</v>
      </c>
      <c r="C289">
        <v>701</v>
      </c>
      <c r="D289">
        <v>1</v>
      </c>
      <c r="E289">
        <v>2</v>
      </c>
      <c r="F289" t="s">
        <v>24</v>
      </c>
      <c r="G289" t="s">
        <v>25</v>
      </c>
      <c r="H289" t="s">
        <v>26</v>
      </c>
      <c r="I289" t="s">
        <v>27</v>
      </c>
      <c r="J289" t="s">
        <v>28</v>
      </c>
      <c r="K289" t="s">
        <v>29</v>
      </c>
      <c r="L289" t="s">
        <v>35</v>
      </c>
      <c r="M289">
        <v>0</v>
      </c>
      <c r="N289">
        <v>0</v>
      </c>
      <c r="O289" s="17">
        <v>50370</v>
      </c>
      <c r="P289" s="17">
        <v>50369</v>
      </c>
      <c r="Q289">
        <f>30.5-12</f>
        <v>18.5</v>
      </c>
      <c r="R289" t="s">
        <v>39</v>
      </c>
      <c r="T289">
        <v>20</v>
      </c>
      <c r="U289">
        <v>72.5</v>
      </c>
      <c r="V289">
        <v>16.5</v>
      </c>
      <c r="W289">
        <v>11.65</v>
      </c>
      <c r="X289">
        <v>28.3</v>
      </c>
      <c r="Z289" t="s">
        <v>32</v>
      </c>
      <c r="AB289" t="s">
        <v>53</v>
      </c>
      <c r="AC289" t="s">
        <v>59</v>
      </c>
    </row>
    <row r="290" spans="1:30" x14ac:dyDescent="0.2">
      <c r="A290" s="3">
        <v>42551</v>
      </c>
      <c r="B290" t="s">
        <v>23</v>
      </c>
      <c r="C290">
        <v>701</v>
      </c>
      <c r="D290">
        <v>7</v>
      </c>
      <c r="E290">
        <v>1</v>
      </c>
      <c r="F290" t="s">
        <v>24</v>
      </c>
      <c r="G290" t="s">
        <v>25</v>
      </c>
      <c r="H290" t="s">
        <v>26</v>
      </c>
      <c r="I290" t="s">
        <v>27</v>
      </c>
      <c r="J290" t="s">
        <v>28</v>
      </c>
      <c r="K290" t="s">
        <v>29</v>
      </c>
      <c r="L290" t="s">
        <v>35</v>
      </c>
      <c r="M290">
        <v>0</v>
      </c>
      <c r="N290">
        <v>0</v>
      </c>
      <c r="O290" s="17">
        <v>50370</v>
      </c>
      <c r="P290" s="17">
        <v>50369</v>
      </c>
      <c r="Q290">
        <f>34-16</f>
        <v>18</v>
      </c>
      <c r="R290" t="s">
        <v>63</v>
      </c>
      <c r="T290">
        <v>19.5</v>
      </c>
      <c r="U290">
        <v>76</v>
      </c>
      <c r="V290">
        <v>16.5</v>
      </c>
      <c r="Z290" t="s">
        <v>32</v>
      </c>
      <c r="AB290" t="s">
        <v>44</v>
      </c>
      <c r="AC290" t="s">
        <v>116</v>
      </c>
      <c r="AD290" t="s">
        <v>336</v>
      </c>
    </row>
    <row r="291" spans="1:30" x14ac:dyDescent="0.2">
      <c r="A291" s="3">
        <v>42563</v>
      </c>
      <c r="B291" t="s">
        <v>23</v>
      </c>
      <c r="C291">
        <v>701</v>
      </c>
      <c r="D291">
        <v>6</v>
      </c>
      <c r="E291">
        <v>1</v>
      </c>
      <c r="F291" t="s">
        <v>33</v>
      </c>
      <c r="G291" t="s">
        <v>25</v>
      </c>
      <c r="H291" t="s">
        <v>26</v>
      </c>
      <c r="I291" t="s">
        <v>27</v>
      </c>
      <c r="J291" t="s">
        <v>28</v>
      </c>
      <c r="K291" t="s">
        <v>187</v>
      </c>
      <c r="L291" t="s">
        <v>35</v>
      </c>
      <c r="M291">
        <v>0</v>
      </c>
      <c r="N291">
        <v>0</v>
      </c>
      <c r="O291" s="17">
        <v>50370</v>
      </c>
      <c r="P291" s="17">
        <v>60369</v>
      </c>
      <c r="Q291">
        <f>29-12</f>
        <v>17</v>
      </c>
      <c r="R291" t="s">
        <v>39</v>
      </c>
      <c r="T291">
        <v>18</v>
      </c>
      <c r="U291">
        <v>71</v>
      </c>
      <c r="V291">
        <v>15</v>
      </c>
      <c r="W291">
        <v>12.9</v>
      </c>
      <c r="X291">
        <v>27.3</v>
      </c>
      <c r="Z291" t="s">
        <v>32</v>
      </c>
      <c r="AB291" t="s">
        <v>53</v>
      </c>
      <c r="AC291" t="s">
        <v>122</v>
      </c>
    </row>
    <row r="292" spans="1:30" x14ac:dyDescent="0.2">
      <c r="A292" s="3">
        <v>42564</v>
      </c>
      <c r="B292" t="s">
        <v>23</v>
      </c>
      <c r="C292">
        <v>701</v>
      </c>
      <c r="D292">
        <v>1</v>
      </c>
      <c r="E292">
        <v>1</v>
      </c>
      <c r="F292" t="s">
        <v>33</v>
      </c>
      <c r="G292" t="s">
        <v>25</v>
      </c>
      <c r="H292" t="s">
        <v>26</v>
      </c>
      <c r="I292" t="s">
        <v>27</v>
      </c>
      <c r="J292" t="s">
        <v>28</v>
      </c>
      <c r="K292" t="s">
        <v>29</v>
      </c>
      <c r="L292" t="s">
        <v>35</v>
      </c>
      <c r="M292">
        <v>0</v>
      </c>
      <c r="N292">
        <v>0</v>
      </c>
      <c r="O292" s="17">
        <v>50370</v>
      </c>
      <c r="P292" s="17">
        <v>50369</v>
      </c>
      <c r="Q292">
        <f>24.5-9</f>
        <v>15.5</v>
      </c>
      <c r="R292" t="s">
        <v>39</v>
      </c>
      <c r="T292">
        <v>19</v>
      </c>
      <c r="U292">
        <v>70</v>
      </c>
      <c r="V292">
        <v>17</v>
      </c>
      <c r="W292">
        <v>12.8</v>
      </c>
      <c r="X292">
        <v>27.4</v>
      </c>
      <c r="Z292" t="s">
        <v>32</v>
      </c>
      <c r="AB292" t="s">
        <v>121</v>
      </c>
      <c r="AC292" t="s">
        <v>122</v>
      </c>
    </row>
    <row r="293" spans="1:30" x14ac:dyDescent="0.2">
      <c r="A293" s="3">
        <v>42565</v>
      </c>
      <c r="B293" t="s">
        <v>23</v>
      </c>
      <c r="C293">
        <v>701</v>
      </c>
      <c r="D293">
        <v>1</v>
      </c>
      <c r="E293">
        <v>1</v>
      </c>
      <c r="F293" t="s">
        <v>33</v>
      </c>
      <c r="G293" t="s">
        <v>25</v>
      </c>
      <c r="H293" t="s">
        <v>26</v>
      </c>
      <c r="I293" t="s">
        <v>27</v>
      </c>
      <c r="J293" t="s">
        <v>28</v>
      </c>
      <c r="K293" t="s">
        <v>29</v>
      </c>
      <c r="L293" t="s">
        <v>35</v>
      </c>
      <c r="M293">
        <v>0</v>
      </c>
      <c r="N293">
        <v>0</v>
      </c>
      <c r="O293" s="17">
        <v>50370</v>
      </c>
      <c r="P293" s="17">
        <v>50369</v>
      </c>
      <c r="Q293">
        <f>28-10.5</f>
        <v>17.5</v>
      </c>
      <c r="R293" t="s">
        <v>39</v>
      </c>
      <c r="T293">
        <v>20</v>
      </c>
      <c r="U293">
        <v>72</v>
      </c>
      <c r="V293">
        <v>15</v>
      </c>
      <c r="W293">
        <v>12.8</v>
      </c>
      <c r="X293">
        <v>27.9</v>
      </c>
      <c r="Z293" t="s">
        <v>32</v>
      </c>
      <c r="AB293" t="s">
        <v>121</v>
      </c>
      <c r="AC293" t="s">
        <v>254</v>
      </c>
    </row>
    <row r="294" spans="1:30" x14ac:dyDescent="0.2">
      <c r="A294" s="3">
        <v>42574</v>
      </c>
      <c r="B294" t="s">
        <v>23</v>
      </c>
      <c r="C294">
        <v>701</v>
      </c>
      <c r="D294">
        <v>6</v>
      </c>
      <c r="E294">
        <v>1</v>
      </c>
      <c r="F294" t="s">
        <v>24</v>
      </c>
      <c r="G294" t="s">
        <v>25</v>
      </c>
      <c r="H294" t="s">
        <v>26</v>
      </c>
      <c r="I294" t="s">
        <v>27</v>
      </c>
      <c r="J294" t="s">
        <v>28</v>
      </c>
      <c r="K294" t="s">
        <v>29</v>
      </c>
      <c r="L294" t="s">
        <v>35</v>
      </c>
      <c r="M294">
        <v>0</v>
      </c>
      <c r="N294">
        <v>0</v>
      </c>
      <c r="O294" s="17">
        <v>50370</v>
      </c>
      <c r="P294" s="17">
        <v>50369</v>
      </c>
      <c r="Q294">
        <v>20</v>
      </c>
      <c r="R294" t="s">
        <v>63</v>
      </c>
      <c r="T294">
        <v>18</v>
      </c>
      <c r="U294">
        <v>76</v>
      </c>
      <c r="V294">
        <v>19</v>
      </c>
      <c r="W294">
        <v>13</v>
      </c>
      <c r="X294">
        <v>27.7</v>
      </c>
      <c r="Z294" t="s">
        <v>145</v>
      </c>
      <c r="AB294" t="s">
        <v>582</v>
      </c>
      <c r="AC294" t="s">
        <v>59</v>
      </c>
    </row>
    <row r="295" spans="1:30" x14ac:dyDescent="0.2">
      <c r="A295" s="3">
        <v>42575</v>
      </c>
      <c r="B295" t="s">
        <v>23</v>
      </c>
      <c r="C295">
        <v>701</v>
      </c>
      <c r="D295">
        <v>3</v>
      </c>
      <c r="E295">
        <v>2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 t="s">
        <v>29</v>
      </c>
      <c r="L295" t="s">
        <v>35</v>
      </c>
      <c r="M295">
        <v>0</v>
      </c>
      <c r="N295">
        <v>0</v>
      </c>
      <c r="O295" s="17">
        <v>50370</v>
      </c>
      <c r="P295" s="17">
        <v>50369</v>
      </c>
      <c r="Q295">
        <v>20</v>
      </c>
      <c r="R295" t="s">
        <v>63</v>
      </c>
      <c r="T295">
        <v>18</v>
      </c>
      <c r="U295">
        <v>76</v>
      </c>
      <c r="V295">
        <v>19</v>
      </c>
      <c r="W295">
        <v>12.6</v>
      </c>
      <c r="X295">
        <v>25.8</v>
      </c>
      <c r="Z295" t="s">
        <v>145</v>
      </c>
      <c r="AB295" t="s">
        <v>582</v>
      </c>
      <c r="AC295" t="s">
        <v>59</v>
      </c>
    </row>
    <row r="296" spans="1:30" x14ac:dyDescent="0.2">
      <c r="A296" s="3">
        <v>42576</v>
      </c>
      <c r="B296" t="s">
        <v>23</v>
      </c>
      <c r="C296">
        <v>701</v>
      </c>
      <c r="D296">
        <v>2</v>
      </c>
      <c r="E296">
        <v>1</v>
      </c>
      <c r="F296" t="s">
        <v>66</v>
      </c>
      <c r="G296" t="s">
        <v>25</v>
      </c>
      <c r="H296" t="s">
        <v>26</v>
      </c>
      <c r="I296" t="s">
        <v>27</v>
      </c>
      <c r="J296" t="s">
        <v>28</v>
      </c>
      <c r="K296" t="s">
        <v>29</v>
      </c>
      <c r="L296" t="s">
        <v>35</v>
      </c>
      <c r="M296">
        <v>0</v>
      </c>
      <c r="N296">
        <v>0</v>
      </c>
      <c r="O296" s="17">
        <v>50370</v>
      </c>
      <c r="P296" s="17">
        <v>50369</v>
      </c>
      <c r="Q296">
        <f>26-9.5</f>
        <v>16.5</v>
      </c>
      <c r="R296" t="s">
        <v>39</v>
      </c>
      <c r="T296">
        <v>19</v>
      </c>
      <c r="U296">
        <v>76</v>
      </c>
      <c r="V296">
        <v>18</v>
      </c>
      <c r="W296">
        <v>13.7</v>
      </c>
      <c r="X296">
        <v>30.1</v>
      </c>
      <c r="Z296" t="s">
        <v>145</v>
      </c>
      <c r="AB296" t="s">
        <v>121</v>
      </c>
      <c r="AC296" t="s">
        <v>122</v>
      </c>
    </row>
    <row r="297" spans="1:30" x14ac:dyDescent="0.2">
      <c r="A297" s="3">
        <v>42516</v>
      </c>
      <c r="B297" t="s">
        <v>23</v>
      </c>
      <c r="C297">
        <v>703</v>
      </c>
      <c r="D297">
        <v>1</v>
      </c>
      <c r="E297">
        <v>1</v>
      </c>
      <c r="F297" t="s">
        <v>24</v>
      </c>
      <c r="G297" t="s">
        <v>25</v>
      </c>
      <c r="H297" t="s">
        <v>26</v>
      </c>
      <c r="I297" t="s">
        <v>27</v>
      </c>
      <c r="J297" t="s">
        <v>34</v>
      </c>
      <c r="K297" t="s">
        <v>29</v>
      </c>
      <c r="L297" t="s">
        <v>30</v>
      </c>
      <c r="M297">
        <v>0</v>
      </c>
      <c r="N297">
        <v>1</v>
      </c>
      <c r="O297" s="17">
        <v>50373</v>
      </c>
      <c r="P297" s="17">
        <v>50372</v>
      </c>
      <c r="Q297">
        <f>38.5-14</f>
        <v>24.5</v>
      </c>
      <c r="R297" t="s">
        <v>94</v>
      </c>
      <c r="S297" t="s">
        <v>32</v>
      </c>
      <c r="T297">
        <v>18</v>
      </c>
      <c r="U297">
        <v>92</v>
      </c>
      <c r="V297">
        <v>16</v>
      </c>
      <c r="W297">
        <v>11.6</v>
      </c>
      <c r="X297">
        <v>27.8</v>
      </c>
      <c r="Z297" t="s">
        <v>32</v>
      </c>
      <c r="AB297" t="s">
        <v>44</v>
      </c>
      <c r="AC297" t="s">
        <v>59</v>
      </c>
    </row>
    <row r="298" spans="1:30" x14ac:dyDescent="0.2">
      <c r="A298" s="3">
        <v>42502</v>
      </c>
      <c r="B298" t="s">
        <v>23</v>
      </c>
      <c r="C298">
        <v>803</v>
      </c>
      <c r="D298">
        <v>7</v>
      </c>
      <c r="E298">
        <v>1</v>
      </c>
      <c r="F298" t="s">
        <v>33</v>
      </c>
      <c r="G298" t="s">
        <v>25</v>
      </c>
      <c r="H298" t="s">
        <v>26</v>
      </c>
      <c r="I298" t="s">
        <v>27</v>
      </c>
      <c r="J298" t="s">
        <v>34</v>
      </c>
      <c r="K298" t="s">
        <v>29</v>
      </c>
      <c r="L298" t="s">
        <v>35</v>
      </c>
      <c r="M298">
        <v>0</v>
      </c>
      <c r="N298">
        <v>1</v>
      </c>
      <c r="O298" s="17">
        <v>50380</v>
      </c>
      <c r="P298" s="17">
        <v>50379</v>
      </c>
      <c r="Q298">
        <f>35-13</f>
        <v>22</v>
      </c>
      <c r="R298" t="s">
        <v>39</v>
      </c>
      <c r="S298" t="s">
        <v>32</v>
      </c>
      <c r="T298">
        <v>19</v>
      </c>
      <c r="U298">
        <v>89</v>
      </c>
      <c r="V298">
        <v>16</v>
      </c>
      <c r="Z298" t="s">
        <v>32</v>
      </c>
    </row>
    <row r="299" spans="1:30" x14ac:dyDescent="0.2">
      <c r="A299" s="3">
        <v>42515</v>
      </c>
      <c r="B299" t="s">
        <v>23</v>
      </c>
      <c r="C299">
        <v>803</v>
      </c>
      <c r="D299">
        <v>8</v>
      </c>
      <c r="E299">
        <v>1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29</v>
      </c>
      <c r="L299" t="s">
        <v>35</v>
      </c>
      <c r="M299">
        <v>0</v>
      </c>
      <c r="N299">
        <v>0</v>
      </c>
      <c r="O299" s="17">
        <v>50380</v>
      </c>
      <c r="P299" s="17">
        <v>30379</v>
      </c>
      <c r="Q299">
        <f>28.5-9</f>
        <v>19.5</v>
      </c>
      <c r="R299" t="s">
        <v>63</v>
      </c>
      <c r="S299" t="s">
        <v>32</v>
      </c>
      <c r="T299">
        <v>18</v>
      </c>
      <c r="U299">
        <v>91</v>
      </c>
      <c r="V299">
        <v>16</v>
      </c>
      <c r="W299">
        <v>12.72</v>
      </c>
      <c r="X299">
        <v>27.83</v>
      </c>
      <c r="Z299" t="s">
        <v>32</v>
      </c>
      <c r="AB299" t="s">
        <v>149</v>
      </c>
      <c r="AC299" t="s">
        <v>122</v>
      </c>
    </row>
    <row r="300" spans="1:30" x14ac:dyDescent="0.2">
      <c r="A300" s="3">
        <v>42516</v>
      </c>
      <c r="B300" t="s">
        <v>23</v>
      </c>
      <c r="C300">
        <v>803</v>
      </c>
      <c r="D300">
        <v>6</v>
      </c>
      <c r="E300">
        <v>1</v>
      </c>
      <c r="F300" t="s">
        <v>24</v>
      </c>
      <c r="G300" t="s">
        <v>25</v>
      </c>
      <c r="H300" t="s">
        <v>26</v>
      </c>
      <c r="I300" t="s">
        <v>27</v>
      </c>
      <c r="J300" t="s">
        <v>28</v>
      </c>
      <c r="K300" t="s">
        <v>29</v>
      </c>
      <c r="L300" t="s">
        <v>35</v>
      </c>
      <c r="M300">
        <v>0</v>
      </c>
      <c r="N300">
        <v>0</v>
      </c>
      <c r="O300" s="17">
        <v>50380</v>
      </c>
      <c r="P300" s="17">
        <v>50379</v>
      </c>
      <c r="Q300">
        <f>32-14</f>
        <v>18</v>
      </c>
      <c r="R300" t="s">
        <v>39</v>
      </c>
      <c r="S300" t="s">
        <v>32</v>
      </c>
      <c r="T300">
        <v>19</v>
      </c>
      <c r="U300">
        <v>90</v>
      </c>
      <c r="V300">
        <v>18</v>
      </c>
      <c r="W300">
        <v>10.6</v>
      </c>
      <c r="X300">
        <v>28.8</v>
      </c>
      <c r="Z300" t="s">
        <v>32</v>
      </c>
      <c r="AB300" t="s">
        <v>44</v>
      </c>
      <c r="AC300" t="s">
        <v>59</v>
      </c>
    </row>
    <row r="301" spans="1:30" x14ac:dyDescent="0.2">
      <c r="A301" s="3">
        <v>42574</v>
      </c>
      <c r="B301" t="s">
        <v>23</v>
      </c>
      <c r="C301">
        <v>901</v>
      </c>
      <c r="D301">
        <v>2</v>
      </c>
      <c r="E301">
        <v>2</v>
      </c>
      <c r="F301" t="s">
        <v>24</v>
      </c>
      <c r="G301" t="s">
        <v>25</v>
      </c>
      <c r="H301" t="s">
        <v>26</v>
      </c>
      <c r="I301" t="s">
        <v>27</v>
      </c>
      <c r="J301" t="s">
        <v>28</v>
      </c>
      <c r="K301" t="s">
        <v>29</v>
      </c>
      <c r="L301" t="s">
        <v>30</v>
      </c>
      <c r="M301">
        <v>0</v>
      </c>
      <c r="N301">
        <v>0</v>
      </c>
      <c r="O301" s="17">
        <v>50382</v>
      </c>
      <c r="P301" s="17">
        <v>50291</v>
      </c>
      <c r="Q301">
        <f>35-13</f>
        <v>22</v>
      </c>
      <c r="R301" t="s">
        <v>31</v>
      </c>
      <c r="S301" t="s">
        <v>32</v>
      </c>
      <c r="T301">
        <v>18</v>
      </c>
      <c r="U301">
        <v>90.5</v>
      </c>
      <c r="V301">
        <v>15.5</v>
      </c>
      <c r="W301">
        <v>13</v>
      </c>
      <c r="X301">
        <v>29.1</v>
      </c>
      <c r="Z301" t="s">
        <v>32</v>
      </c>
      <c r="AB301" t="s">
        <v>582</v>
      </c>
      <c r="AC301" t="s">
        <v>59</v>
      </c>
    </row>
    <row r="302" spans="1:30" x14ac:dyDescent="0.2">
      <c r="A302" s="3">
        <v>42575</v>
      </c>
      <c r="B302" t="s">
        <v>23</v>
      </c>
      <c r="C302">
        <v>901</v>
      </c>
      <c r="D302">
        <v>1</v>
      </c>
      <c r="E302">
        <v>2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 t="s">
        <v>29</v>
      </c>
      <c r="L302" t="s">
        <v>30</v>
      </c>
      <c r="M302">
        <v>0</v>
      </c>
      <c r="N302">
        <v>0</v>
      </c>
      <c r="O302" s="17">
        <v>50382</v>
      </c>
      <c r="P302" s="17">
        <v>50291</v>
      </c>
      <c r="Q302">
        <f>34-15.5</f>
        <v>18.5</v>
      </c>
      <c r="R302" t="s">
        <v>31</v>
      </c>
      <c r="S302" t="s">
        <v>32</v>
      </c>
      <c r="T302">
        <v>18</v>
      </c>
      <c r="U302">
        <v>92.5</v>
      </c>
      <c r="V302">
        <v>14.5</v>
      </c>
      <c r="W302">
        <v>12.9</v>
      </c>
      <c r="X302">
        <v>28</v>
      </c>
      <c r="Z302" t="s">
        <v>32</v>
      </c>
      <c r="AB302" t="s">
        <v>582</v>
      </c>
      <c r="AC302" t="s">
        <v>59</v>
      </c>
    </row>
    <row r="303" spans="1:30" x14ac:dyDescent="0.2">
      <c r="A303" s="3">
        <v>42502</v>
      </c>
      <c r="B303" t="s">
        <v>23</v>
      </c>
      <c r="C303">
        <v>701</v>
      </c>
      <c r="D303">
        <v>1</v>
      </c>
      <c r="E303">
        <v>1</v>
      </c>
      <c r="F303" t="s">
        <v>33</v>
      </c>
      <c r="G303" t="s">
        <v>25</v>
      </c>
      <c r="H303" t="s">
        <v>26</v>
      </c>
      <c r="I303" t="s">
        <v>27</v>
      </c>
      <c r="J303" t="s">
        <v>34</v>
      </c>
      <c r="K303" t="s">
        <v>29</v>
      </c>
      <c r="L303" t="s">
        <v>35</v>
      </c>
      <c r="M303">
        <v>0</v>
      </c>
      <c r="N303">
        <v>1</v>
      </c>
      <c r="O303" s="17">
        <v>50384</v>
      </c>
      <c r="P303" s="17">
        <v>50383</v>
      </c>
      <c r="Q303">
        <f>33.5-12</f>
        <v>21.5</v>
      </c>
      <c r="R303" t="s">
        <v>39</v>
      </c>
      <c r="S303" t="s">
        <v>32</v>
      </c>
      <c r="T303">
        <v>19</v>
      </c>
      <c r="U303">
        <v>85</v>
      </c>
      <c r="V303">
        <v>13</v>
      </c>
      <c r="Z303" t="s">
        <v>32</v>
      </c>
      <c r="AB303" t="s">
        <v>53</v>
      </c>
      <c r="AC303" t="s">
        <v>59</v>
      </c>
    </row>
    <row r="304" spans="1:30" x14ac:dyDescent="0.2">
      <c r="A304" s="3">
        <v>42515</v>
      </c>
      <c r="B304" t="s">
        <v>23</v>
      </c>
      <c r="C304">
        <v>703</v>
      </c>
      <c r="D304">
        <v>8</v>
      </c>
      <c r="E304">
        <v>2</v>
      </c>
      <c r="F304" t="s">
        <v>24</v>
      </c>
      <c r="G304" t="s">
        <v>25</v>
      </c>
      <c r="H304" t="s">
        <v>26</v>
      </c>
      <c r="I304" t="s">
        <v>27</v>
      </c>
      <c r="J304" t="s">
        <v>28</v>
      </c>
      <c r="K304" t="s">
        <v>29</v>
      </c>
      <c r="L304" t="s">
        <v>35</v>
      </c>
      <c r="M304">
        <v>0</v>
      </c>
      <c r="N304">
        <v>0</v>
      </c>
      <c r="O304" s="17">
        <v>50384</v>
      </c>
      <c r="P304" s="17">
        <v>50383</v>
      </c>
      <c r="Q304">
        <v>18</v>
      </c>
      <c r="R304" t="s">
        <v>39</v>
      </c>
      <c r="S304" t="s">
        <v>32</v>
      </c>
      <c r="T304">
        <v>18</v>
      </c>
      <c r="U304">
        <v>80.5</v>
      </c>
      <c r="V304">
        <v>16</v>
      </c>
      <c r="W304">
        <v>11.56</v>
      </c>
      <c r="X304">
        <v>27.65</v>
      </c>
      <c r="Z304" t="s">
        <v>32</v>
      </c>
      <c r="AB304" t="s">
        <v>121</v>
      </c>
      <c r="AC304" t="s">
        <v>122</v>
      </c>
    </row>
    <row r="305" spans="1:29" x14ac:dyDescent="0.2">
      <c r="A305" s="3">
        <v>42516</v>
      </c>
      <c r="B305" t="s">
        <v>23</v>
      </c>
      <c r="C305">
        <v>701</v>
      </c>
      <c r="D305">
        <v>1</v>
      </c>
      <c r="E305">
        <v>1</v>
      </c>
      <c r="F305" t="s">
        <v>24</v>
      </c>
      <c r="G305" t="s">
        <v>25</v>
      </c>
      <c r="H305" t="s">
        <v>26</v>
      </c>
      <c r="I305" t="s">
        <v>27</v>
      </c>
      <c r="J305" t="s">
        <v>28</v>
      </c>
      <c r="K305" t="s">
        <v>29</v>
      </c>
      <c r="L305" t="s">
        <v>35</v>
      </c>
      <c r="M305">
        <v>0</v>
      </c>
      <c r="N305">
        <v>0</v>
      </c>
      <c r="O305" s="17">
        <v>50384</v>
      </c>
      <c r="P305" s="17">
        <v>50383</v>
      </c>
      <c r="Q305">
        <f>29.5-12</f>
        <v>17.5</v>
      </c>
      <c r="R305" t="s">
        <v>39</v>
      </c>
      <c r="S305" t="s">
        <v>32</v>
      </c>
      <c r="T305">
        <v>18</v>
      </c>
      <c r="U305">
        <v>85</v>
      </c>
      <c r="V305">
        <v>16</v>
      </c>
      <c r="W305">
        <v>12</v>
      </c>
      <c r="X305">
        <v>25.5</v>
      </c>
      <c r="Z305" t="s">
        <v>32</v>
      </c>
      <c r="AB305" t="s">
        <v>44</v>
      </c>
      <c r="AC305" t="s">
        <v>59</v>
      </c>
    </row>
    <row r="306" spans="1:29" x14ac:dyDescent="0.2">
      <c r="A306" s="3">
        <v>42551</v>
      </c>
      <c r="B306" t="s">
        <v>23</v>
      </c>
      <c r="C306">
        <v>701</v>
      </c>
      <c r="D306">
        <v>6</v>
      </c>
      <c r="E306">
        <v>1</v>
      </c>
      <c r="F306" t="s">
        <v>24</v>
      </c>
      <c r="G306" t="s">
        <v>25</v>
      </c>
      <c r="H306" t="s">
        <v>26</v>
      </c>
      <c r="I306" t="s">
        <v>27</v>
      </c>
      <c r="J306" t="s">
        <v>28</v>
      </c>
      <c r="K306" t="s">
        <v>29</v>
      </c>
      <c r="L306" t="s">
        <v>35</v>
      </c>
      <c r="M306">
        <v>0</v>
      </c>
      <c r="N306">
        <v>0</v>
      </c>
      <c r="O306" s="17">
        <v>50384</v>
      </c>
      <c r="P306" s="17">
        <v>50383</v>
      </c>
      <c r="Q306">
        <f>31-12</f>
        <v>19</v>
      </c>
      <c r="R306" t="s">
        <v>39</v>
      </c>
      <c r="T306">
        <v>18</v>
      </c>
      <c r="U306">
        <v>87</v>
      </c>
      <c r="V306">
        <v>17</v>
      </c>
      <c r="W306">
        <v>12.7</v>
      </c>
      <c r="X306">
        <v>28.2</v>
      </c>
      <c r="Z306" t="s">
        <v>32</v>
      </c>
      <c r="AB306" t="s">
        <v>44</v>
      </c>
      <c r="AC306" t="s">
        <v>116</v>
      </c>
    </row>
    <row r="307" spans="1:29" x14ac:dyDescent="0.2">
      <c r="A307" s="3">
        <v>42575</v>
      </c>
      <c r="B307" t="s">
        <v>23</v>
      </c>
      <c r="C307">
        <v>703</v>
      </c>
      <c r="D307">
        <v>1</v>
      </c>
      <c r="E307">
        <v>2</v>
      </c>
      <c r="F307" t="s">
        <v>24</v>
      </c>
      <c r="G307" t="s">
        <v>25</v>
      </c>
      <c r="H307" t="s">
        <v>26</v>
      </c>
      <c r="I307" t="s">
        <v>27</v>
      </c>
      <c r="J307" t="s">
        <v>28</v>
      </c>
      <c r="K307" t="s">
        <v>29</v>
      </c>
      <c r="L307" t="s">
        <v>35</v>
      </c>
      <c r="M307">
        <v>0</v>
      </c>
      <c r="N307">
        <v>0</v>
      </c>
      <c r="O307" s="17">
        <v>50384</v>
      </c>
      <c r="P307" s="17">
        <v>50383</v>
      </c>
      <c r="Q307">
        <f>31.5-13.5</f>
        <v>18</v>
      </c>
      <c r="R307" t="s">
        <v>63</v>
      </c>
      <c r="T307">
        <v>18</v>
      </c>
      <c r="U307">
        <v>83</v>
      </c>
      <c r="V307">
        <v>17.5</v>
      </c>
      <c r="W307">
        <v>12.9</v>
      </c>
      <c r="X307">
        <v>25</v>
      </c>
      <c r="Z307" t="s">
        <v>32</v>
      </c>
      <c r="AB307" t="s">
        <v>582</v>
      </c>
      <c r="AC307" t="s">
        <v>59</v>
      </c>
    </row>
    <row r="308" spans="1:29" x14ac:dyDescent="0.2">
      <c r="A308" s="3">
        <v>42591</v>
      </c>
      <c r="B308" t="s">
        <v>23</v>
      </c>
      <c r="C308">
        <v>703</v>
      </c>
      <c r="D308">
        <v>8</v>
      </c>
      <c r="E308">
        <v>2</v>
      </c>
      <c r="F308" t="s">
        <v>64</v>
      </c>
      <c r="G308" t="s">
        <v>25</v>
      </c>
      <c r="H308" t="s">
        <v>26</v>
      </c>
      <c r="I308" t="s">
        <v>27</v>
      </c>
      <c r="J308" t="s">
        <v>28</v>
      </c>
      <c r="K308" t="s">
        <v>187</v>
      </c>
      <c r="L308" t="s">
        <v>35</v>
      </c>
      <c r="M308">
        <v>0</v>
      </c>
      <c r="N308">
        <v>0</v>
      </c>
      <c r="O308" s="17" t="s">
        <v>1347</v>
      </c>
      <c r="P308" s="17" t="s">
        <v>1348</v>
      </c>
      <c r="Q308">
        <f>32-14</f>
        <v>18</v>
      </c>
      <c r="R308" t="s">
        <v>63</v>
      </c>
      <c r="T308">
        <v>19</v>
      </c>
      <c r="U308">
        <v>87</v>
      </c>
      <c r="V308">
        <v>16</v>
      </c>
      <c r="W308">
        <v>13.2</v>
      </c>
      <c r="X308">
        <v>28</v>
      </c>
      <c r="Z308" t="s">
        <v>145</v>
      </c>
      <c r="AA308" t="s">
        <v>260</v>
      </c>
      <c r="AB308" t="s">
        <v>44</v>
      </c>
      <c r="AC308" t="s">
        <v>59</v>
      </c>
    </row>
    <row r="309" spans="1:29" x14ac:dyDescent="0.2">
      <c r="A309" s="3">
        <v>42593</v>
      </c>
      <c r="B309" t="s">
        <v>23</v>
      </c>
      <c r="C309">
        <v>703</v>
      </c>
      <c r="D309">
        <v>1</v>
      </c>
      <c r="E309">
        <v>1</v>
      </c>
      <c r="F309" t="s">
        <v>64</v>
      </c>
      <c r="G309" t="s">
        <v>25</v>
      </c>
      <c r="H309" t="s">
        <v>26</v>
      </c>
      <c r="I309" t="s">
        <v>27</v>
      </c>
      <c r="J309" t="s">
        <v>28</v>
      </c>
      <c r="K309" t="s">
        <v>187</v>
      </c>
      <c r="L309" t="s">
        <v>35</v>
      </c>
      <c r="M309">
        <v>0</v>
      </c>
      <c r="N309">
        <v>0</v>
      </c>
      <c r="O309" s="17" t="s">
        <v>1347</v>
      </c>
      <c r="P309" s="17" t="s">
        <v>1348</v>
      </c>
      <c r="Q309">
        <f>31.5-14</f>
        <v>17.5</v>
      </c>
      <c r="R309" t="s">
        <v>63</v>
      </c>
      <c r="T309">
        <v>20</v>
      </c>
      <c r="U309">
        <v>89</v>
      </c>
      <c r="V309">
        <v>15</v>
      </c>
      <c r="W309">
        <v>12.8</v>
      </c>
      <c r="X309">
        <v>27.7</v>
      </c>
      <c r="Z309" t="s">
        <v>145</v>
      </c>
      <c r="AA309" t="s">
        <v>260</v>
      </c>
      <c r="AB309" t="s">
        <v>44</v>
      </c>
      <c r="AC309" t="s">
        <v>122</v>
      </c>
    </row>
    <row r="310" spans="1:29" x14ac:dyDescent="0.2">
      <c r="A310" s="3">
        <v>42605</v>
      </c>
      <c r="B310" t="s">
        <v>23</v>
      </c>
      <c r="C310">
        <v>703</v>
      </c>
      <c r="D310">
        <v>1</v>
      </c>
      <c r="E310">
        <v>1</v>
      </c>
      <c r="F310" t="s">
        <v>24</v>
      </c>
      <c r="G310" t="s">
        <v>25</v>
      </c>
      <c r="H310" t="s">
        <v>26</v>
      </c>
      <c r="I310" t="s">
        <v>27</v>
      </c>
      <c r="J310" t="s">
        <v>28</v>
      </c>
      <c r="K310" t="s">
        <v>187</v>
      </c>
      <c r="L310" t="s">
        <v>35</v>
      </c>
      <c r="M310">
        <v>0</v>
      </c>
      <c r="N310">
        <v>0</v>
      </c>
      <c r="O310" s="17" t="s">
        <v>1347</v>
      </c>
      <c r="P310" s="17" t="s">
        <v>1348</v>
      </c>
      <c r="Q310">
        <f>30-13</f>
        <v>17</v>
      </c>
      <c r="R310" t="s">
        <v>63</v>
      </c>
      <c r="T310">
        <v>18.5</v>
      </c>
      <c r="U310">
        <v>86</v>
      </c>
      <c r="V310">
        <v>18</v>
      </c>
      <c r="W310">
        <v>12.9</v>
      </c>
      <c r="X310">
        <v>25.9</v>
      </c>
      <c r="AB310" t="s">
        <v>44</v>
      </c>
      <c r="AC310" t="s">
        <v>59</v>
      </c>
    </row>
    <row r="311" spans="1:29" x14ac:dyDescent="0.2">
      <c r="A311" s="3">
        <v>42606</v>
      </c>
      <c r="B311" t="s">
        <v>23</v>
      </c>
      <c r="C311">
        <v>703</v>
      </c>
      <c r="D311">
        <v>6</v>
      </c>
      <c r="E311">
        <v>2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187</v>
      </c>
      <c r="L311" t="s">
        <v>35</v>
      </c>
      <c r="M311">
        <v>0</v>
      </c>
      <c r="N311">
        <v>0</v>
      </c>
      <c r="O311" s="17" t="s">
        <v>1347</v>
      </c>
      <c r="P311" s="17" t="s">
        <v>1348</v>
      </c>
      <c r="Q311">
        <f>30-13</f>
        <v>17</v>
      </c>
      <c r="R311" t="s">
        <v>63</v>
      </c>
      <c r="T311">
        <v>19</v>
      </c>
      <c r="U311">
        <v>85</v>
      </c>
      <c r="V311">
        <v>18</v>
      </c>
      <c r="W311">
        <v>12.9</v>
      </c>
      <c r="X311">
        <v>28.3</v>
      </c>
      <c r="AB311" t="s">
        <v>44</v>
      </c>
      <c r="AC311" t="s">
        <v>59</v>
      </c>
    </row>
    <row r="312" spans="1:29" x14ac:dyDescent="0.2">
      <c r="A312" s="3">
        <v>42564</v>
      </c>
      <c r="B312" t="s">
        <v>23</v>
      </c>
      <c r="C312">
        <v>701</v>
      </c>
      <c r="D312">
        <v>8</v>
      </c>
      <c r="E312">
        <v>2</v>
      </c>
      <c r="F312" t="s">
        <v>33</v>
      </c>
      <c r="G312" t="s">
        <v>25</v>
      </c>
      <c r="H312" t="s">
        <v>26</v>
      </c>
      <c r="I312" t="s">
        <v>27</v>
      </c>
      <c r="J312" t="s">
        <v>28</v>
      </c>
      <c r="K312" t="s">
        <v>188</v>
      </c>
      <c r="L312" t="s">
        <v>35</v>
      </c>
      <c r="M312">
        <v>0</v>
      </c>
      <c r="N312">
        <v>0</v>
      </c>
      <c r="O312" s="17">
        <v>50386</v>
      </c>
      <c r="P312" s="17">
        <v>50385</v>
      </c>
      <c r="Q312">
        <f>27-9</f>
        <v>18</v>
      </c>
      <c r="R312" t="s">
        <v>39</v>
      </c>
      <c r="T312">
        <v>18</v>
      </c>
      <c r="U312">
        <v>80</v>
      </c>
      <c r="V312">
        <v>15</v>
      </c>
      <c r="W312">
        <v>12.9</v>
      </c>
      <c r="X312">
        <v>27.2</v>
      </c>
      <c r="Z312" t="s">
        <v>32</v>
      </c>
      <c r="AB312" t="s">
        <v>121</v>
      </c>
      <c r="AC312" t="s">
        <v>122</v>
      </c>
    </row>
    <row r="313" spans="1:29" x14ac:dyDescent="0.2">
      <c r="A313" s="3">
        <v>42502</v>
      </c>
      <c r="B313" t="s">
        <v>23</v>
      </c>
      <c r="C313">
        <v>703</v>
      </c>
      <c r="D313">
        <v>9</v>
      </c>
      <c r="E313">
        <v>1</v>
      </c>
      <c r="F313" t="s">
        <v>33</v>
      </c>
      <c r="G313" t="s">
        <v>25</v>
      </c>
      <c r="H313" t="s">
        <v>26</v>
      </c>
      <c r="I313" t="s">
        <v>27</v>
      </c>
      <c r="J313" t="s">
        <v>34</v>
      </c>
      <c r="K313" t="s">
        <v>29</v>
      </c>
      <c r="L313" t="s">
        <v>35</v>
      </c>
      <c r="M313">
        <v>0</v>
      </c>
      <c r="N313">
        <v>1</v>
      </c>
      <c r="O313" s="17">
        <v>50387</v>
      </c>
      <c r="P313" s="17">
        <v>50386</v>
      </c>
      <c r="Q313">
        <v>21</v>
      </c>
      <c r="R313" t="s">
        <v>39</v>
      </c>
      <c r="S313" t="s">
        <v>32</v>
      </c>
      <c r="T313">
        <v>20</v>
      </c>
      <c r="U313">
        <v>79</v>
      </c>
      <c r="V313">
        <v>15</v>
      </c>
      <c r="Z313" t="s">
        <v>32</v>
      </c>
      <c r="AB313" t="s">
        <v>53</v>
      </c>
      <c r="AC313" t="s">
        <v>59</v>
      </c>
    </row>
    <row r="314" spans="1:29" x14ac:dyDescent="0.2">
      <c r="A314" s="3">
        <v>42514</v>
      </c>
      <c r="B314" t="s">
        <v>23</v>
      </c>
      <c r="C314">
        <v>703</v>
      </c>
      <c r="D314">
        <v>8</v>
      </c>
      <c r="E314">
        <v>1</v>
      </c>
      <c r="F314" t="s">
        <v>24</v>
      </c>
      <c r="G314" t="s">
        <v>25</v>
      </c>
      <c r="H314" t="s">
        <v>26</v>
      </c>
      <c r="I314" t="s">
        <v>27</v>
      </c>
      <c r="J314" t="s">
        <v>45</v>
      </c>
      <c r="K314" t="s">
        <v>29</v>
      </c>
      <c r="L314" t="s">
        <v>35</v>
      </c>
      <c r="M314">
        <v>1</v>
      </c>
      <c r="N314">
        <v>0</v>
      </c>
      <c r="O314" s="17">
        <v>50387</v>
      </c>
      <c r="P314" s="17">
        <v>26622</v>
      </c>
      <c r="Q314">
        <v>21.5</v>
      </c>
      <c r="R314" t="s">
        <v>63</v>
      </c>
      <c r="S314" t="s">
        <v>32</v>
      </c>
      <c r="T314">
        <v>18</v>
      </c>
      <c r="U314">
        <v>80</v>
      </c>
      <c r="V314">
        <v>12.5</v>
      </c>
      <c r="W314">
        <v>11.4</v>
      </c>
      <c r="X314">
        <v>29.35</v>
      </c>
      <c r="Y314" t="s">
        <v>138</v>
      </c>
      <c r="Z314" t="s">
        <v>32</v>
      </c>
      <c r="AB314" t="s">
        <v>44</v>
      </c>
      <c r="AC314" t="s">
        <v>59</v>
      </c>
    </row>
    <row r="315" spans="1:29" x14ac:dyDescent="0.2">
      <c r="A315" s="3">
        <v>42515</v>
      </c>
      <c r="B315" t="s">
        <v>23</v>
      </c>
      <c r="C315">
        <v>703</v>
      </c>
      <c r="D315">
        <v>1</v>
      </c>
      <c r="E315">
        <v>1</v>
      </c>
      <c r="F315" t="s">
        <v>24</v>
      </c>
      <c r="G315" t="s">
        <v>25</v>
      </c>
      <c r="H315" t="s">
        <v>26</v>
      </c>
      <c r="I315" t="s">
        <v>27</v>
      </c>
      <c r="J315" t="s">
        <v>28</v>
      </c>
      <c r="K315" t="s">
        <v>29</v>
      </c>
      <c r="L315" t="s">
        <v>35</v>
      </c>
      <c r="M315">
        <v>0</v>
      </c>
      <c r="N315">
        <v>0</v>
      </c>
      <c r="O315" s="17">
        <v>50387</v>
      </c>
      <c r="P315" s="17">
        <v>26622</v>
      </c>
      <c r="Q315">
        <v>21</v>
      </c>
      <c r="R315" t="s">
        <v>39</v>
      </c>
      <c r="S315" t="s">
        <v>32</v>
      </c>
      <c r="T315">
        <v>18</v>
      </c>
      <c r="U315">
        <v>76</v>
      </c>
      <c r="V315">
        <v>17</v>
      </c>
      <c r="W315">
        <v>12.65</v>
      </c>
      <c r="X315">
        <v>22.7</v>
      </c>
      <c r="Y315" t="s">
        <v>148</v>
      </c>
      <c r="Z315" t="s">
        <v>32</v>
      </c>
      <c r="AB315" t="s">
        <v>121</v>
      </c>
      <c r="AC315" t="s">
        <v>122</v>
      </c>
    </row>
    <row r="316" spans="1:29" x14ac:dyDescent="0.2">
      <c r="A316" s="3">
        <v>42516</v>
      </c>
      <c r="B316" t="s">
        <v>23</v>
      </c>
      <c r="C316">
        <v>703</v>
      </c>
      <c r="D316">
        <v>8</v>
      </c>
      <c r="E316">
        <v>2</v>
      </c>
      <c r="F316" t="s">
        <v>24</v>
      </c>
      <c r="G316" t="s">
        <v>25</v>
      </c>
      <c r="H316" t="s">
        <v>26</v>
      </c>
      <c r="I316" t="s">
        <v>27</v>
      </c>
      <c r="J316" t="s">
        <v>28</v>
      </c>
      <c r="K316" t="s">
        <v>29</v>
      </c>
      <c r="L316" t="s">
        <v>35</v>
      </c>
      <c r="M316">
        <v>0</v>
      </c>
      <c r="N316">
        <v>0</v>
      </c>
      <c r="O316" s="17">
        <v>50387</v>
      </c>
      <c r="P316" s="17">
        <v>26622</v>
      </c>
      <c r="Q316">
        <v>20</v>
      </c>
      <c r="R316" t="s">
        <v>39</v>
      </c>
      <c r="S316" t="s">
        <v>32</v>
      </c>
      <c r="T316">
        <v>18</v>
      </c>
      <c r="U316">
        <v>76</v>
      </c>
      <c r="V316">
        <v>17.5</v>
      </c>
      <c r="W316">
        <v>12.2</v>
      </c>
      <c r="X316">
        <v>29.5</v>
      </c>
      <c r="Z316" t="s">
        <v>32</v>
      </c>
      <c r="AB316" t="s">
        <v>44</v>
      </c>
      <c r="AC316" t="s">
        <v>59</v>
      </c>
    </row>
    <row r="317" spans="1:29" x14ac:dyDescent="0.2">
      <c r="A317" s="3">
        <v>42502</v>
      </c>
      <c r="B317" t="s">
        <v>23</v>
      </c>
      <c r="C317">
        <v>703</v>
      </c>
      <c r="D317">
        <v>8</v>
      </c>
      <c r="E317">
        <v>1</v>
      </c>
      <c r="F317" t="s">
        <v>33</v>
      </c>
      <c r="G317" t="s">
        <v>25</v>
      </c>
      <c r="H317" t="s">
        <v>26</v>
      </c>
      <c r="I317" t="s">
        <v>27</v>
      </c>
      <c r="J317" t="s">
        <v>34</v>
      </c>
      <c r="K317" t="s">
        <v>29</v>
      </c>
      <c r="L317" t="s">
        <v>35</v>
      </c>
      <c r="M317">
        <v>0</v>
      </c>
      <c r="N317">
        <v>1</v>
      </c>
      <c r="O317" s="17">
        <v>50389</v>
      </c>
      <c r="P317" s="17">
        <v>50388</v>
      </c>
      <c r="Q317">
        <f>40-17.5</f>
        <v>22.5</v>
      </c>
      <c r="R317" t="s">
        <v>39</v>
      </c>
      <c r="S317" t="s">
        <v>32</v>
      </c>
      <c r="T317">
        <v>19</v>
      </c>
      <c r="U317">
        <v>88</v>
      </c>
      <c r="V317">
        <v>12</v>
      </c>
      <c r="Z317" t="s">
        <v>32</v>
      </c>
      <c r="AB317" t="s">
        <v>53</v>
      </c>
      <c r="AC317" t="s">
        <v>59</v>
      </c>
    </row>
    <row r="318" spans="1:29" x14ac:dyDescent="0.2">
      <c r="A318" s="3">
        <v>42501</v>
      </c>
      <c r="B318" t="s">
        <v>23</v>
      </c>
      <c r="C318">
        <v>703</v>
      </c>
      <c r="D318">
        <v>9</v>
      </c>
      <c r="E318">
        <v>1</v>
      </c>
      <c r="F318" t="s">
        <v>33</v>
      </c>
      <c r="G318" t="s">
        <v>25</v>
      </c>
      <c r="H318" t="s">
        <v>26</v>
      </c>
      <c r="I318" t="s">
        <v>27</v>
      </c>
      <c r="J318" t="s">
        <v>34</v>
      </c>
      <c r="K318" t="s">
        <v>29</v>
      </c>
      <c r="L318" t="s">
        <v>30</v>
      </c>
      <c r="M318">
        <v>0</v>
      </c>
      <c r="N318">
        <v>1</v>
      </c>
      <c r="O318" s="17">
        <v>50395</v>
      </c>
      <c r="P318" s="17">
        <v>50394</v>
      </c>
      <c r="Q318">
        <f>30-8</f>
        <v>22</v>
      </c>
      <c r="R318" t="s">
        <v>61</v>
      </c>
      <c r="S318" t="s">
        <v>32</v>
      </c>
      <c r="T318">
        <v>19</v>
      </c>
      <c r="U318">
        <v>85</v>
      </c>
      <c r="V318">
        <v>11</v>
      </c>
      <c r="Z318" t="s">
        <v>32</v>
      </c>
      <c r="AB318" t="s">
        <v>44</v>
      </c>
      <c r="AC318" t="s">
        <v>59</v>
      </c>
    </row>
    <row r="319" spans="1:29" x14ac:dyDescent="0.2">
      <c r="A319" s="3">
        <v>42502</v>
      </c>
      <c r="B319" t="s">
        <v>23</v>
      </c>
      <c r="C319">
        <v>703</v>
      </c>
      <c r="D319">
        <v>10</v>
      </c>
      <c r="E319">
        <v>1</v>
      </c>
      <c r="F319" t="s">
        <v>33</v>
      </c>
      <c r="G319" t="s">
        <v>25</v>
      </c>
      <c r="H319" t="s">
        <v>26</v>
      </c>
      <c r="I319" t="s">
        <v>27</v>
      </c>
      <c r="J319" t="s">
        <v>28</v>
      </c>
      <c r="K319" t="s">
        <v>29</v>
      </c>
      <c r="L319" t="s">
        <v>30</v>
      </c>
      <c r="M319">
        <v>0</v>
      </c>
      <c r="N319">
        <v>0</v>
      </c>
      <c r="O319" s="17">
        <v>50395</v>
      </c>
      <c r="P319" s="17">
        <v>50394</v>
      </c>
      <c r="Q319">
        <f>37-14.5</f>
        <v>22.5</v>
      </c>
      <c r="R319" t="s">
        <v>61</v>
      </c>
      <c r="S319" t="s">
        <v>32</v>
      </c>
      <c r="T319">
        <v>19</v>
      </c>
      <c r="U319">
        <v>88</v>
      </c>
      <c r="V319">
        <v>14</v>
      </c>
      <c r="Z319" t="s">
        <v>32</v>
      </c>
      <c r="AB319" t="s">
        <v>53</v>
      </c>
      <c r="AC319" t="s">
        <v>59</v>
      </c>
    </row>
    <row r="320" spans="1:29" x14ac:dyDescent="0.2">
      <c r="A320" s="3">
        <v>42514</v>
      </c>
      <c r="B320" t="s">
        <v>23</v>
      </c>
      <c r="C320">
        <v>703</v>
      </c>
      <c r="D320">
        <v>9</v>
      </c>
      <c r="E320">
        <v>2</v>
      </c>
      <c r="F320" t="s">
        <v>24</v>
      </c>
      <c r="G320" t="s">
        <v>25</v>
      </c>
      <c r="H320" t="s">
        <v>26</v>
      </c>
      <c r="I320" t="s">
        <v>27</v>
      </c>
      <c r="J320" t="s">
        <v>28</v>
      </c>
      <c r="K320" t="s">
        <v>29</v>
      </c>
      <c r="L320" t="s">
        <v>30</v>
      </c>
      <c r="M320">
        <v>0</v>
      </c>
      <c r="N320">
        <v>0</v>
      </c>
      <c r="O320" s="17">
        <v>50395</v>
      </c>
      <c r="P320" s="17">
        <v>50394</v>
      </c>
      <c r="Q320">
        <v>22</v>
      </c>
      <c r="R320" t="s">
        <v>31</v>
      </c>
      <c r="S320" t="s">
        <v>32</v>
      </c>
      <c r="T320">
        <v>17.5</v>
      </c>
      <c r="U320">
        <v>83</v>
      </c>
      <c r="V320">
        <v>17</v>
      </c>
      <c r="W320">
        <v>11</v>
      </c>
      <c r="X320">
        <v>25.98</v>
      </c>
      <c r="Z320" t="s">
        <v>32</v>
      </c>
      <c r="AB320" t="s">
        <v>44</v>
      </c>
      <c r="AC320" t="s">
        <v>59</v>
      </c>
    </row>
    <row r="321" spans="1:30" x14ac:dyDescent="0.2">
      <c r="A321" s="3">
        <v>42515</v>
      </c>
      <c r="B321" t="s">
        <v>23</v>
      </c>
      <c r="C321">
        <v>703</v>
      </c>
      <c r="D321">
        <v>9</v>
      </c>
      <c r="E321">
        <v>2</v>
      </c>
      <c r="F321" t="s">
        <v>24</v>
      </c>
      <c r="G321" t="s">
        <v>25</v>
      </c>
      <c r="H321" t="s">
        <v>26</v>
      </c>
      <c r="I321" t="s">
        <v>27</v>
      </c>
      <c r="J321" t="s">
        <v>28</v>
      </c>
      <c r="K321" t="s">
        <v>29</v>
      </c>
      <c r="L321" t="s">
        <v>30</v>
      </c>
      <c r="M321">
        <v>0</v>
      </c>
      <c r="N321">
        <v>0</v>
      </c>
      <c r="O321" s="17">
        <v>50395</v>
      </c>
      <c r="P321" s="17">
        <v>50394</v>
      </c>
      <c r="Q321">
        <f>33.5-12</f>
        <v>21.5</v>
      </c>
      <c r="R321" t="s">
        <v>61</v>
      </c>
      <c r="S321" t="s">
        <v>32</v>
      </c>
      <c r="T321">
        <v>18</v>
      </c>
      <c r="U321">
        <v>83</v>
      </c>
      <c r="V321">
        <v>15</v>
      </c>
      <c r="W321">
        <v>11.35</v>
      </c>
      <c r="X321">
        <v>25.75</v>
      </c>
      <c r="Z321" t="s">
        <v>32</v>
      </c>
      <c r="AB321" t="s">
        <v>149</v>
      </c>
      <c r="AC321" t="s">
        <v>122</v>
      </c>
    </row>
    <row r="322" spans="1:30" x14ac:dyDescent="0.2">
      <c r="A322" s="3">
        <v>42516</v>
      </c>
      <c r="B322" t="s">
        <v>23</v>
      </c>
      <c r="C322">
        <v>703</v>
      </c>
      <c r="D322">
        <v>9</v>
      </c>
      <c r="E322">
        <v>1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 t="s">
        <v>29</v>
      </c>
      <c r="L322" t="s">
        <v>30</v>
      </c>
      <c r="M322">
        <v>0</v>
      </c>
      <c r="N322">
        <v>0</v>
      </c>
      <c r="O322" s="17">
        <v>50395</v>
      </c>
      <c r="P322" s="17">
        <v>50394</v>
      </c>
      <c r="Q322">
        <f>37-15</f>
        <v>22</v>
      </c>
      <c r="R322" t="s">
        <v>94</v>
      </c>
      <c r="S322" t="s">
        <v>32</v>
      </c>
      <c r="T322">
        <v>18</v>
      </c>
      <c r="U322">
        <v>86</v>
      </c>
      <c r="V322">
        <v>16</v>
      </c>
      <c r="W322">
        <v>11.1</v>
      </c>
      <c r="X322">
        <v>27.1</v>
      </c>
      <c r="Z322" t="s">
        <v>32</v>
      </c>
      <c r="AB322" t="s">
        <v>44</v>
      </c>
      <c r="AC322" t="s">
        <v>59</v>
      </c>
    </row>
    <row r="323" spans="1:30" x14ac:dyDescent="0.2">
      <c r="A323" s="3">
        <v>42536</v>
      </c>
      <c r="B323" t="s">
        <v>23</v>
      </c>
      <c r="C323">
        <v>703</v>
      </c>
      <c r="D323">
        <v>9</v>
      </c>
      <c r="E323">
        <v>1</v>
      </c>
      <c r="F323" t="s">
        <v>33</v>
      </c>
      <c r="G323" t="s">
        <v>25</v>
      </c>
      <c r="H323" t="s">
        <v>26</v>
      </c>
      <c r="I323" t="s">
        <v>27</v>
      </c>
      <c r="J323" t="s">
        <v>28</v>
      </c>
      <c r="K323" t="s">
        <v>187</v>
      </c>
      <c r="L323" t="s">
        <v>30</v>
      </c>
      <c r="M323">
        <v>0</v>
      </c>
      <c r="N323">
        <v>0</v>
      </c>
      <c r="O323" s="17">
        <v>50395</v>
      </c>
      <c r="P323" s="17">
        <v>50394</v>
      </c>
      <c r="Q323">
        <f>34-12.5</f>
        <v>21.5</v>
      </c>
      <c r="R323" t="s">
        <v>61</v>
      </c>
      <c r="S323" t="s">
        <v>145</v>
      </c>
      <c r="T323">
        <v>19</v>
      </c>
      <c r="U323">
        <v>82</v>
      </c>
      <c r="V323">
        <v>13</v>
      </c>
      <c r="Z323" t="s">
        <v>32</v>
      </c>
      <c r="AB323" t="s">
        <v>44</v>
      </c>
      <c r="AC323" t="s">
        <v>59</v>
      </c>
    </row>
    <row r="324" spans="1:30" x14ac:dyDescent="0.2">
      <c r="A324" s="3">
        <v>42537</v>
      </c>
      <c r="B324" t="s">
        <v>23</v>
      </c>
      <c r="C324">
        <v>703</v>
      </c>
      <c r="D324">
        <v>9</v>
      </c>
      <c r="E324">
        <v>1</v>
      </c>
      <c r="F324" t="s">
        <v>33</v>
      </c>
      <c r="G324" t="s">
        <v>25</v>
      </c>
      <c r="H324" t="s">
        <v>26</v>
      </c>
      <c r="I324" t="s">
        <v>27</v>
      </c>
      <c r="J324" t="s">
        <v>28</v>
      </c>
      <c r="K324" t="s">
        <v>187</v>
      </c>
      <c r="L324" t="s">
        <v>30</v>
      </c>
      <c r="M324">
        <v>0</v>
      </c>
      <c r="N324">
        <v>0</v>
      </c>
      <c r="O324" s="17">
        <v>50395</v>
      </c>
      <c r="P324" s="17">
        <v>50394</v>
      </c>
      <c r="Q324">
        <f>26-3.5</f>
        <v>22.5</v>
      </c>
      <c r="R324" t="s">
        <v>61</v>
      </c>
      <c r="S324" t="s">
        <v>145</v>
      </c>
      <c r="T324">
        <v>20</v>
      </c>
      <c r="U324">
        <v>84</v>
      </c>
      <c r="Z324" t="s">
        <v>32</v>
      </c>
      <c r="AB324" t="s">
        <v>60</v>
      </c>
      <c r="AC324" t="s">
        <v>122</v>
      </c>
    </row>
    <row r="325" spans="1:30" x14ac:dyDescent="0.2">
      <c r="A325" s="3">
        <v>42549</v>
      </c>
      <c r="B325" t="s">
        <v>23</v>
      </c>
      <c r="C325">
        <v>701</v>
      </c>
      <c r="D325">
        <v>1</v>
      </c>
      <c r="E325">
        <v>1</v>
      </c>
      <c r="F325" t="s">
        <v>24</v>
      </c>
      <c r="G325" t="s">
        <v>25</v>
      </c>
      <c r="H325" t="s">
        <v>26</v>
      </c>
      <c r="I325" t="s">
        <v>27</v>
      </c>
      <c r="J325" t="s">
        <v>28</v>
      </c>
      <c r="K325" t="s">
        <v>29</v>
      </c>
      <c r="L325" t="s">
        <v>30</v>
      </c>
      <c r="M325">
        <v>0</v>
      </c>
      <c r="N325">
        <v>0</v>
      </c>
      <c r="O325" s="17">
        <v>50395</v>
      </c>
      <c r="P325" s="17">
        <v>50394</v>
      </c>
      <c r="Q325">
        <f>32-12</f>
        <v>20</v>
      </c>
      <c r="R325" t="s">
        <v>31</v>
      </c>
      <c r="S325" t="s">
        <v>32</v>
      </c>
      <c r="T325">
        <v>17</v>
      </c>
      <c r="U325">
        <v>95</v>
      </c>
      <c r="V325">
        <v>14</v>
      </c>
      <c r="Z325" t="s">
        <v>32</v>
      </c>
      <c r="AB325" t="s">
        <v>121</v>
      </c>
      <c r="AC325" t="s">
        <v>122</v>
      </c>
      <c r="AD325" t="s">
        <v>330</v>
      </c>
    </row>
    <row r="326" spans="1:30" x14ac:dyDescent="0.2">
      <c r="A326" s="3">
        <v>42549</v>
      </c>
      <c r="B326" t="s">
        <v>23</v>
      </c>
      <c r="C326">
        <v>701</v>
      </c>
      <c r="D326">
        <v>7</v>
      </c>
      <c r="E326">
        <v>1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 t="s">
        <v>29</v>
      </c>
      <c r="L326" t="s">
        <v>30</v>
      </c>
      <c r="M326">
        <v>0</v>
      </c>
      <c r="N326">
        <v>0</v>
      </c>
      <c r="O326" s="17">
        <v>50395</v>
      </c>
      <c r="P326" s="17">
        <v>50394</v>
      </c>
      <c r="Q326">
        <f>33.5-14</f>
        <v>19.5</v>
      </c>
      <c r="R326" t="s">
        <v>83</v>
      </c>
      <c r="S326" t="s">
        <v>145</v>
      </c>
      <c r="T326">
        <v>19</v>
      </c>
      <c r="U326">
        <v>90.5</v>
      </c>
      <c r="V326">
        <v>16</v>
      </c>
      <c r="Z326" t="s">
        <v>32</v>
      </c>
      <c r="AB326" t="s">
        <v>121</v>
      </c>
      <c r="AC326" t="s">
        <v>122</v>
      </c>
      <c r="AD326" t="s">
        <v>330</v>
      </c>
    </row>
    <row r="327" spans="1:30" x14ac:dyDescent="0.2">
      <c r="A327" s="3">
        <v>42550</v>
      </c>
      <c r="B327" t="s">
        <v>23</v>
      </c>
      <c r="C327">
        <v>703</v>
      </c>
      <c r="D327">
        <v>9</v>
      </c>
      <c r="E327">
        <v>2</v>
      </c>
      <c r="F327" t="s">
        <v>24</v>
      </c>
      <c r="G327" t="s">
        <v>25</v>
      </c>
      <c r="H327" t="s">
        <v>26</v>
      </c>
      <c r="I327" t="s">
        <v>27</v>
      </c>
      <c r="J327" t="s">
        <v>28</v>
      </c>
      <c r="K327" t="s">
        <v>29</v>
      </c>
      <c r="L327" t="s">
        <v>30</v>
      </c>
      <c r="M327">
        <v>0</v>
      </c>
      <c r="N327">
        <v>0</v>
      </c>
      <c r="O327" s="17">
        <v>50395</v>
      </c>
      <c r="P327" s="17">
        <v>50394</v>
      </c>
      <c r="Q327">
        <v>20</v>
      </c>
      <c r="R327" t="s">
        <v>83</v>
      </c>
      <c r="S327" t="s">
        <v>145</v>
      </c>
      <c r="T327">
        <v>19</v>
      </c>
      <c r="U327">
        <v>90</v>
      </c>
      <c r="V327">
        <v>16</v>
      </c>
      <c r="Z327" t="s">
        <v>32</v>
      </c>
      <c r="AB327" t="s">
        <v>53</v>
      </c>
      <c r="AC327" t="s">
        <v>59</v>
      </c>
      <c r="AD327" t="s">
        <v>336</v>
      </c>
    </row>
    <row r="328" spans="1:30" x14ac:dyDescent="0.2">
      <c r="A328" s="3">
        <v>42551</v>
      </c>
      <c r="B328" t="s">
        <v>23</v>
      </c>
      <c r="C328">
        <v>703</v>
      </c>
      <c r="D328">
        <v>10</v>
      </c>
      <c r="E328">
        <v>2</v>
      </c>
      <c r="F328" t="s">
        <v>24</v>
      </c>
      <c r="G328" t="s">
        <v>25</v>
      </c>
      <c r="H328" t="s">
        <v>26</v>
      </c>
      <c r="I328" t="s">
        <v>27</v>
      </c>
      <c r="J328" t="s">
        <v>28</v>
      </c>
      <c r="K328" t="s">
        <v>29</v>
      </c>
      <c r="L328" t="s">
        <v>30</v>
      </c>
      <c r="M328">
        <v>0</v>
      </c>
      <c r="N328">
        <v>0</v>
      </c>
      <c r="O328" s="17">
        <v>50395</v>
      </c>
      <c r="P328" s="17">
        <v>50394</v>
      </c>
      <c r="Q328">
        <f>33-12.5</f>
        <v>20.5</v>
      </c>
      <c r="R328" t="s">
        <v>75</v>
      </c>
      <c r="S328" t="s">
        <v>145</v>
      </c>
      <c r="T328">
        <v>18</v>
      </c>
      <c r="U328">
        <v>87</v>
      </c>
      <c r="V328">
        <v>15</v>
      </c>
      <c r="Z328" t="s">
        <v>32</v>
      </c>
      <c r="AB328" t="s">
        <v>60</v>
      </c>
      <c r="AC328" t="s">
        <v>116</v>
      </c>
      <c r="AD328" t="s">
        <v>336</v>
      </c>
    </row>
    <row r="329" spans="1:30" x14ac:dyDescent="0.2">
      <c r="A329" s="3">
        <v>42543</v>
      </c>
      <c r="B329" t="s">
        <v>23</v>
      </c>
      <c r="C329">
        <v>201</v>
      </c>
      <c r="D329">
        <v>8</v>
      </c>
      <c r="E329">
        <v>2</v>
      </c>
      <c r="F329" t="s">
        <v>33</v>
      </c>
      <c r="G329" t="s">
        <v>25</v>
      </c>
      <c r="H329" t="s">
        <v>26</v>
      </c>
      <c r="I329" t="s">
        <v>27</v>
      </c>
      <c r="J329" t="s">
        <v>34</v>
      </c>
      <c r="K329" t="s">
        <v>188</v>
      </c>
      <c r="L329" t="s">
        <v>35</v>
      </c>
      <c r="M329">
        <v>0</v>
      </c>
      <c r="N329">
        <v>1</v>
      </c>
      <c r="O329" s="17">
        <v>50409</v>
      </c>
      <c r="P329" s="17">
        <v>50408</v>
      </c>
      <c r="Q329">
        <f>31-13</f>
        <v>18</v>
      </c>
      <c r="R329" t="s">
        <v>39</v>
      </c>
      <c r="T329">
        <v>21</v>
      </c>
      <c r="U329">
        <v>81</v>
      </c>
      <c r="V329">
        <v>14</v>
      </c>
      <c r="W329">
        <v>12.5</v>
      </c>
      <c r="X329">
        <v>29.5</v>
      </c>
      <c r="Z329" t="s">
        <v>32</v>
      </c>
      <c r="AB329" t="s">
        <v>53</v>
      </c>
      <c r="AC329" t="s">
        <v>122</v>
      </c>
    </row>
    <row r="330" spans="1:30" x14ac:dyDescent="0.2">
      <c r="A330" s="3">
        <v>42556</v>
      </c>
      <c r="B330" t="s">
        <v>23</v>
      </c>
      <c r="C330">
        <v>201</v>
      </c>
      <c r="D330">
        <v>4</v>
      </c>
      <c r="E330">
        <v>1</v>
      </c>
      <c r="F330" t="s">
        <v>24</v>
      </c>
      <c r="G330" t="s">
        <v>25</v>
      </c>
      <c r="H330" t="s">
        <v>26</v>
      </c>
      <c r="I330" t="s">
        <v>27</v>
      </c>
      <c r="J330" t="s">
        <v>28</v>
      </c>
      <c r="K330" t="s">
        <v>188</v>
      </c>
      <c r="L330" t="s">
        <v>35</v>
      </c>
      <c r="M330">
        <v>0</v>
      </c>
      <c r="N330">
        <v>0</v>
      </c>
      <c r="O330" s="17">
        <v>50409</v>
      </c>
      <c r="P330" s="17">
        <v>50408</v>
      </c>
      <c r="Q330">
        <f>30-9.5</f>
        <v>20.5</v>
      </c>
      <c r="R330" t="s">
        <v>39</v>
      </c>
      <c r="T330">
        <v>19</v>
      </c>
      <c r="U330">
        <v>87.5</v>
      </c>
      <c r="V330">
        <v>17</v>
      </c>
      <c r="W330">
        <v>13.1</v>
      </c>
      <c r="X330">
        <v>26.4</v>
      </c>
      <c r="Z330" t="s">
        <v>32</v>
      </c>
      <c r="AB330" t="s">
        <v>44</v>
      </c>
      <c r="AC330" t="s">
        <v>59</v>
      </c>
    </row>
    <row r="331" spans="1:30" x14ac:dyDescent="0.2">
      <c r="A331" s="3">
        <v>42557</v>
      </c>
      <c r="B331" t="s">
        <v>23</v>
      </c>
      <c r="C331">
        <v>201</v>
      </c>
      <c r="D331">
        <v>7</v>
      </c>
      <c r="E331">
        <v>1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 t="s">
        <v>188</v>
      </c>
      <c r="L331" t="s">
        <v>35</v>
      </c>
      <c r="M331">
        <v>0</v>
      </c>
      <c r="N331">
        <v>0</v>
      </c>
      <c r="O331" s="17">
        <v>50409</v>
      </c>
      <c r="P331" s="17">
        <v>50408</v>
      </c>
      <c r="Q331">
        <f>30-11</f>
        <v>19</v>
      </c>
      <c r="R331" t="s">
        <v>39</v>
      </c>
      <c r="T331">
        <v>20</v>
      </c>
      <c r="U331">
        <v>89</v>
      </c>
      <c r="V331">
        <v>17</v>
      </c>
      <c r="Z331" t="s">
        <v>32</v>
      </c>
      <c r="AB331" t="s">
        <v>44</v>
      </c>
      <c r="AC331" t="s">
        <v>122</v>
      </c>
      <c r="AD331" t="s">
        <v>435</v>
      </c>
    </row>
    <row r="332" spans="1:30" x14ac:dyDescent="0.2">
      <c r="A332" s="3">
        <v>42556</v>
      </c>
      <c r="B332" t="s">
        <v>23</v>
      </c>
      <c r="C332">
        <v>202</v>
      </c>
      <c r="D332">
        <v>5</v>
      </c>
      <c r="E332">
        <v>2</v>
      </c>
      <c r="F332" t="s">
        <v>24</v>
      </c>
      <c r="G332" t="s">
        <v>25</v>
      </c>
      <c r="H332" t="s">
        <v>26</v>
      </c>
      <c r="I332" t="s">
        <v>27</v>
      </c>
      <c r="J332" t="s">
        <v>28</v>
      </c>
      <c r="K332" t="s">
        <v>29</v>
      </c>
      <c r="L332" t="s">
        <v>35</v>
      </c>
      <c r="M332">
        <v>0</v>
      </c>
      <c r="N332">
        <v>0</v>
      </c>
      <c r="O332" s="17">
        <v>50410</v>
      </c>
      <c r="P332" s="17">
        <v>50412</v>
      </c>
      <c r="Q332">
        <f>31.5-9.5</f>
        <v>22</v>
      </c>
      <c r="R332" t="s">
        <v>63</v>
      </c>
      <c r="T332">
        <v>19.5</v>
      </c>
      <c r="U332">
        <v>94</v>
      </c>
      <c r="V332">
        <v>16</v>
      </c>
      <c r="W332">
        <v>13.6</v>
      </c>
      <c r="X332">
        <v>29.5</v>
      </c>
      <c r="Z332" t="s">
        <v>32</v>
      </c>
      <c r="AB332" t="s">
        <v>44</v>
      </c>
      <c r="AC332" t="s">
        <v>59</v>
      </c>
    </row>
    <row r="333" spans="1:30" x14ac:dyDescent="0.2">
      <c r="A333" s="3">
        <v>42557</v>
      </c>
      <c r="B333" t="s">
        <v>23</v>
      </c>
      <c r="C333">
        <v>202</v>
      </c>
      <c r="D333">
        <v>2</v>
      </c>
      <c r="E333">
        <v>2</v>
      </c>
      <c r="F333" t="s">
        <v>24</v>
      </c>
      <c r="G333" t="s">
        <v>25</v>
      </c>
      <c r="H333" t="s">
        <v>26</v>
      </c>
      <c r="I333" t="s">
        <v>27</v>
      </c>
      <c r="J333" t="s">
        <v>28</v>
      </c>
      <c r="K333" t="s">
        <v>29</v>
      </c>
      <c r="L333" t="s">
        <v>35</v>
      </c>
      <c r="M333">
        <v>0</v>
      </c>
      <c r="N333">
        <v>0</v>
      </c>
      <c r="O333" s="17">
        <v>50410</v>
      </c>
      <c r="P333" s="17">
        <v>50412</v>
      </c>
      <c r="Q333">
        <f>33-10</f>
        <v>23</v>
      </c>
      <c r="R333" t="s">
        <v>63</v>
      </c>
      <c r="T333">
        <v>18</v>
      </c>
      <c r="U333">
        <v>100</v>
      </c>
      <c r="V333">
        <v>15.5</v>
      </c>
      <c r="W333">
        <v>13.1</v>
      </c>
      <c r="X333">
        <v>29.7</v>
      </c>
      <c r="Z333" t="s">
        <v>32</v>
      </c>
      <c r="AB333" t="s">
        <v>44</v>
      </c>
      <c r="AC333" t="s">
        <v>122</v>
      </c>
    </row>
    <row r="334" spans="1:30" x14ac:dyDescent="0.2">
      <c r="A334" s="3">
        <v>42558</v>
      </c>
      <c r="B334" t="s">
        <v>23</v>
      </c>
      <c r="C334">
        <v>202</v>
      </c>
      <c r="D334">
        <v>6</v>
      </c>
      <c r="E334">
        <v>2</v>
      </c>
      <c r="F334" t="s">
        <v>24</v>
      </c>
      <c r="G334" t="s">
        <v>25</v>
      </c>
      <c r="H334" t="s">
        <v>26</v>
      </c>
      <c r="I334" t="s">
        <v>27</v>
      </c>
      <c r="J334" t="s">
        <v>28</v>
      </c>
      <c r="K334" t="s">
        <v>29</v>
      </c>
      <c r="L334" t="s">
        <v>35</v>
      </c>
      <c r="M334">
        <v>0</v>
      </c>
      <c r="N334">
        <v>0</v>
      </c>
      <c r="O334" s="17">
        <v>50410</v>
      </c>
      <c r="P334" s="17">
        <v>50412</v>
      </c>
      <c r="Q334">
        <f>38-14.5</f>
        <v>23.5</v>
      </c>
      <c r="R334" t="s">
        <v>63</v>
      </c>
      <c r="T334">
        <v>19</v>
      </c>
      <c r="U334">
        <v>93.5</v>
      </c>
      <c r="V334">
        <v>15.5</v>
      </c>
      <c r="W334">
        <v>13.4</v>
      </c>
      <c r="X334">
        <v>28.7</v>
      </c>
      <c r="Z334" t="s">
        <v>32</v>
      </c>
      <c r="AB334" t="s">
        <v>121</v>
      </c>
      <c r="AC334" t="s">
        <v>254</v>
      </c>
    </row>
    <row r="335" spans="1:30" x14ac:dyDescent="0.2">
      <c r="A335" s="3">
        <v>42570</v>
      </c>
      <c r="B335" t="s">
        <v>23</v>
      </c>
      <c r="C335">
        <v>202</v>
      </c>
      <c r="D335">
        <v>6</v>
      </c>
      <c r="E335">
        <v>1</v>
      </c>
      <c r="F335" t="s">
        <v>33</v>
      </c>
      <c r="G335" t="s">
        <v>25</v>
      </c>
      <c r="H335" t="s">
        <v>26</v>
      </c>
      <c r="I335" t="s">
        <v>27</v>
      </c>
      <c r="J335" t="s">
        <v>28</v>
      </c>
      <c r="K335" t="s">
        <v>29</v>
      </c>
      <c r="L335" t="s">
        <v>35</v>
      </c>
      <c r="M335">
        <v>0</v>
      </c>
      <c r="N335">
        <v>0</v>
      </c>
      <c r="O335" s="17">
        <v>50410</v>
      </c>
      <c r="P335" s="17">
        <v>50412</v>
      </c>
      <c r="Q335">
        <f>37-14</f>
        <v>23</v>
      </c>
      <c r="R335" t="s">
        <v>39</v>
      </c>
      <c r="T335">
        <v>20</v>
      </c>
      <c r="U335">
        <v>95</v>
      </c>
      <c r="V335">
        <v>14</v>
      </c>
      <c r="W335">
        <v>13</v>
      </c>
      <c r="X335">
        <v>27.2</v>
      </c>
      <c r="Z335" t="s">
        <v>145</v>
      </c>
      <c r="AA335" t="s">
        <v>260</v>
      </c>
      <c r="AB335" t="s">
        <v>121</v>
      </c>
      <c r="AC335" t="s">
        <v>59</v>
      </c>
    </row>
    <row r="336" spans="1:30" x14ac:dyDescent="0.2">
      <c r="A336" s="3">
        <v>42543</v>
      </c>
      <c r="B336" t="s">
        <v>23</v>
      </c>
      <c r="C336">
        <v>202</v>
      </c>
      <c r="D336">
        <v>5</v>
      </c>
      <c r="E336">
        <v>1</v>
      </c>
      <c r="F336" t="s">
        <v>33</v>
      </c>
      <c r="G336" t="s">
        <v>25</v>
      </c>
      <c r="H336" t="s">
        <v>26</v>
      </c>
      <c r="I336" t="s">
        <v>27</v>
      </c>
      <c r="J336" t="s">
        <v>34</v>
      </c>
      <c r="K336" t="s">
        <v>29</v>
      </c>
      <c r="L336" t="s">
        <v>35</v>
      </c>
      <c r="M336">
        <v>0</v>
      </c>
      <c r="N336">
        <v>1</v>
      </c>
      <c r="O336" s="17">
        <v>50412</v>
      </c>
      <c r="P336" s="17">
        <v>50410</v>
      </c>
      <c r="Q336">
        <f>35-12</f>
        <v>23</v>
      </c>
      <c r="R336" t="s">
        <v>39</v>
      </c>
      <c r="T336">
        <v>19</v>
      </c>
      <c r="U336">
        <v>90</v>
      </c>
      <c r="V336">
        <v>14</v>
      </c>
      <c r="W336">
        <v>12.4</v>
      </c>
      <c r="X336">
        <v>29.5</v>
      </c>
      <c r="Y336" t="s">
        <v>403</v>
      </c>
      <c r="Z336" t="s">
        <v>32</v>
      </c>
      <c r="AB336" t="s">
        <v>53</v>
      </c>
      <c r="AC336" t="s">
        <v>122</v>
      </c>
    </row>
    <row r="337" spans="1:29" x14ac:dyDescent="0.2">
      <c r="A337" s="3">
        <v>42542</v>
      </c>
      <c r="B337" t="s">
        <v>23</v>
      </c>
      <c r="C337">
        <v>201</v>
      </c>
      <c r="D337">
        <v>9</v>
      </c>
      <c r="E337">
        <v>1</v>
      </c>
      <c r="F337" t="s">
        <v>33</v>
      </c>
      <c r="G337" t="s">
        <v>25</v>
      </c>
      <c r="H337" t="s">
        <v>26</v>
      </c>
      <c r="I337" t="s">
        <v>27</v>
      </c>
      <c r="J337" t="s">
        <v>34</v>
      </c>
      <c r="K337" t="s">
        <v>123</v>
      </c>
      <c r="L337" t="s">
        <v>30</v>
      </c>
      <c r="M337">
        <v>0</v>
      </c>
      <c r="N337">
        <v>1</v>
      </c>
      <c r="O337" s="17">
        <v>50415</v>
      </c>
      <c r="P337" s="17">
        <v>50414</v>
      </c>
      <c r="Q337">
        <f>32-15</f>
        <v>17</v>
      </c>
      <c r="R337" t="s">
        <v>31</v>
      </c>
      <c r="S337" t="s">
        <v>32</v>
      </c>
      <c r="T337">
        <v>20</v>
      </c>
      <c r="U337">
        <v>88</v>
      </c>
      <c r="V337">
        <v>13</v>
      </c>
      <c r="W337">
        <v>12.5</v>
      </c>
      <c r="X337">
        <v>28.1</v>
      </c>
      <c r="Z337" t="s">
        <v>32</v>
      </c>
      <c r="AB337" t="s">
        <v>44</v>
      </c>
      <c r="AC337" t="s">
        <v>122</v>
      </c>
    </row>
    <row r="338" spans="1:29" x14ac:dyDescent="0.2">
      <c r="A338" s="3">
        <v>42542</v>
      </c>
      <c r="B338" t="s">
        <v>23</v>
      </c>
      <c r="C338">
        <v>201</v>
      </c>
      <c r="D338">
        <v>1</v>
      </c>
      <c r="E338">
        <v>2</v>
      </c>
      <c r="F338" t="s">
        <v>33</v>
      </c>
      <c r="G338" t="s">
        <v>25</v>
      </c>
      <c r="H338" t="s">
        <v>26</v>
      </c>
      <c r="I338" t="s">
        <v>27</v>
      </c>
      <c r="J338" t="s">
        <v>34</v>
      </c>
      <c r="K338" t="s">
        <v>188</v>
      </c>
      <c r="L338" t="s">
        <v>30</v>
      </c>
      <c r="M338">
        <v>0</v>
      </c>
      <c r="N338">
        <v>1</v>
      </c>
      <c r="O338" s="17">
        <v>50417</v>
      </c>
      <c r="P338" s="17">
        <v>50416</v>
      </c>
      <c r="Q338">
        <f>28.5-14</f>
        <v>14.5</v>
      </c>
      <c r="R338" t="s">
        <v>61</v>
      </c>
      <c r="S338" t="s">
        <v>32</v>
      </c>
      <c r="T338">
        <v>18</v>
      </c>
      <c r="U338">
        <v>74</v>
      </c>
      <c r="V338">
        <v>14</v>
      </c>
      <c r="W338">
        <v>11.8</v>
      </c>
      <c r="X338">
        <v>26.6</v>
      </c>
      <c r="Z338" t="s">
        <v>32</v>
      </c>
      <c r="AB338" t="s">
        <v>44</v>
      </c>
      <c r="AC338" t="s">
        <v>122</v>
      </c>
    </row>
    <row r="339" spans="1:29" x14ac:dyDescent="0.2">
      <c r="A339" s="3">
        <v>42543</v>
      </c>
      <c r="B339" t="s">
        <v>23</v>
      </c>
      <c r="C339">
        <v>201</v>
      </c>
      <c r="D339">
        <v>4</v>
      </c>
      <c r="E339">
        <v>2</v>
      </c>
      <c r="F339" t="s">
        <v>33</v>
      </c>
      <c r="G339" t="s">
        <v>25</v>
      </c>
      <c r="H339" t="s">
        <v>26</v>
      </c>
      <c r="I339" t="s">
        <v>27</v>
      </c>
      <c r="J339" t="s">
        <v>28</v>
      </c>
      <c r="K339" t="s">
        <v>188</v>
      </c>
      <c r="L339" t="s">
        <v>30</v>
      </c>
      <c r="M339">
        <v>0</v>
      </c>
      <c r="N339">
        <v>0</v>
      </c>
      <c r="O339" s="17">
        <v>50417</v>
      </c>
      <c r="P339" s="17">
        <v>50416</v>
      </c>
      <c r="Q339">
        <f>28-14</f>
        <v>14</v>
      </c>
      <c r="R339" t="s">
        <v>61</v>
      </c>
      <c r="S339" t="s">
        <v>32</v>
      </c>
      <c r="T339">
        <v>18</v>
      </c>
      <c r="U339">
        <v>73</v>
      </c>
      <c r="V339">
        <v>13</v>
      </c>
      <c r="W339">
        <v>11.8</v>
      </c>
      <c r="X339">
        <v>26.6</v>
      </c>
      <c r="Z339" t="s">
        <v>32</v>
      </c>
      <c r="AB339" t="s">
        <v>53</v>
      </c>
      <c r="AC339" t="s">
        <v>122</v>
      </c>
    </row>
    <row r="340" spans="1:29" x14ac:dyDescent="0.2">
      <c r="A340" s="3">
        <v>42557</v>
      </c>
      <c r="B340" t="s">
        <v>23</v>
      </c>
      <c r="C340">
        <v>201</v>
      </c>
      <c r="D340">
        <v>1</v>
      </c>
      <c r="E340">
        <v>2</v>
      </c>
      <c r="F340" t="s">
        <v>24</v>
      </c>
      <c r="G340" t="s">
        <v>25</v>
      </c>
      <c r="H340" t="s">
        <v>26</v>
      </c>
      <c r="I340" t="s">
        <v>27</v>
      </c>
      <c r="J340" t="s">
        <v>28</v>
      </c>
      <c r="K340" t="s">
        <v>188</v>
      </c>
      <c r="L340" t="s">
        <v>30</v>
      </c>
      <c r="M340">
        <v>0</v>
      </c>
      <c r="N340">
        <v>0</v>
      </c>
      <c r="O340" s="17">
        <v>50417</v>
      </c>
      <c r="P340" s="17">
        <v>50416</v>
      </c>
      <c r="Q340">
        <v>20</v>
      </c>
      <c r="R340" t="s">
        <v>91</v>
      </c>
      <c r="S340" t="s">
        <v>32</v>
      </c>
      <c r="T340">
        <v>18</v>
      </c>
      <c r="U340">
        <v>81</v>
      </c>
      <c r="V340">
        <v>15</v>
      </c>
      <c r="W340">
        <v>12.7</v>
      </c>
      <c r="X340">
        <v>27.7</v>
      </c>
      <c r="Z340" t="s">
        <v>32</v>
      </c>
      <c r="AB340" t="s">
        <v>44</v>
      </c>
      <c r="AC340" t="s">
        <v>122</v>
      </c>
    </row>
    <row r="341" spans="1:29" x14ac:dyDescent="0.2">
      <c r="A341" s="3">
        <v>42542</v>
      </c>
      <c r="B341" t="s">
        <v>23</v>
      </c>
      <c r="C341">
        <v>201</v>
      </c>
      <c r="D341">
        <v>1</v>
      </c>
      <c r="E341">
        <v>1</v>
      </c>
      <c r="F341" t="s">
        <v>33</v>
      </c>
      <c r="G341" t="s">
        <v>25</v>
      </c>
      <c r="H341" t="s">
        <v>26</v>
      </c>
      <c r="I341" t="s">
        <v>27</v>
      </c>
      <c r="J341" t="s">
        <v>34</v>
      </c>
      <c r="K341" t="s">
        <v>29</v>
      </c>
      <c r="L341" t="s">
        <v>30</v>
      </c>
      <c r="M341">
        <v>0</v>
      </c>
      <c r="N341">
        <v>1</v>
      </c>
      <c r="O341" s="17">
        <v>50418</v>
      </c>
      <c r="P341" s="17">
        <v>50407</v>
      </c>
      <c r="Q341">
        <f>34-12.5</f>
        <v>21.5</v>
      </c>
      <c r="R341" t="s">
        <v>273</v>
      </c>
      <c r="S341" t="s">
        <v>145</v>
      </c>
      <c r="T341">
        <v>21</v>
      </c>
      <c r="U341">
        <v>84</v>
      </c>
      <c r="V341">
        <v>14</v>
      </c>
      <c r="W341">
        <v>12.4</v>
      </c>
      <c r="X341">
        <v>30.8</v>
      </c>
      <c r="Z341" t="s">
        <v>32</v>
      </c>
      <c r="AB341" t="s">
        <v>44</v>
      </c>
      <c r="AC341" t="s">
        <v>122</v>
      </c>
    </row>
    <row r="342" spans="1:29" x14ac:dyDescent="0.2">
      <c r="A342" s="3">
        <v>42541</v>
      </c>
      <c r="B342" t="s">
        <v>23</v>
      </c>
      <c r="C342">
        <v>203</v>
      </c>
      <c r="D342">
        <v>3</v>
      </c>
      <c r="E342">
        <v>1</v>
      </c>
      <c r="F342" t="s">
        <v>33</v>
      </c>
      <c r="G342" t="s">
        <v>25</v>
      </c>
      <c r="H342" t="s">
        <v>26</v>
      </c>
      <c r="I342" t="s">
        <v>27</v>
      </c>
      <c r="J342" t="s">
        <v>34</v>
      </c>
      <c r="K342" t="s">
        <v>188</v>
      </c>
      <c r="L342" t="s">
        <v>30</v>
      </c>
      <c r="M342">
        <v>0</v>
      </c>
      <c r="N342">
        <v>1</v>
      </c>
      <c r="O342" s="17">
        <v>50420</v>
      </c>
      <c r="P342" s="17">
        <v>50419</v>
      </c>
      <c r="Q342">
        <f>32-13.5</f>
        <v>18.5</v>
      </c>
      <c r="R342" t="s">
        <v>31</v>
      </c>
      <c r="S342" t="s">
        <v>32</v>
      </c>
      <c r="T342">
        <v>20</v>
      </c>
      <c r="U342">
        <v>80</v>
      </c>
      <c r="V342">
        <v>13</v>
      </c>
      <c r="W342">
        <v>27.7</v>
      </c>
      <c r="X342">
        <v>11.8</v>
      </c>
      <c r="Z342" t="s">
        <v>32</v>
      </c>
      <c r="AB342" t="s">
        <v>53</v>
      </c>
      <c r="AC342" t="s">
        <v>122</v>
      </c>
    </row>
    <row r="343" spans="1:29" x14ac:dyDescent="0.2">
      <c r="A343" s="3">
        <v>42543</v>
      </c>
      <c r="B343" t="s">
        <v>23</v>
      </c>
      <c r="C343">
        <v>304</v>
      </c>
      <c r="D343">
        <v>2</v>
      </c>
      <c r="E343">
        <v>1</v>
      </c>
      <c r="F343" t="s">
        <v>33</v>
      </c>
      <c r="G343" t="s">
        <v>25</v>
      </c>
      <c r="H343" t="s">
        <v>26</v>
      </c>
      <c r="I343" t="s">
        <v>27</v>
      </c>
      <c r="J343" t="s">
        <v>34</v>
      </c>
      <c r="K343" t="s">
        <v>29</v>
      </c>
      <c r="L343" t="s">
        <v>30</v>
      </c>
      <c r="M343">
        <v>0</v>
      </c>
      <c r="N343">
        <v>1</v>
      </c>
      <c r="O343" s="17">
        <v>50428</v>
      </c>
      <c r="P343" s="17">
        <v>50427</v>
      </c>
      <c r="Q343">
        <f>36.5-13</f>
        <v>23.5</v>
      </c>
      <c r="R343" t="s">
        <v>279</v>
      </c>
      <c r="S343" t="s">
        <v>145</v>
      </c>
      <c r="T343">
        <v>18</v>
      </c>
      <c r="U343">
        <v>84</v>
      </c>
      <c r="V343">
        <v>15</v>
      </c>
      <c r="W343">
        <v>12.4</v>
      </c>
      <c r="X343">
        <v>30.4</v>
      </c>
      <c r="Z343" t="s">
        <v>32</v>
      </c>
      <c r="AB343" t="s">
        <v>53</v>
      </c>
      <c r="AC343" t="s">
        <v>122</v>
      </c>
    </row>
    <row r="344" spans="1:29" x14ac:dyDescent="0.2">
      <c r="A344" s="3">
        <v>42557</v>
      </c>
      <c r="B344" t="s">
        <v>23</v>
      </c>
      <c r="C344">
        <v>304</v>
      </c>
      <c r="D344">
        <v>2</v>
      </c>
      <c r="E344">
        <v>1</v>
      </c>
      <c r="F344" t="s">
        <v>33</v>
      </c>
      <c r="G344" t="s">
        <v>25</v>
      </c>
      <c r="H344" t="s">
        <v>26</v>
      </c>
      <c r="I344" t="s">
        <v>27</v>
      </c>
      <c r="J344" t="s">
        <v>28</v>
      </c>
      <c r="K344" t="s">
        <v>29</v>
      </c>
      <c r="L344" t="s">
        <v>30</v>
      </c>
      <c r="M344">
        <v>0</v>
      </c>
      <c r="N344">
        <v>0</v>
      </c>
      <c r="O344" s="17">
        <v>50428</v>
      </c>
      <c r="P344" s="17">
        <v>50427</v>
      </c>
      <c r="Q344">
        <f>30-11.5</f>
        <v>18.5</v>
      </c>
      <c r="R344" t="s">
        <v>83</v>
      </c>
      <c r="S344" t="s">
        <v>145</v>
      </c>
      <c r="T344">
        <v>19</v>
      </c>
      <c r="U344">
        <v>95</v>
      </c>
      <c r="V344">
        <v>16</v>
      </c>
      <c r="W344">
        <v>12.6</v>
      </c>
      <c r="X344">
        <v>28.6</v>
      </c>
      <c r="Z344" t="s">
        <v>32</v>
      </c>
      <c r="AB344" t="s">
        <v>44</v>
      </c>
      <c r="AC344" t="s">
        <v>122</v>
      </c>
    </row>
    <row r="345" spans="1:29" x14ac:dyDescent="0.2">
      <c r="A345" s="3">
        <v>42565</v>
      </c>
      <c r="B345" t="s">
        <v>23</v>
      </c>
      <c r="C345">
        <v>503</v>
      </c>
      <c r="D345">
        <v>10</v>
      </c>
      <c r="E345">
        <v>1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29</v>
      </c>
      <c r="L345" t="s">
        <v>35</v>
      </c>
      <c r="M345">
        <v>0</v>
      </c>
      <c r="N345">
        <v>0</v>
      </c>
      <c r="O345" s="17">
        <v>50435</v>
      </c>
      <c r="P345" s="17">
        <v>50436</v>
      </c>
      <c r="Q345">
        <f>31-11</f>
        <v>20</v>
      </c>
      <c r="R345" t="s">
        <v>39</v>
      </c>
      <c r="T345">
        <v>20</v>
      </c>
      <c r="U345">
        <v>82</v>
      </c>
      <c r="V345">
        <v>15</v>
      </c>
      <c r="W345">
        <v>13.4</v>
      </c>
      <c r="X345">
        <v>28</v>
      </c>
      <c r="Z345" t="s">
        <v>32</v>
      </c>
      <c r="AB345" t="s">
        <v>489</v>
      </c>
      <c r="AC345" t="s">
        <v>254</v>
      </c>
    </row>
    <row r="346" spans="1:29" x14ac:dyDescent="0.2">
      <c r="A346" s="3">
        <v>42549</v>
      </c>
      <c r="B346" t="s">
        <v>23</v>
      </c>
      <c r="C346">
        <v>503</v>
      </c>
      <c r="D346">
        <v>7</v>
      </c>
      <c r="E346">
        <v>1</v>
      </c>
      <c r="F346" t="s">
        <v>33</v>
      </c>
      <c r="G346" t="s">
        <v>25</v>
      </c>
      <c r="H346" t="s">
        <v>26</v>
      </c>
      <c r="I346" t="s">
        <v>27</v>
      </c>
      <c r="J346" t="s">
        <v>34</v>
      </c>
      <c r="K346" t="s">
        <v>29</v>
      </c>
      <c r="L346" t="s">
        <v>35</v>
      </c>
      <c r="M346">
        <v>0</v>
      </c>
      <c r="N346">
        <v>1</v>
      </c>
      <c r="O346" s="17">
        <v>50436</v>
      </c>
      <c r="P346" s="17">
        <v>50435</v>
      </c>
      <c r="Q346">
        <f>33-14.5</f>
        <v>18.5</v>
      </c>
      <c r="R346" t="s">
        <v>39</v>
      </c>
      <c r="T346">
        <v>20</v>
      </c>
      <c r="V346">
        <v>14</v>
      </c>
      <c r="W346">
        <v>13</v>
      </c>
      <c r="X346">
        <v>29</v>
      </c>
      <c r="Z346" t="s">
        <v>32</v>
      </c>
      <c r="AB346" t="s">
        <v>149</v>
      </c>
      <c r="AC346" t="s">
        <v>122</v>
      </c>
    </row>
    <row r="347" spans="1:29" x14ac:dyDescent="0.2">
      <c r="A347" s="3">
        <v>42550</v>
      </c>
      <c r="B347" t="s">
        <v>23</v>
      </c>
      <c r="C347">
        <v>503</v>
      </c>
      <c r="D347">
        <v>5</v>
      </c>
      <c r="E347">
        <v>2</v>
      </c>
      <c r="F347" t="s">
        <v>33</v>
      </c>
      <c r="G347" t="s">
        <v>25</v>
      </c>
      <c r="H347" t="s">
        <v>26</v>
      </c>
      <c r="I347" t="s">
        <v>27</v>
      </c>
      <c r="J347" t="s">
        <v>28</v>
      </c>
      <c r="K347" t="s">
        <v>29</v>
      </c>
      <c r="L347" t="s">
        <v>35</v>
      </c>
      <c r="M347">
        <v>0</v>
      </c>
      <c r="N347">
        <v>0</v>
      </c>
      <c r="O347" s="17">
        <v>50436</v>
      </c>
      <c r="P347" s="17">
        <v>50435</v>
      </c>
      <c r="Q347">
        <f>32-13</f>
        <v>19</v>
      </c>
      <c r="R347" t="s">
        <v>39</v>
      </c>
      <c r="T347">
        <v>21</v>
      </c>
      <c r="U347">
        <v>83</v>
      </c>
      <c r="V347">
        <v>15</v>
      </c>
      <c r="W347">
        <v>12.8</v>
      </c>
      <c r="X347">
        <v>28.9</v>
      </c>
      <c r="Z347" t="s">
        <v>32</v>
      </c>
      <c r="AB347" t="s">
        <v>149</v>
      </c>
      <c r="AC347" t="s">
        <v>59</v>
      </c>
    </row>
    <row r="348" spans="1:29" x14ac:dyDescent="0.2">
      <c r="A348" s="3">
        <v>42551</v>
      </c>
      <c r="B348" t="s">
        <v>23</v>
      </c>
      <c r="C348">
        <v>503</v>
      </c>
      <c r="D348">
        <v>6</v>
      </c>
      <c r="E348">
        <v>2</v>
      </c>
      <c r="F348" t="s">
        <v>33</v>
      </c>
      <c r="G348" t="s">
        <v>25</v>
      </c>
      <c r="H348" t="s">
        <v>26</v>
      </c>
      <c r="I348" t="s">
        <v>27</v>
      </c>
      <c r="J348" t="s">
        <v>28</v>
      </c>
      <c r="K348" t="s">
        <v>29</v>
      </c>
      <c r="L348" t="s">
        <v>35</v>
      </c>
      <c r="M348">
        <v>0</v>
      </c>
      <c r="N348">
        <v>0</v>
      </c>
      <c r="O348" s="17">
        <v>50436</v>
      </c>
      <c r="P348" s="17">
        <v>50435</v>
      </c>
      <c r="Q348">
        <f>30-12</f>
        <v>18</v>
      </c>
      <c r="R348" t="s">
        <v>39</v>
      </c>
      <c r="T348">
        <v>21</v>
      </c>
      <c r="U348">
        <v>82</v>
      </c>
      <c r="V348">
        <v>14</v>
      </c>
      <c r="W348">
        <v>13.4</v>
      </c>
      <c r="X348">
        <v>29.2</v>
      </c>
      <c r="Z348" t="s">
        <v>32</v>
      </c>
      <c r="AB348" t="s">
        <v>44</v>
      </c>
      <c r="AC348" t="s">
        <v>59</v>
      </c>
    </row>
    <row r="349" spans="1:29" x14ac:dyDescent="0.2">
      <c r="A349" s="3">
        <v>42563</v>
      </c>
      <c r="B349" t="s">
        <v>23</v>
      </c>
      <c r="C349">
        <v>503</v>
      </c>
      <c r="D349">
        <v>8</v>
      </c>
      <c r="E349">
        <v>1</v>
      </c>
      <c r="F349" t="s">
        <v>24</v>
      </c>
      <c r="G349" t="s">
        <v>25</v>
      </c>
      <c r="H349" t="s">
        <v>26</v>
      </c>
      <c r="I349" t="s">
        <v>27</v>
      </c>
      <c r="J349" t="s">
        <v>28</v>
      </c>
      <c r="K349" t="s">
        <v>29</v>
      </c>
      <c r="L349" t="s">
        <v>35</v>
      </c>
      <c r="M349">
        <v>0</v>
      </c>
      <c r="N349">
        <v>0</v>
      </c>
      <c r="O349" s="17">
        <v>50436</v>
      </c>
      <c r="P349" s="17">
        <v>50435</v>
      </c>
      <c r="Q349">
        <v>20</v>
      </c>
      <c r="R349" t="s">
        <v>39</v>
      </c>
      <c r="T349">
        <v>21</v>
      </c>
      <c r="U349">
        <v>88</v>
      </c>
      <c r="V349">
        <v>16</v>
      </c>
      <c r="W349">
        <v>13.8</v>
      </c>
      <c r="X349">
        <v>30.1</v>
      </c>
      <c r="Z349" t="s">
        <v>32</v>
      </c>
      <c r="AB349" t="s">
        <v>53</v>
      </c>
      <c r="AC349" t="s">
        <v>122</v>
      </c>
    </row>
    <row r="350" spans="1:29" x14ac:dyDescent="0.2">
      <c r="A350" s="3">
        <v>42564</v>
      </c>
      <c r="B350" t="s">
        <v>23</v>
      </c>
      <c r="C350">
        <v>503</v>
      </c>
      <c r="D350">
        <v>5</v>
      </c>
      <c r="E350">
        <v>1</v>
      </c>
      <c r="F350" t="s">
        <v>24</v>
      </c>
      <c r="G350" t="s">
        <v>25</v>
      </c>
      <c r="H350" t="s">
        <v>26</v>
      </c>
      <c r="I350" t="s">
        <v>27</v>
      </c>
      <c r="J350" t="s">
        <v>28</v>
      </c>
      <c r="K350" t="s">
        <v>29</v>
      </c>
      <c r="L350" t="s">
        <v>35</v>
      </c>
      <c r="M350">
        <v>0</v>
      </c>
      <c r="N350">
        <v>0</v>
      </c>
      <c r="O350" s="17">
        <v>50436</v>
      </c>
      <c r="P350" s="17">
        <v>50435</v>
      </c>
      <c r="Q350">
        <f>34-14.5</f>
        <v>19.5</v>
      </c>
      <c r="R350" t="s">
        <v>39</v>
      </c>
      <c r="T350">
        <v>21</v>
      </c>
      <c r="U350">
        <v>86</v>
      </c>
      <c r="V350">
        <v>16</v>
      </c>
      <c r="W350">
        <v>13.15</v>
      </c>
      <c r="X350">
        <v>27.7</v>
      </c>
      <c r="Z350" t="s">
        <v>32</v>
      </c>
    </row>
    <row r="351" spans="1:29" x14ac:dyDescent="0.2">
      <c r="A351" s="3">
        <v>42574</v>
      </c>
      <c r="B351" t="s">
        <v>23</v>
      </c>
      <c r="C351">
        <v>503</v>
      </c>
      <c r="D351">
        <v>8</v>
      </c>
      <c r="E351">
        <v>1</v>
      </c>
      <c r="F351" t="s">
        <v>33</v>
      </c>
      <c r="G351" t="s">
        <v>25</v>
      </c>
      <c r="H351" t="s">
        <v>26</v>
      </c>
      <c r="I351" t="s">
        <v>27</v>
      </c>
      <c r="J351" t="s">
        <v>28</v>
      </c>
      <c r="K351" t="s">
        <v>123</v>
      </c>
      <c r="L351" t="s">
        <v>35</v>
      </c>
      <c r="M351">
        <v>0</v>
      </c>
      <c r="N351">
        <v>0</v>
      </c>
      <c r="O351" s="17">
        <v>50440</v>
      </c>
      <c r="P351" s="17">
        <v>50441</v>
      </c>
      <c r="Q351">
        <f>23.5-10</f>
        <v>13.5</v>
      </c>
      <c r="R351" t="s">
        <v>63</v>
      </c>
      <c r="T351">
        <v>19</v>
      </c>
      <c r="U351">
        <v>75</v>
      </c>
      <c r="V351">
        <v>13</v>
      </c>
      <c r="W351">
        <v>12.8</v>
      </c>
      <c r="X351">
        <v>25.6</v>
      </c>
      <c r="Z351" t="s">
        <v>32</v>
      </c>
      <c r="AB351" t="s">
        <v>122</v>
      </c>
      <c r="AC351" t="s">
        <v>121</v>
      </c>
    </row>
    <row r="352" spans="1:29" x14ac:dyDescent="0.2">
      <c r="A352" s="3">
        <v>42550</v>
      </c>
      <c r="B352" t="s">
        <v>23</v>
      </c>
      <c r="C352">
        <v>503</v>
      </c>
      <c r="D352">
        <v>8</v>
      </c>
      <c r="E352">
        <v>2</v>
      </c>
      <c r="F352" t="s">
        <v>33</v>
      </c>
      <c r="G352" t="s">
        <v>25</v>
      </c>
      <c r="H352" t="s">
        <v>26</v>
      </c>
      <c r="I352" t="s">
        <v>27</v>
      </c>
      <c r="J352" t="s">
        <v>34</v>
      </c>
      <c r="K352" t="s">
        <v>123</v>
      </c>
      <c r="L352" t="s">
        <v>30</v>
      </c>
      <c r="M352">
        <v>0</v>
      </c>
      <c r="N352">
        <v>1</v>
      </c>
      <c r="O352" s="17">
        <v>50442</v>
      </c>
      <c r="P352" s="17">
        <v>50441</v>
      </c>
      <c r="Q352">
        <f>26.5-12</f>
        <v>14.5</v>
      </c>
      <c r="R352" t="s">
        <v>31</v>
      </c>
      <c r="S352" t="s">
        <v>32</v>
      </c>
      <c r="T352">
        <v>19</v>
      </c>
      <c r="U352">
        <v>70</v>
      </c>
      <c r="V352">
        <v>13</v>
      </c>
      <c r="W352">
        <v>12.1</v>
      </c>
      <c r="X352">
        <v>26.5</v>
      </c>
      <c r="Z352" t="s">
        <v>32</v>
      </c>
      <c r="AB352" t="s">
        <v>121</v>
      </c>
      <c r="AC352" t="s">
        <v>59</v>
      </c>
    </row>
    <row r="353" spans="1:29" x14ac:dyDescent="0.2">
      <c r="A353" s="3">
        <v>42551</v>
      </c>
      <c r="B353" t="s">
        <v>23</v>
      </c>
      <c r="C353">
        <v>503</v>
      </c>
      <c r="D353">
        <v>7</v>
      </c>
      <c r="E353">
        <v>2</v>
      </c>
      <c r="F353" t="s">
        <v>33</v>
      </c>
      <c r="G353" t="s">
        <v>25</v>
      </c>
      <c r="H353" t="s">
        <v>26</v>
      </c>
      <c r="I353" t="s">
        <v>27</v>
      </c>
      <c r="J353" t="s">
        <v>28</v>
      </c>
      <c r="K353" t="s">
        <v>123</v>
      </c>
      <c r="L353" t="s">
        <v>30</v>
      </c>
      <c r="M353">
        <v>0</v>
      </c>
      <c r="N353">
        <v>0</v>
      </c>
      <c r="O353" s="17">
        <v>50442</v>
      </c>
      <c r="P353" s="17">
        <v>50441</v>
      </c>
      <c r="Q353">
        <f>25.5-13</f>
        <v>12.5</v>
      </c>
      <c r="R353" t="s">
        <v>31</v>
      </c>
      <c r="S353" t="s">
        <v>32</v>
      </c>
      <c r="T353">
        <v>20</v>
      </c>
      <c r="U353">
        <v>66</v>
      </c>
      <c r="V353">
        <v>16</v>
      </c>
      <c r="W353">
        <v>12.2</v>
      </c>
      <c r="X353">
        <v>26.5</v>
      </c>
      <c r="Z353" t="s">
        <v>32</v>
      </c>
      <c r="AB353" t="s">
        <v>44</v>
      </c>
      <c r="AC353" t="s">
        <v>59</v>
      </c>
    </row>
    <row r="354" spans="1:29" x14ac:dyDescent="0.2">
      <c r="A354" s="3">
        <v>42564</v>
      </c>
      <c r="B354" t="s">
        <v>23</v>
      </c>
      <c r="C354">
        <v>503</v>
      </c>
      <c r="D354">
        <v>7</v>
      </c>
      <c r="E354">
        <v>2</v>
      </c>
      <c r="F354" t="s">
        <v>24</v>
      </c>
      <c r="G354" t="s">
        <v>25</v>
      </c>
      <c r="H354" t="s">
        <v>26</v>
      </c>
      <c r="I354" t="s">
        <v>27</v>
      </c>
      <c r="J354" t="s">
        <v>28</v>
      </c>
      <c r="K354" t="s">
        <v>188</v>
      </c>
      <c r="L354" t="s">
        <v>30</v>
      </c>
      <c r="M354">
        <v>0</v>
      </c>
      <c r="N354">
        <v>0</v>
      </c>
      <c r="O354" s="17">
        <v>50442</v>
      </c>
      <c r="P354" s="17">
        <v>50441</v>
      </c>
      <c r="Q354">
        <f>24-10.5</f>
        <v>13.5</v>
      </c>
      <c r="R354" t="s">
        <v>31</v>
      </c>
      <c r="S354" t="s">
        <v>32</v>
      </c>
      <c r="T354">
        <v>18</v>
      </c>
      <c r="U354">
        <v>72</v>
      </c>
      <c r="V354">
        <v>15</v>
      </c>
      <c r="W354">
        <v>12.5</v>
      </c>
      <c r="X354">
        <v>23.7</v>
      </c>
      <c r="Z354" t="s">
        <v>32</v>
      </c>
    </row>
    <row r="355" spans="1:29" x14ac:dyDescent="0.2">
      <c r="A355" s="3">
        <v>42565</v>
      </c>
      <c r="B355" t="s">
        <v>23</v>
      </c>
      <c r="C355">
        <v>503</v>
      </c>
      <c r="D355">
        <v>8</v>
      </c>
      <c r="E355">
        <v>2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 t="s">
        <v>188</v>
      </c>
      <c r="L355" t="s">
        <v>30</v>
      </c>
      <c r="M355">
        <v>0</v>
      </c>
      <c r="N355">
        <v>0</v>
      </c>
      <c r="O355" s="17">
        <v>50442</v>
      </c>
      <c r="P355" s="17">
        <v>50441</v>
      </c>
      <c r="Q355">
        <v>13</v>
      </c>
      <c r="R355" t="s">
        <v>31</v>
      </c>
      <c r="S355" t="s">
        <v>32</v>
      </c>
      <c r="T355">
        <v>19</v>
      </c>
      <c r="U355">
        <v>79</v>
      </c>
      <c r="V355">
        <v>14</v>
      </c>
      <c r="W355">
        <v>12.5</v>
      </c>
      <c r="X355">
        <v>22.9</v>
      </c>
      <c r="Z355" t="s">
        <v>32</v>
      </c>
      <c r="AB355" t="s">
        <v>490</v>
      </c>
      <c r="AC355" t="s">
        <v>254</v>
      </c>
    </row>
    <row r="356" spans="1:29" x14ac:dyDescent="0.2">
      <c r="A356" s="3">
        <v>42550</v>
      </c>
      <c r="B356" t="s">
        <v>23</v>
      </c>
      <c r="C356">
        <v>503</v>
      </c>
      <c r="D356">
        <v>6</v>
      </c>
      <c r="E356">
        <v>1</v>
      </c>
      <c r="F356" t="s">
        <v>33</v>
      </c>
      <c r="G356" t="s">
        <v>25</v>
      </c>
      <c r="H356" t="s">
        <v>26</v>
      </c>
      <c r="I356" t="s">
        <v>27</v>
      </c>
      <c r="J356" t="s">
        <v>34</v>
      </c>
      <c r="K356" t="s">
        <v>123</v>
      </c>
      <c r="L356" t="s">
        <v>35</v>
      </c>
      <c r="M356">
        <v>0</v>
      </c>
      <c r="N356">
        <v>1</v>
      </c>
      <c r="O356" s="17">
        <v>50446</v>
      </c>
      <c r="P356" s="17">
        <v>50434</v>
      </c>
      <c r="Q356">
        <f>24-11</f>
        <v>13</v>
      </c>
      <c r="R356" t="s">
        <v>63</v>
      </c>
      <c r="T356">
        <v>19</v>
      </c>
      <c r="U356">
        <v>72</v>
      </c>
      <c r="V356">
        <v>13</v>
      </c>
      <c r="W356">
        <v>12.6</v>
      </c>
      <c r="X356">
        <v>27.7</v>
      </c>
      <c r="Z356" t="s">
        <v>32</v>
      </c>
      <c r="AB356" t="s">
        <v>149</v>
      </c>
      <c r="AC356" t="s">
        <v>59</v>
      </c>
    </row>
    <row r="357" spans="1:29" x14ac:dyDescent="0.2">
      <c r="A357" s="3">
        <v>42551</v>
      </c>
      <c r="B357" t="s">
        <v>23</v>
      </c>
      <c r="C357">
        <v>503</v>
      </c>
      <c r="D357">
        <v>2</v>
      </c>
      <c r="E357">
        <v>1</v>
      </c>
      <c r="F357" t="s">
        <v>33</v>
      </c>
      <c r="G357" t="s">
        <v>25</v>
      </c>
      <c r="H357" t="s">
        <v>26</v>
      </c>
      <c r="I357" t="s">
        <v>27</v>
      </c>
      <c r="J357" t="s">
        <v>28</v>
      </c>
      <c r="K357" t="s">
        <v>123</v>
      </c>
      <c r="L357" t="s">
        <v>35</v>
      </c>
      <c r="M357">
        <v>0</v>
      </c>
      <c r="N357">
        <v>0</v>
      </c>
      <c r="O357" s="17">
        <v>50446</v>
      </c>
      <c r="P357" s="17">
        <v>50434</v>
      </c>
      <c r="Q357">
        <f>26-12.5</f>
        <v>13.5</v>
      </c>
      <c r="R357" t="s">
        <v>63</v>
      </c>
      <c r="T357">
        <v>19</v>
      </c>
      <c r="U357">
        <v>73</v>
      </c>
      <c r="V357">
        <v>13</v>
      </c>
      <c r="W357">
        <v>12.4</v>
      </c>
      <c r="X357">
        <v>27.6</v>
      </c>
      <c r="Y357" t="s">
        <v>340</v>
      </c>
      <c r="Z357" t="s">
        <v>32</v>
      </c>
      <c r="AB357" t="s">
        <v>44</v>
      </c>
      <c r="AC357" t="s">
        <v>59</v>
      </c>
    </row>
    <row r="358" spans="1:29" x14ac:dyDescent="0.2">
      <c r="A358" s="3">
        <v>42564</v>
      </c>
      <c r="B358" t="s">
        <v>23</v>
      </c>
      <c r="C358">
        <v>503</v>
      </c>
      <c r="D358">
        <v>6</v>
      </c>
      <c r="E358">
        <v>1</v>
      </c>
      <c r="F358" t="s">
        <v>24</v>
      </c>
      <c r="G358" t="s">
        <v>25</v>
      </c>
      <c r="H358" t="s">
        <v>26</v>
      </c>
      <c r="I358" t="s">
        <v>27</v>
      </c>
      <c r="J358" t="s">
        <v>28</v>
      </c>
      <c r="K358" t="s">
        <v>188</v>
      </c>
      <c r="L358" t="s">
        <v>35</v>
      </c>
      <c r="M358">
        <v>0</v>
      </c>
      <c r="N358">
        <v>0</v>
      </c>
      <c r="O358" s="17">
        <v>50446</v>
      </c>
      <c r="P358" s="17">
        <v>50434</v>
      </c>
      <c r="Q358">
        <v>16</v>
      </c>
      <c r="R358" t="s">
        <v>39</v>
      </c>
      <c r="T358">
        <v>19</v>
      </c>
      <c r="U358">
        <v>74</v>
      </c>
      <c r="V358">
        <v>16</v>
      </c>
      <c r="W358">
        <v>12.5</v>
      </c>
      <c r="X358">
        <v>27.7</v>
      </c>
      <c r="Z358" t="s">
        <v>32</v>
      </c>
    </row>
    <row r="359" spans="1:29" x14ac:dyDescent="0.2">
      <c r="A359" s="3">
        <v>42565</v>
      </c>
      <c r="B359" t="s">
        <v>23</v>
      </c>
      <c r="C359">
        <v>503</v>
      </c>
      <c r="D359">
        <v>6</v>
      </c>
      <c r="E359">
        <v>2</v>
      </c>
      <c r="F359" t="s">
        <v>24</v>
      </c>
      <c r="G359" t="s">
        <v>25</v>
      </c>
      <c r="H359" t="s">
        <v>26</v>
      </c>
      <c r="I359" t="s">
        <v>27</v>
      </c>
      <c r="J359" t="s">
        <v>28</v>
      </c>
      <c r="K359" t="s">
        <v>188</v>
      </c>
      <c r="L359" t="s">
        <v>35</v>
      </c>
      <c r="M359">
        <v>0</v>
      </c>
      <c r="N359">
        <v>0</v>
      </c>
      <c r="O359" s="17">
        <v>50446</v>
      </c>
      <c r="P359" s="17">
        <v>50434</v>
      </c>
      <c r="Q359">
        <f>28.5-13</f>
        <v>15.5</v>
      </c>
      <c r="R359" t="s">
        <v>63</v>
      </c>
      <c r="T359">
        <v>18</v>
      </c>
      <c r="U359">
        <v>80</v>
      </c>
      <c r="V359">
        <v>13</v>
      </c>
      <c r="W359">
        <v>12.4</v>
      </c>
      <c r="X359">
        <v>29.6</v>
      </c>
      <c r="Z359" t="s">
        <v>32</v>
      </c>
      <c r="AB359" t="s">
        <v>489</v>
      </c>
      <c r="AC359" t="s">
        <v>254</v>
      </c>
    </row>
    <row r="360" spans="1:29" x14ac:dyDescent="0.2">
      <c r="A360" s="3">
        <v>42572</v>
      </c>
      <c r="B360" t="s">
        <v>23</v>
      </c>
      <c r="C360">
        <v>112</v>
      </c>
      <c r="D360">
        <v>6</v>
      </c>
      <c r="E360">
        <v>2</v>
      </c>
      <c r="F360" t="s">
        <v>24</v>
      </c>
      <c r="G360" t="s">
        <v>25</v>
      </c>
      <c r="H360" t="s">
        <v>26</v>
      </c>
      <c r="I360" t="s">
        <v>27</v>
      </c>
      <c r="J360" t="s">
        <v>28</v>
      </c>
      <c r="K360" t="s">
        <v>188</v>
      </c>
      <c r="L360" t="s">
        <v>35</v>
      </c>
      <c r="M360">
        <v>0</v>
      </c>
      <c r="N360">
        <v>0</v>
      </c>
      <c r="O360" s="17">
        <v>50447</v>
      </c>
      <c r="P360" s="17">
        <v>50446</v>
      </c>
      <c r="Q360">
        <v>18</v>
      </c>
      <c r="R360" t="s">
        <v>39</v>
      </c>
      <c r="T360">
        <v>18</v>
      </c>
      <c r="U360">
        <v>78.5</v>
      </c>
      <c r="V360">
        <v>15</v>
      </c>
      <c r="W360">
        <v>12</v>
      </c>
      <c r="X360">
        <v>27.7</v>
      </c>
      <c r="Z360" t="s">
        <v>32</v>
      </c>
      <c r="AB360" t="s">
        <v>121</v>
      </c>
      <c r="AC360" t="s">
        <v>122</v>
      </c>
    </row>
    <row r="361" spans="1:29" x14ac:dyDescent="0.2">
      <c r="A361" s="3">
        <v>42549</v>
      </c>
      <c r="B361" t="s">
        <v>23</v>
      </c>
      <c r="C361">
        <v>501</v>
      </c>
      <c r="D361">
        <v>5</v>
      </c>
      <c r="E361">
        <v>2</v>
      </c>
      <c r="F361" t="s">
        <v>33</v>
      </c>
      <c r="G361" t="s">
        <v>25</v>
      </c>
      <c r="H361" t="s">
        <v>26</v>
      </c>
      <c r="I361" t="s">
        <v>27</v>
      </c>
      <c r="J361" t="s">
        <v>34</v>
      </c>
      <c r="K361" t="s">
        <v>123</v>
      </c>
      <c r="L361" t="s">
        <v>30</v>
      </c>
      <c r="M361">
        <v>0</v>
      </c>
      <c r="N361">
        <v>1</v>
      </c>
      <c r="O361" s="17">
        <v>50448</v>
      </c>
      <c r="P361" s="17">
        <v>50447</v>
      </c>
      <c r="Q361">
        <f>28-12</f>
        <v>16</v>
      </c>
      <c r="R361" t="s">
        <v>31</v>
      </c>
      <c r="S361" t="s">
        <v>32</v>
      </c>
      <c r="T361">
        <v>19</v>
      </c>
      <c r="V361">
        <v>13</v>
      </c>
      <c r="W361">
        <v>12.5</v>
      </c>
      <c r="X361">
        <v>27</v>
      </c>
      <c r="Z361" t="s">
        <v>32</v>
      </c>
      <c r="AB361" t="s">
        <v>149</v>
      </c>
      <c r="AC361" t="s">
        <v>122</v>
      </c>
    </row>
    <row r="362" spans="1:29" x14ac:dyDescent="0.2">
      <c r="A362" s="3">
        <v>42550</v>
      </c>
      <c r="B362" t="s">
        <v>23</v>
      </c>
      <c r="C362">
        <v>501</v>
      </c>
      <c r="D362">
        <v>2</v>
      </c>
      <c r="E362">
        <v>1</v>
      </c>
      <c r="F362" t="s">
        <v>33</v>
      </c>
      <c r="G362" t="s">
        <v>25</v>
      </c>
      <c r="H362" t="s">
        <v>26</v>
      </c>
      <c r="I362" t="s">
        <v>27</v>
      </c>
      <c r="J362" t="s">
        <v>28</v>
      </c>
      <c r="K362" t="s">
        <v>123</v>
      </c>
      <c r="L362" t="s">
        <v>30</v>
      </c>
      <c r="M362">
        <v>0</v>
      </c>
      <c r="N362">
        <v>0</v>
      </c>
      <c r="O362" s="17">
        <v>50448</v>
      </c>
      <c r="P362" s="17">
        <v>50447</v>
      </c>
      <c r="Q362">
        <f>28-12</f>
        <v>16</v>
      </c>
      <c r="R362" t="s">
        <v>31</v>
      </c>
      <c r="S362" t="s">
        <v>32</v>
      </c>
      <c r="T362">
        <v>21</v>
      </c>
      <c r="U362">
        <v>88</v>
      </c>
      <c r="V362">
        <v>14</v>
      </c>
      <c r="W362">
        <v>12.7</v>
      </c>
      <c r="X362">
        <v>27.4</v>
      </c>
      <c r="Z362" t="s">
        <v>32</v>
      </c>
      <c r="AB362" t="s">
        <v>121</v>
      </c>
      <c r="AC362" t="s">
        <v>59</v>
      </c>
    </row>
    <row r="363" spans="1:29" x14ac:dyDescent="0.2">
      <c r="A363" s="3">
        <v>42551</v>
      </c>
      <c r="B363" t="s">
        <v>23</v>
      </c>
      <c r="C363">
        <v>501</v>
      </c>
      <c r="D363">
        <v>7</v>
      </c>
      <c r="E363">
        <v>1</v>
      </c>
      <c r="F363" t="s">
        <v>33</v>
      </c>
      <c r="G363" t="s">
        <v>25</v>
      </c>
      <c r="H363" t="s">
        <v>26</v>
      </c>
      <c r="I363" t="s">
        <v>27</v>
      </c>
      <c r="J363" t="s">
        <v>28</v>
      </c>
      <c r="K363" t="s">
        <v>123</v>
      </c>
      <c r="L363" t="s">
        <v>30</v>
      </c>
      <c r="M363">
        <v>0</v>
      </c>
      <c r="N363">
        <v>0</v>
      </c>
      <c r="O363" s="17">
        <v>50448</v>
      </c>
      <c r="P363" s="17">
        <v>50447</v>
      </c>
      <c r="Q363">
        <f>28-12</f>
        <v>16</v>
      </c>
      <c r="R363" t="s">
        <v>31</v>
      </c>
      <c r="S363" t="s">
        <v>32</v>
      </c>
      <c r="T363">
        <v>20</v>
      </c>
      <c r="U363">
        <v>87</v>
      </c>
      <c r="V363">
        <v>13</v>
      </c>
      <c r="W363">
        <v>12.8</v>
      </c>
      <c r="X363">
        <v>28.8</v>
      </c>
      <c r="Z363" t="s">
        <v>32</v>
      </c>
      <c r="AB363" t="s">
        <v>44</v>
      </c>
      <c r="AC363" t="s">
        <v>59</v>
      </c>
    </row>
    <row r="364" spans="1:29" x14ac:dyDescent="0.2">
      <c r="A364" s="3">
        <v>42563</v>
      </c>
      <c r="B364" t="s">
        <v>23</v>
      </c>
      <c r="C364">
        <v>501</v>
      </c>
      <c r="D364">
        <v>9</v>
      </c>
      <c r="E364">
        <v>1</v>
      </c>
      <c r="F364" t="s">
        <v>24</v>
      </c>
      <c r="G364" t="s">
        <v>25</v>
      </c>
      <c r="H364" t="s">
        <v>26</v>
      </c>
      <c r="I364" t="s">
        <v>27</v>
      </c>
      <c r="J364" t="s">
        <v>28</v>
      </c>
      <c r="K364" t="s">
        <v>188</v>
      </c>
      <c r="L364" t="s">
        <v>30</v>
      </c>
      <c r="M364">
        <v>0</v>
      </c>
      <c r="N364">
        <v>0</v>
      </c>
      <c r="O364" s="17">
        <v>50448</v>
      </c>
      <c r="P364" s="17">
        <v>50447</v>
      </c>
      <c r="Q364">
        <v>20</v>
      </c>
      <c r="R364" t="s">
        <v>94</v>
      </c>
      <c r="S364" t="s">
        <v>32</v>
      </c>
      <c r="T364">
        <v>18</v>
      </c>
      <c r="U364">
        <v>96</v>
      </c>
      <c r="V364">
        <v>14</v>
      </c>
      <c r="W364">
        <v>13</v>
      </c>
      <c r="X364">
        <v>27.9</v>
      </c>
      <c r="Z364" t="s">
        <v>32</v>
      </c>
      <c r="AB364" t="s">
        <v>255</v>
      </c>
      <c r="AC364" t="s">
        <v>122</v>
      </c>
    </row>
    <row r="365" spans="1:29" x14ac:dyDescent="0.2">
      <c r="A365" s="3">
        <v>42564</v>
      </c>
      <c r="B365" t="s">
        <v>23</v>
      </c>
      <c r="C365">
        <v>501</v>
      </c>
      <c r="D365">
        <v>8</v>
      </c>
      <c r="E365">
        <v>2</v>
      </c>
      <c r="F365" t="s">
        <v>24</v>
      </c>
      <c r="G365" t="s">
        <v>25</v>
      </c>
      <c r="H365" t="s">
        <v>26</v>
      </c>
      <c r="I365" t="s">
        <v>27</v>
      </c>
      <c r="J365" t="s">
        <v>28</v>
      </c>
      <c r="K365" t="s">
        <v>188</v>
      </c>
      <c r="L365" t="s">
        <v>30</v>
      </c>
      <c r="M365">
        <v>0</v>
      </c>
      <c r="N365">
        <v>0</v>
      </c>
      <c r="O365" s="17">
        <v>50448</v>
      </c>
      <c r="P365" s="17">
        <v>50447</v>
      </c>
      <c r="Q365">
        <f>29.5-11.5</f>
        <v>18</v>
      </c>
      <c r="R365" t="s">
        <v>31</v>
      </c>
      <c r="S365" t="s">
        <v>32</v>
      </c>
      <c r="T365">
        <v>20</v>
      </c>
      <c r="U365">
        <v>97</v>
      </c>
      <c r="V365">
        <v>15</v>
      </c>
      <c r="W365">
        <v>12.8</v>
      </c>
      <c r="X365">
        <v>26.5</v>
      </c>
      <c r="Z365" t="s">
        <v>32</v>
      </c>
    </row>
    <row r="366" spans="1:29" x14ac:dyDescent="0.2">
      <c r="A366" s="3">
        <v>42565</v>
      </c>
      <c r="B366" t="s">
        <v>23</v>
      </c>
      <c r="C366">
        <v>501</v>
      </c>
      <c r="D366">
        <v>4</v>
      </c>
      <c r="E366">
        <v>1</v>
      </c>
      <c r="F366" t="s">
        <v>24</v>
      </c>
      <c r="G366" t="s">
        <v>25</v>
      </c>
      <c r="H366" t="s">
        <v>26</v>
      </c>
      <c r="I366" t="s">
        <v>27</v>
      </c>
      <c r="J366" t="s">
        <v>28</v>
      </c>
      <c r="K366" t="s">
        <v>188</v>
      </c>
      <c r="L366" t="s">
        <v>30</v>
      </c>
      <c r="M366">
        <v>0</v>
      </c>
      <c r="N366">
        <v>0</v>
      </c>
      <c r="O366" s="17">
        <v>50448</v>
      </c>
      <c r="P366" s="17">
        <v>50447</v>
      </c>
      <c r="Q366">
        <f>28.5-11.5</f>
        <v>17</v>
      </c>
      <c r="R366" t="s">
        <v>63</v>
      </c>
      <c r="T366">
        <v>19</v>
      </c>
      <c r="U366">
        <v>90</v>
      </c>
      <c r="V366">
        <v>15</v>
      </c>
      <c r="W366">
        <v>12.8</v>
      </c>
      <c r="X366">
        <v>27.7</v>
      </c>
      <c r="Z366" t="s">
        <v>32</v>
      </c>
      <c r="AB366" t="s">
        <v>489</v>
      </c>
      <c r="AC366" t="s">
        <v>254</v>
      </c>
    </row>
    <row r="367" spans="1:29" x14ac:dyDescent="0.2">
      <c r="A367" s="3">
        <v>42565</v>
      </c>
      <c r="B367" t="s">
        <v>23</v>
      </c>
      <c r="C367">
        <v>803</v>
      </c>
      <c r="D367">
        <v>8</v>
      </c>
      <c r="E367">
        <v>1</v>
      </c>
      <c r="F367" t="s">
        <v>33</v>
      </c>
      <c r="G367" t="s">
        <v>25</v>
      </c>
      <c r="H367" t="s">
        <v>26</v>
      </c>
      <c r="I367" t="s">
        <v>27</v>
      </c>
      <c r="J367" t="s">
        <v>28</v>
      </c>
      <c r="K367" t="s">
        <v>29</v>
      </c>
      <c r="L367" t="s">
        <v>30</v>
      </c>
      <c r="M367">
        <v>0</v>
      </c>
      <c r="N367">
        <v>0</v>
      </c>
      <c r="O367" s="17">
        <v>50451</v>
      </c>
      <c r="P367" s="17">
        <v>50450</v>
      </c>
      <c r="Q367">
        <f>30.5-12</f>
        <v>18.5</v>
      </c>
      <c r="R367" t="s">
        <v>83</v>
      </c>
      <c r="S367" t="s">
        <v>145</v>
      </c>
      <c r="T367">
        <v>20</v>
      </c>
      <c r="U367">
        <v>82</v>
      </c>
      <c r="V367">
        <v>15</v>
      </c>
      <c r="W367">
        <v>12.7</v>
      </c>
      <c r="X367">
        <v>26.6</v>
      </c>
      <c r="Z367" t="s">
        <v>32</v>
      </c>
      <c r="AB367" t="s">
        <v>121</v>
      </c>
      <c r="AC367" t="s">
        <v>254</v>
      </c>
    </row>
    <row r="368" spans="1:29" x14ac:dyDescent="0.2">
      <c r="A368" s="3">
        <v>42537</v>
      </c>
      <c r="B368" t="s">
        <v>23</v>
      </c>
      <c r="C368">
        <v>803</v>
      </c>
      <c r="D368">
        <v>8</v>
      </c>
      <c r="E368">
        <v>1</v>
      </c>
      <c r="F368" t="s">
        <v>33</v>
      </c>
      <c r="G368" t="s">
        <v>25</v>
      </c>
      <c r="H368" t="s">
        <v>26</v>
      </c>
      <c r="I368" t="s">
        <v>27</v>
      </c>
      <c r="J368" t="s">
        <v>28</v>
      </c>
      <c r="K368" t="s">
        <v>187</v>
      </c>
      <c r="L368" t="s">
        <v>35</v>
      </c>
      <c r="M368">
        <v>0</v>
      </c>
      <c r="N368">
        <v>0</v>
      </c>
      <c r="O368" s="17">
        <v>50453</v>
      </c>
      <c r="P368" s="17">
        <v>50454</v>
      </c>
      <c r="Q368">
        <f>38-14.4</f>
        <v>23.6</v>
      </c>
      <c r="R368" t="s">
        <v>39</v>
      </c>
      <c r="T368">
        <v>19</v>
      </c>
      <c r="U368">
        <v>81</v>
      </c>
      <c r="V368">
        <v>12</v>
      </c>
      <c r="W368">
        <v>13</v>
      </c>
      <c r="X368">
        <v>29.5</v>
      </c>
      <c r="Z368" t="s">
        <v>32</v>
      </c>
      <c r="AB368" t="s">
        <v>44</v>
      </c>
      <c r="AC368" t="s">
        <v>122</v>
      </c>
    </row>
    <row r="369" spans="1:30" x14ac:dyDescent="0.2">
      <c r="A369" s="3">
        <v>42551</v>
      </c>
      <c r="B369" t="s">
        <v>23</v>
      </c>
      <c r="C369">
        <v>803</v>
      </c>
      <c r="D369">
        <v>8</v>
      </c>
      <c r="E369">
        <v>1</v>
      </c>
      <c r="F369" t="s">
        <v>24</v>
      </c>
      <c r="G369" t="s">
        <v>25</v>
      </c>
      <c r="H369" t="s">
        <v>26</v>
      </c>
      <c r="I369" t="s">
        <v>27</v>
      </c>
      <c r="J369" t="s">
        <v>28</v>
      </c>
      <c r="K369" t="s">
        <v>29</v>
      </c>
      <c r="L369" t="s">
        <v>35</v>
      </c>
      <c r="M369">
        <v>0</v>
      </c>
      <c r="N369">
        <v>0</v>
      </c>
      <c r="O369" s="17">
        <v>50454</v>
      </c>
      <c r="P369" s="17">
        <v>50455</v>
      </c>
      <c r="Q369">
        <f>36.5-14</f>
        <v>22.5</v>
      </c>
      <c r="R369" t="s">
        <v>39</v>
      </c>
      <c r="T369">
        <v>18</v>
      </c>
      <c r="U369">
        <v>89.5</v>
      </c>
      <c r="V369">
        <v>14.5</v>
      </c>
      <c r="W369">
        <v>13.8</v>
      </c>
      <c r="X369">
        <v>29.5</v>
      </c>
      <c r="Z369" t="s">
        <v>32</v>
      </c>
      <c r="AB369" t="s">
        <v>44</v>
      </c>
      <c r="AC369" t="s">
        <v>116</v>
      </c>
    </row>
    <row r="370" spans="1:30" x14ac:dyDescent="0.2">
      <c r="A370" s="3">
        <v>42535</v>
      </c>
      <c r="B370" t="s">
        <v>23</v>
      </c>
      <c r="C370">
        <v>803</v>
      </c>
      <c r="D370">
        <v>7</v>
      </c>
      <c r="E370">
        <v>1</v>
      </c>
      <c r="F370" t="s">
        <v>33</v>
      </c>
      <c r="G370" t="s">
        <v>25</v>
      </c>
      <c r="H370" t="s">
        <v>26</v>
      </c>
      <c r="I370" t="s">
        <v>27</v>
      </c>
      <c r="J370" t="s">
        <v>34</v>
      </c>
      <c r="K370" t="s">
        <v>187</v>
      </c>
      <c r="L370" t="s">
        <v>35</v>
      </c>
      <c r="M370">
        <v>0</v>
      </c>
      <c r="N370">
        <v>1</v>
      </c>
      <c r="O370" s="17">
        <v>50455</v>
      </c>
      <c r="P370" s="17">
        <v>50454</v>
      </c>
      <c r="Q370">
        <f>35.5-12</f>
        <v>23.5</v>
      </c>
      <c r="R370" t="s">
        <v>39</v>
      </c>
      <c r="S370" t="s">
        <v>32</v>
      </c>
      <c r="T370">
        <v>19</v>
      </c>
      <c r="U370">
        <v>86</v>
      </c>
      <c r="V370">
        <v>13</v>
      </c>
      <c r="W370">
        <v>12.5</v>
      </c>
      <c r="X370">
        <v>30</v>
      </c>
      <c r="Y370" t="s">
        <v>208</v>
      </c>
      <c r="Z370" t="s">
        <v>32</v>
      </c>
      <c r="AB370" t="s">
        <v>44</v>
      </c>
      <c r="AC370" t="s">
        <v>116</v>
      </c>
    </row>
    <row r="371" spans="1:30" x14ac:dyDescent="0.2">
      <c r="A371" s="3">
        <v>42549</v>
      </c>
      <c r="B371" t="s">
        <v>23</v>
      </c>
      <c r="C371">
        <v>803</v>
      </c>
      <c r="D371">
        <v>7</v>
      </c>
      <c r="E371">
        <v>1</v>
      </c>
      <c r="F371" t="s">
        <v>24</v>
      </c>
      <c r="G371" t="s">
        <v>25</v>
      </c>
      <c r="H371" t="s">
        <v>26</v>
      </c>
      <c r="I371" t="s">
        <v>27</v>
      </c>
      <c r="J371" t="s">
        <v>28</v>
      </c>
      <c r="K371" t="s">
        <v>29</v>
      </c>
      <c r="L371" t="s">
        <v>35</v>
      </c>
      <c r="M371">
        <v>0</v>
      </c>
      <c r="N371">
        <v>0</v>
      </c>
      <c r="O371" s="17">
        <v>50455</v>
      </c>
      <c r="P371" s="17">
        <v>50454</v>
      </c>
      <c r="Q371">
        <f>35.5-13</f>
        <v>22.5</v>
      </c>
      <c r="R371" t="s">
        <v>39</v>
      </c>
      <c r="S371" t="s">
        <v>32</v>
      </c>
      <c r="T371">
        <v>18.5</v>
      </c>
      <c r="U371">
        <v>89.5</v>
      </c>
      <c r="V371">
        <v>15</v>
      </c>
      <c r="W371">
        <v>13.6</v>
      </c>
      <c r="X371">
        <v>29.4</v>
      </c>
      <c r="Z371" t="s">
        <v>32</v>
      </c>
      <c r="AB371" t="s">
        <v>121</v>
      </c>
      <c r="AC371" t="s">
        <v>122</v>
      </c>
    </row>
    <row r="372" spans="1:30" x14ac:dyDescent="0.2">
      <c r="A372" s="3">
        <v>42599</v>
      </c>
      <c r="B372" t="s">
        <v>23</v>
      </c>
      <c r="C372">
        <v>112</v>
      </c>
      <c r="D372">
        <v>9</v>
      </c>
      <c r="E372">
        <v>2</v>
      </c>
      <c r="F372" t="s">
        <v>24</v>
      </c>
      <c r="G372" t="s">
        <v>25</v>
      </c>
      <c r="H372" t="s">
        <v>26</v>
      </c>
      <c r="I372" t="s">
        <v>27</v>
      </c>
      <c r="J372" t="s">
        <v>28</v>
      </c>
      <c r="K372" t="s">
        <v>29</v>
      </c>
      <c r="L372" t="s">
        <v>30</v>
      </c>
      <c r="M372">
        <v>0</v>
      </c>
      <c r="N372">
        <v>0</v>
      </c>
      <c r="O372" s="17" t="s">
        <v>1830</v>
      </c>
      <c r="P372" s="17" t="s">
        <v>1831</v>
      </c>
      <c r="Q372">
        <f>35-14.5</f>
        <v>20.5</v>
      </c>
      <c r="R372" t="s">
        <v>31</v>
      </c>
      <c r="S372" t="s">
        <v>32</v>
      </c>
      <c r="T372">
        <v>19</v>
      </c>
      <c r="U372">
        <v>90</v>
      </c>
      <c r="V372">
        <v>17</v>
      </c>
      <c r="W372">
        <v>13.2</v>
      </c>
      <c r="X372">
        <v>26.9</v>
      </c>
      <c r="AB372" t="s">
        <v>121</v>
      </c>
      <c r="AC372" t="s">
        <v>59</v>
      </c>
    </row>
    <row r="373" spans="1:30" x14ac:dyDescent="0.2">
      <c r="A373" s="3">
        <v>42535</v>
      </c>
      <c r="B373" t="s">
        <v>23</v>
      </c>
      <c r="C373">
        <v>803</v>
      </c>
      <c r="D373">
        <v>7</v>
      </c>
      <c r="E373">
        <v>2</v>
      </c>
      <c r="F373" t="s">
        <v>33</v>
      </c>
      <c r="G373" t="s">
        <v>25</v>
      </c>
      <c r="H373" t="s">
        <v>26</v>
      </c>
      <c r="I373" t="s">
        <v>27</v>
      </c>
      <c r="J373" t="s">
        <v>34</v>
      </c>
      <c r="K373" t="s">
        <v>188</v>
      </c>
      <c r="L373" t="s">
        <v>30</v>
      </c>
      <c r="M373">
        <v>0</v>
      </c>
      <c r="N373">
        <v>1</v>
      </c>
      <c r="O373" s="17">
        <v>50457</v>
      </c>
      <c r="P373" s="17">
        <v>50456</v>
      </c>
      <c r="Q373">
        <f>25-11.5</f>
        <v>13.5</v>
      </c>
      <c r="R373" t="s">
        <v>61</v>
      </c>
      <c r="S373" t="s">
        <v>32</v>
      </c>
      <c r="T373">
        <v>19</v>
      </c>
      <c r="U373">
        <v>78</v>
      </c>
      <c r="V373">
        <v>13</v>
      </c>
      <c r="W373">
        <v>26.6</v>
      </c>
      <c r="X373">
        <v>11.9</v>
      </c>
      <c r="Z373" t="s">
        <v>32</v>
      </c>
      <c r="AB373" t="s">
        <v>44</v>
      </c>
      <c r="AC373" t="s">
        <v>116</v>
      </c>
    </row>
    <row r="374" spans="1:30" x14ac:dyDescent="0.2">
      <c r="A374" s="3">
        <v>42536</v>
      </c>
      <c r="B374" t="s">
        <v>23</v>
      </c>
      <c r="C374">
        <v>803</v>
      </c>
      <c r="D374">
        <v>7</v>
      </c>
      <c r="E374">
        <v>1</v>
      </c>
      <c r="F374" t="s">
        <v>33</v>
      </c>
      <c r="G374" t="s">
        <v>25</v>
      </c>
      <c r="H374" t="s">
        <v>26</v>
      </c>
      <c r="I374" t="s">
        <v>27</v>
      </c>
      <c r="J374" t="s">
        <v>28</v>
      </c>
      <c r="K374" t="s">
        <v>188</v>
      </c>
      <c r="L374" t="s">
        <v>30</v>
      </c>
      <c r="M374">
        <v>0</v>
      </c>
      <c r="N374">
        <v>0</v>
      </c>
      <c r="O374" s="17">
        <v>50457</v>
      </c>
      <c r="P374" s="17">
        <v>50456</v>
      </c>
      <c r="Q374">
        <f>19-4</f>
        <v>15</v>
      </c>
      <c r="R374" t="s">
        <v>61</v>
      </c>
      <c r="S374" t="s">
        <v>32</v>
      </c>
      <c r="T374">
        <v>18</v>
      </c>
      <c r="U374">
        <v>76</v>
      </c>
      <c r="V374">
        <v>14</v>
      </c>
      <c r="W374">
        <v>11.5</v>
      </c>
      <c r="X374">
        <v>25.5</v>
      </c>
      <c r="Z374" t="s">
        <v>32</v>
      </c>
      <c r="AB374" t="s">
        <v>60</v>
      </c>
      <c r="AC374" t="s">
        <v>59</v>
      </c>
    </row>
    <row r="375" spans="1:30" x14ac:dyDescent="0.2">
      <c r="A375" s="3">
        <v>42537</v>
      </c>
      <c r="B375" t="s">
        <v>23</v>
      </c>
      <c r="C375">
        <v>803</v>
      </c>
      <c r="D375">
        <v>7</v>
      </c>
      <c r="E375">
        <v>1</v>
      </c>
      <c r="F375" t="s">
        <v>33</v>
      </c>
      <c r="G375" t="s">
        <v>25</v>
      </c>
      <c r="H375" t="s">
        <v>26</v>
      </c>
      <c r="I375" t="s">
        <v>27</v>
      </c>
      <c r="J375" t="s">
        <v>28</v>
      </c>
      <c r="K375" t="s">
        <v>188</v>
      </c>
      <c r="L375" t="s">
        <v>30</v>
      </c>
      <c r="M375">
        <v>0</v>
      </c>
      <c r="N375">
        <v>0</v>
      </c>
      <c r="O375" s="17">
        <v>50457</v>
      </c>
      <c r="P375" s="17">
        <v>50456</v>
      </c>
      <c r="R375" t="s">
        <v>61</v>
      </c>
      <c r="S375" t="s">
        <v>32</v>
      </c>
      <c r="T375">
        <v>18</v>
      </c>
      <c r="U375">
        <v>76</v>
      </c>
      <c r="V375">
        <v>12</v>
      </c>
      <c r="W375">
        <v>12.5</v>
      </c>
      <c r="X375">
        <v>26.8</v>
      </c>
      <c r="Y375" t="s">
        <v>216</v>
      </c>
      <c r="Z375" t="s">
        <v>32</v>
      </c>
      <c r="AB375" t="s">
        <v>44</v>
      </c>
      <c r="AC375" t="s">
        <v>122</v>
      </c>
    </row>
    <row r="376" spans="1:30" x14ac:dyDescent="0.2">
      <c r="A376" s="3">
        <v>42550</v>
      </c>
      <c r="B376" t="s">
        <v>23</v>
      </c>
      <c r="C376">
        <v>803</v>
      </c>
      <c r="D376">
        <v>6</v>
      </c>
      <c r="E376">
        <v>2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 t="s">
        <v>29</v>
      </c>
      <c r="L376" t="s">
        <v>30</v>
      </c>
      <c r="M376">
        <v>0</v>
      </c>
      <c r="N376">
        <v>0</v>
      </c>
      <c r="O376" s="17">
        <v>50457</v>
      </c>
      <c r="P376" s="17">
        <v>50456</v>
      </c>
      <c r="Q376">
        <f>35.5-13.5</f>
        <v>22</v>
      </c>
      <c r="R376" t="s">
        <v>91</v>
      </c>
      <c r="S376" t="s">
        <v>32</v>
      </c>
      <c r="T376">
        <v>19</v>
      </c>
      <c r="U376">
        <v>88</v>
      </c>
      <c r="V376">
        <v>16</v>
      </c>
      <c r="W376">
        <v>13</v>
      </c>
      <c r="X376">
        <v>26.6</v>
      </c>
      <c r="Z376" t="s">
        <v>32</v>
      </c>
      <c r="AB376" t="s">
        <v>53</v>
      </c>
      <c r="AC376" t="s">
        <v>59</v>
      </c>
    </row>
    <row r="377" spans="1:30" x14ac:dyDescent="0.2">
      <c r="A377" s="3">
        <v>42551</v>
      </c>
      <c r="B377" t="s">
        <v>23</v>
      </c>
      <c r="C377">
        <v>803</v>
      </c>
      <c r="D377">
        <v>6</v>
      </c>
      <c r="E377">
        <v>1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 t="s">
        <v>187</v>
      </c>
      <c r="L377" t="s">
        <v>30</v>
      </c>
      <c r="M377">
        <v>0</v>
      </c>
      <c r="N377">
        <v>0</v>
      </c>
      <c r="O377" s="17">
        <v>50457</v>
      </c>
      <c r="P377" s="17">
        <v>50456</v>
      </c>
      <c r="Q377">
        <f>36-15</f>
        <v>21</v>
      </c>
      <c r="R377" t="s">
        <v>31</v>
      </c>
      <c r="S377" t="s">
        <v>32</v>
      </c>
      <c r="T377">
        <v>18</v>
      </c>
      <c r="U377">
        <v>88.5</v>
      </c>
      <c r="V377">
        <v>15.5</v>
      </c>
      <c r="W377">
        <v>12.4</v>
      </c>
      <c r="X377">
        <v>25.8</v>
      </c>
      <c r="Z377" t="s">
        <v>32</v>
      </c>
      <c r="AB377" t="s">
        <v>44</v>
      </c>
      <c r="AC377" t="s">
        <v>116</v>
      </c>
    </row>
    <row r="378" spans="1:30" x14ac:dyDescent="0.2">
      <c r="A378" s="3">
        <v>42563</v>
      </c>
      <c r="B378" t="s">
        <v>23</v>
      </c>
      <c r="C378">
        <v>803</v>
      </c>
      <c r="D378">
        <v>7</v>
      </c>
      <c r="E378">
        <v>1</v>
      </c>
      <c r="F378" t="s">
        <v>33</v>
      </c>
      <c r="G378" t="s">
        <v>25</v>
      </c>
      <c r="H378" t="s">
        <v>26</v>
      </c>
      <c r="I378" t="s">
        <v>27</v>
      </c>
      <c r="J378" t="s">
        <v>28</v>
      </c>
      <c r="K378" t="s">
        <v>29</v>
      </c>
      <c r="L378" t="s">
        <v>30</v>
      </c>
      <c r="M378">
        <v>0</v>
      </c>
      <c r="N378">
        <v>0</v>
      </c>
      <c r="O378" s="17">
        <v>50457</v>
      </c>
      <c r="P378" s="17">
        <v>50456</v>
      </c>
      <c r="Q378">
        <f>20</f>
        <v>20</v>
      </c>
      <c r="R378" t="s">
        <v>273</v>
      </c>
      <c r="S378" t="s">
        <v>145</v>
      </c>
      <c r="T378">
        <v>20</v>
      </c>
      <c r="U378">
        <v>86</v>
      </c>
      <c r="V378">
        <v>15</v>
      </c>
      <c r="W378">
        <v>12.6</v>
      </c>
      <c r="X378">
        <v>27.2</v>
      </c>
      <c r="Z378" t="s">
        <v>32</v>
      </c>
      <c r="AB378" t="s">
        <v>255</v>
      </c>
      <c r="AC378" t="s">
        <v>122</v>
      </c>
    </row>
    <row r="379" spans="1:30" x14ac:dyDescent="0.2">
      <c r="A379" s="3">
        <v>42564</v>
      </c>
      <c r="B379" t="s">
        <v>23</v>
      </c>
      <c r="C379">
        <v>803</v>
      </c>
      <c r="D379">
        <v>9</v>
      </c>
      <c r="E379">
        <v>2</v>
      </c>
      <c r="F379" t="s">
        <v>33</v>
      </c>
      <c r="G379" t="s">
        <v>25</v>
      </c>
      <c r="H379" t="s">
        <v>26</v>
      </c>
      <c r="I379" t="s">
        <v>27</v>
      </c>
      <c r="J379" t="s">
        <v>28</v>
      </c>
      <c r="K379" t="s">
        <v>29</v>
      </c>
      <c r="L379" t="s">
        <v>30</v>
      </c>
      <c r="M379">
        <v>0</v>
      </c>
      <c r="N379">
        <v>0</v>
      </c>
      <c r="O379" s="17">
        <v>50457</v>
      </c>
      <c r="P379" s="17">
        <v>50456</v>
      </c>
      <c r="Q379">
        <f>29-13</f>
        <v>16</v>
      </c>
      <c r="R379" t="s">
        <v>83</v>
      </c>
      <c r="S379" t="s">
        <v>145</v>
      </c>
      <c r="T379">
        <v>19</v>
      </c>
      <c r="U379">
        <v>85</v>
      </c>
      <c r="V379">
        <v>15</v>
      </c>
      <c r="W379">
        <v>12.5</v>
      </c>
      <c r="X379">
        <v>26.5</v>
      </c>
      <c r="Z379" t="s">
        <v>32</v>
      </c>
      <c r="AB379" t="s">
        <v>121</v>
      </c>
      <c r="AC379" t="s">
        <v>122</v>
      </c>
    </row>
    <row r="380" spans="1:30" x14ac:dyDescent="0.2">
      <c r="A380" s="3">
        <v>42536</v>
      </c>
      <c r="B380" t="s">
        <v>23</v>
      </c>
      <c r="C380">
        <v>701</v>
      </c>
      <c r="D380">
        <v>2</v>
      </c>
      <c r="E380">
        <v>1</v>
      </c>
      <c r="F380" t="s">
        <v>33</v>
      </c>
      <c r="G380" t="s">
        <v>25</v>
      </c>
      <c r="H380" t="s">
        <v>26</v>
      </c>
      <c r="I380" t="s">
        <v>27</v>
      </c>
      <c r="J380" t="s">
        <v>34</v>
      </c>
      <c r="K380" t="s">
        <v>187</v>
      </c>
      <c r="L380" t="s">
        <v>30</v>
      </c>
      <c r="M380">
        <v>0</v>
      </c>
      <c r="N380">
        <v>1</v>
      </c>
      <c r="O380" s="17">
        <v>50459</v>
      </c>
      <c r="P380" s="17">
        <v>50458</v>
      </c>
      <c r="Q380">
        <f>32-14.5</f>
        <v>17.5</v>
      </c>
      <c r="R380" t="s">
        <v>61</v>
      </c>
      <c r="S380" t="s">
        <v>145</v>
      </c>
      <c r="T380">
        <v>19</v>
      </c>
      <c r="U380">
        <v>76</v>
      </c>
      <c r="V380">
        <v>14</v>
      </c>
      <c r="W380">
        <v>11.8</v>
      </c>
      <c r="X380">
        <v>27.5</v>
      </c>
      <c r="Z380" t="s">
        <v>32</v>
      </c>
      <c r="AB380" t="s">
        <v>44</v>
      </c>
      <c r="AC380" t="s">
        <v>59</v>
      </c>
    </row>
    <row r="381" spans="1:30" x14ac:dyDescent="0.2">
      <c r="A381" s="3">
        <v>42549</v>
      </c>
      <c r="B381" t="s">
        <v>23</v>
      </c>
      <c r="C381">
        <v>701</v>
      </c>
      <c r="D381">
        <v>4</v>
      </c>
      <c r="E381">
        <v>2</v>
      </c>
      <c r="F381" t="s">
        <v>24</v>
      </c>
      <c r="G381" t="s">
        <v>25</v>
      </c>
      <c r="H381" t="s">
        <v>26</v>
      </c>
      <c r="I381" t="s">
        <v>27</v>
      </c>
      <c r="J381" t="s">
        <v>28</v>
      </c>
      <c r="K381" t="s">
        <v>29</v>
      </c>
      <c r="L381" t="s">
        <v>30</v>
      </c>
      <c r="M381">
        <v>0</v>
      </c>
      <c r="N381">
        <v>0</v>
      </c>
      <c r="O381" s="17">
        <v>50459</v>
      </c>
      <c r="P381" s="17">
        <v>50458</v>
      </c>
      <c r="Q381">
        <f>33.5-12</f>
        <v>21.5</v>
      </c>
      <c r="R381" t="s">
        <v>75</v>
      </c>
      <c r="S381" t="s">
        <v>145</v>
      </c>
      <c r="T381">
        <v>19.5</v>
      </c>
      <c r="U381">
        <v>81</v>
      </c>
      <c r="V381">
        <v>17</v>
      </c>
      <c r="W381">
        <v>11.5</v>
      </c>
      <c r="X381">
        <v>28.5</v>
      </c>
      <c r="Z381" t="s">
        <v>32</v>
      </c>
      <c r="AB381" t="s">
        <v>149</v>
      </c>
      <c r="AC381" t="s">
        <v>122</v>
      </c>
    </row>
    <row r="382" spans="1:30" x14ac:dyDescent="0.2">
      <c r="A382" s="3">
        <v>42563</v>
      </c>
      <c r="B382" t="s">
        <v>23</v>
      </c>
      <c r="C382">
        <v>701</v>
      </c>
      <c r="D382">
        <v>1</v>
      </c>
      <c r="E382">
        <v>2</v>
      </c>
      <c r="F382" t="s">
        <v>33</v>
      </c>
      <c r="G382" t="s">
        <v>25</v>
      </c>
      <c r="H382" t="s">
        <v>26</v>
      </c>
      <c r="I382" t="s">
        <v>27</v>
      </c>
      <c r="J382" t="s">
        <v>28</v>
      </c>
      <c r="K382" t="s">
        <v>29</v>
      </c>
      <c r="L382" t="s">
        <v>30</v>
      </c>
      <c r="M382">
        <v>0</v>
      </c>
      <c r="N382">
        <v>0</v>
      </c>
      <c r="O382" s="17">
        <v>50459</v>
      </c>
      <c r="P382" s="17">
        <v>50458</v>
      </c>
      <c r="Q382">
        <f>35-9.5</f>
        <v>25.5</v>
      </c>
      <c r="R382" t="s">
        <v>192</v>
      </c>
      <c r="S382" t="s">
        <v>32</v>
      </c>
      <c r="T382">
        <v>18</v>
      </c>
      <c r="U382">
        <v>75</v>
      </c>
      <c r="V382">
        <v>16</v>
      </c>
      <c r="W382">
        <v>12.8</v>
      </c>
      <c r="X382">
        <v>26.9</v>
      </c>
      <c r="Z382" t="s">
        <v>32</v>
      </c>
      <c r="AB382" t="s">
        <v>53</v>
      </c>
      <c r="AC382" t="s">
        <v>122</v>
      </c>
    </row>
    <row r="383" spans="1:30" x14ac:dyDescent="0.2">
      <c r="A383" s="3">
        <v>42574</v>
      </c>
      <c r="B383" t="s">
        <v>23</v>
      </c>
      <c r="C383">
        <v>701</v>
      </c>
      <c r="D383">
        <v>2</v>
      </c>
      <c r="E383">
        <v>2</v>
      </c>
      <c r="F383" t="s">
        <v>24</v>
      </c>
      <c r="G383" t="s">
        <v>25</v>
      </c>
      <c r="H383" t="s">
        <v>26</v>
      </c>
      <c r="I383" t="s">
        <v>27</v>
      </c>
      <c r="J383" t="s">
        <v>28</v>
      </c>
      <c r="K383" t="s">
        <v>29</v>
      </c>
      <c r="L383" t="s">
        <v>30</v>
      </c>
      <c r="M383">
        <v>0</v>
      </c>
      <c r="N383">
        <v>0</v>
      </c>
      <c r="O383" s="17">
        <v>50459</v>
      </c>
      <c r="P383" s="17">
        <v>50458</v>
      </c>
      <c r="Q383">
        <f>30-12</f>
        <v>18</v>
      </c>
      <c r="R383" t="s">
        <v>31</v>
      </c>
      <c r="S383" t="s">
        <v>32</v>
      </c>
      <c r="T383">
        <v>18.5</v>
      </c>
      <c r="U383">
        <v>80.5</v>
      </c>
      <c r="V383">
        <v>18</v>
      </c>
      <c r="W383">
        <v>12.6</v>
      </c>
      <c r="X383">
        <v>27.8</v>
      </c>
      <c r="Z383" t="s">
        <v>145</v>
      </c>
      <c r="AB383" t="s">
        <v>582</v>
      </c>
      <c r="AC383" t="s">
        <v>59</v>
      </c>
      <c r="AD383" t="s">
        <v>708</v>
      </c>
    </row>
    <row r="384" spans="1:30" x14ac:dyDescent="0.2">
      <c r="A384" s="3">
        <v>42575</v>
      </c>
      <c r="B384" t="s">
        <v>23</v>
      </c>
      <c r="C384">
        <v>701</v>
      </c>
      <c r="D384">
        <v>2</v>
      </c>
      <c r="E384">
        <v>2</v>
      </c>
      <c r="F384" t="s">
        <v>24</v>
      </c>
      <c r="G384" t="s">
        <v>25</v>
      </c>
      <c r="H384" t="s">
        <v>26</v>
      </c>
      <c r="I384" t="s">
        <v>27</v>
      </c>
      <c r="J384" t="s">
        <v>28</v>
      </c>
      <c r="K384" t="s">
        <v>29</v>
      </c>
      <c r="L384" t="s">
        <v>30</v>
      </c>
      <c r="M384">
        <v>0</v>
      </c>
      <c r="N384">
        <v>0</v>
      </c>
      <c r="O384" s="17">
        <v>50459</v>
      </c>
      <c r="P384" s="17">
        <v>50458</v>
      </c>
      <c r="Q384">
        <f>36-14</f>
        <v>22</v>
      </c>
      <c r="R384" t="s">
        <v>31</v>
      </c>
      <c r="S384" t="s">
        <v>32</v>
      </c>
      <c r="T384">
        <v>18</v>
      </c>
      <c r="U384">
        <v>80</v>
      </c>
      <c r="V384">
        <v>18</v>
      </c>
      <c r="W384">
        <v>12.5</v>
      </c>
      <c r="X384">
        <v>25.9</v>
      </c>
      <c r="Z384" t="s">
        <v>145</v>
      </c>
      <c r="AB384" t="s">
        <v>582</v>
      </c>
      <c r="AC384" t="s">
        <v>59</v>
      </c>
    </row>
    <row r="385" spans="1:30" x14ac:dyDescent="0.2">
      <c r="A385" s="3">
        <v>42576</v>
      </c>
      <c r="B385" t="s">
        <v>23</v>
      </c>
      <c r="C385">
        <v>701</v>
      </c>
      <c r="D385">
        <v>6</v>
      </c>
      <c r="E385">
        <v>2</v>
      </c>
      <c r="F385" t="s">
        <v>24</v>
      </c>
      <c r="G385" t="s">
        <v>25</v>
      </c>
      <c r="H385" t="s">
        <v>26</v>
      </c>
      <c r="I385" t="s">
        <v>27</v>
      </c>
      <c r="J385" t="s">
        <v>28</v>
      </c>
      <c r="K385" t="s">
        <v>29</v>
      </c>
      <c r="L385" t="s">
        <v>30</v>
      </c>
      <c r="M385">
        <v>0</v>
      </c>
      <c r="N385">
        <v>0</v>
      </c>
      <c r="O385" s="17">
        <v>50459</v>
      </c>
      <c r="P385" s="17">
        <v>50458</v>
      </c>
      <c r="Q385">
        <f>28.5-11.5</f>
        <v>17</v>
      </c>
      <c r="R385" t="s">
        <v>31</v>
      </c>
      <c r="S385" t="s">
        <v>32</v>
      </c>
      <c r="T385">
        <v>17</v>
      </c>
      <c r="U385">
        <v>81.5</v>
      </c>
      <c r="V385">
        <v>18</v>
      </c>
      <c r="W385">
        <v>12</v>
      </c>
      <c r="X385">
        <v>27</v>
      </c>
      <c r="Z385" t="s">
        <v>145</v>
      </c>
      <c r="AB385" t="s">
        <v>121</v>
      </c>
      <c r="AC385" t="s">
        <v>122</v>
      </c>
    </row>
    <row r="386" spans="1:30" x14ac:dyDescent="0.2">
      <c r="A386" s="3">
        <v>42592</v>
      </c>
      <c r="B386" t="s">
        <v>23</v>
      </c>
      <c r="C386">
        <v>701</v>
      </c>
      <c r="D386">
        <v>5</v>
      </c>
      <c r="E386">
        <v>2</v>
      </c>
      <c r="F386" t="s">
        <v>64</v>
      </c>
      <c r="G386" t="s">
        <v>25</v>
      </c>
      <c r="H386" t="s">
        <v>26</v>
      </c>
      <c r="I386" t="s">
        <v>27</v>
      </c>
      <c r="J386" t="s">
        <v>28</v>
      </c>
      <c r="K386" t="s">
        <v>29</v>
      </c>
      <c r="L386" t="s">
        <v>30</v>
      </c>
      <c r="M386">
        <v>0</v>
      </c>
      <c r="N386">
        <v>0</v>
      </c>
      <c r="O386" s="17" t="s">
        <v>1421</v>
      </c>
      <c r="P386" s="17" t="s">
        <v>1422</v>
      </c>
      <c r="Q386">
        <f>31-13</f>
        <v>18</v>
      </c>
      <c r="R386" t="s">
        <v>31</v>
      </c>
      <c r="S386" t="s">
        <v>32</v>
      </c>
      <c r="T386">
        <v>18</v>
      </c>
      <c r="U386">
        <v>83</v>
      </c>
      <c r="V386">
        <v>18</v>
      </c>
      <c r="W386">
        <v>12.9</v>
      </c>
      <c r="X386">
        <v>28.4</v>
      </c>
      <c r="Y386" t="s">
        <v>1423</v>
      </c>
      <c r="Z386" t="s">
        <v>145</v>
      </c>
      <c r="AA386" t="s">
        <v>260</v>
      </c>
      <c r="AB386" t="s">
        <v>53</v>
      </c>
      <c r="AC386" t="s">
        <v>59</v>
      </c>
    </row>
    <row r="387" spans="1:30" x14ac:dyDescent="0.2">
      <c r="A387" s="3">
        <v>42536</v>
      </c>
      <c r="B387" t="s">
        <v>23</v>
      </c>
      <c r="C387">
        <v>801</v>
      </c>
      <c r="D387">
        <v>9</v>
      </c>
      <c r="E387">
        <v>1</v>
      </c>
      <c r="F387" t="s">
        <v>33</v>
      </c>
      <c r="G387" t="s">
        <v>25</v>
      </c>
      <c r="H387" t="s">
        <v>26</v>
      </c>
      <c r="I387" t="s">
        <v>27</v>
      </c>
      <c r="J387" t="s">
        <v>34</v>
      </c>
      <c r="K387" t="s">
        <v>188</v>
      </c>
      <c r="L387" t="s">
        <v>30</v>
      </c>
      <c r="M387">
        <v>0</v>
      </c>
      <c r="N387">
        <v>1</v>
      </c>
      <c r="O387" s="17">
        <v>50462</v>
      </c>
      <c r="P387" s="17">
        <v>50461</v>
      </c>
      <c r="Q387">
        <f>18.5-3.5</f>
        <v>15</v>
      </c>
      <c r="R387" t="s">
        <v>31</v>
      </c>
      <c r="S387" t="s">
        <v>32</v>
      </c>
      <c r="T387">
        <v>20</v>
      </c>
      <c r="U387">
        <v>78</v>
      </c>
      <c r="V387">
        <v>13</v>
      </c>
      <c r="W387">
        <v>12.7</v>
      </c>
      <c r="X387">
        <v>26.8</v>
      </c>
      <c r="Z387" t="s">
        <v>32</v>
      </c>
      <c r="AB387" t="s">
        <v>44</v>
      </c>
      <c r="AC387" t="s">
        <v>59</v>
      </c>
    </row>
    <row r="388" spans="1:30" x14ac:dyDescent="0.2">
      <c r="A388" s="3">
        <v>42537</v>
      </c>
      <c r="B388" t="s">
        <v>23</v>
      </c>
      <c r="C388">
        <v>703</v>
      </c>
      <c r="D388">
        <v>10</v>
      </c>
      <c r="E388">
        <v>1</v>
      </c>
      <c r="F388" t="s">
        <v>33</v>
      </c>
      <c r="G388" t="s">
        <v>25</v>
      </c>
      <c r="H388" t="s">
        <v>26</v>
      </c>
      <c r="I388" t="s">
        <v>27</v>
      </c>
      <c r="J388" t="s">
        <v>34</v>
      </c>
      <c r="K388" t="s">
        <v>123</v>
      </c>
      <c r="L388" t="s">
        <v>30</v>
      </c>
      <c r="M388">
        <v>0</v>
      </c>
      <c r="N388">
        <v>1</v>
      </c>
      <c r="O388" s="17">
        <v>50466</v>
      </c>
      <c r="P388" s="17">
        <v>50465</v>
      </c>
      <c r="Q388">
        <v>9</v>
      </c>
      <c r="R388" t="s">
        <v>31</v>
      </c>
      <c r="S388" t="s">
        <v>32</v>
      </c>
      <c r="T388">
        <v>17</v>
      </c>
      <c r="U388">
        <v>60</v>
      </c>
      <c r="V388">
        <v>10</v>
      </c>
      <c r="W388">
        <v>11.5</v>
      </c>
      <c r="X388">
        <v>23.8</v>
      </c>
      <c r="Z388" t="s">
        <v>32</v>
      </c>
      <c r="AB388" t="s">
        <v>60</v>
      </c>
      <c r="AC388" t="s">
        <v>122</v>
      </c>
    </row>
    <row r="389" spans="1:30" x14ac:dyDescent="0.2">
      <c r="A389" s="3">
        <v>42549</v>
      </c>
      <c r="B389" t="s">
        <v>23</v>
      </c>
      <c r="C389">
        <v>703</v>
      </c>
      <c r="D389">
        <v>8</v>
      </c>
      <c r="E389">
        <v>2</v>
      </c>
      <c r="F389" t="s">
        <v>24</v>
      </c>
      <c r="G389" t="s">
        <v>25</v>
      </c>
      <c r="H389" t="s">
        <v>26</v>
      </c>
      <c r="I389" t="s">
        <v>27</v>
      </c>
      <c r="J389" t="s">
        <v>28</v>
      </c>
      <c r="K389" t="s">
        <v>123</v>
      </c>
      <c r="L389" t="s">
        <v>30</v>
      </c>
      <c r="M389">
        <v>0</v>
      </c>
      <c r="N389">
        <v>0</v>
      </c>
      <c r="O389" s="17">
        <v>50466</v>
      </c>
      <c r="P389" s="17">
        <v>50485</v>
      </c>
      <c r="Q389">
        <f>22-12.5</f>
        <v>9.5</v>
      </c>
      <c r="R389" t="s">
        <v>31</v>
      </c>
      <c r="S389" t="s">
        <v>32</v>
      </c>
      <c r="T389">
        <v>18</v>
      </c>
      <c r="U389">
        <v>72.5</v>
      </c>
      <c r="V389">
        <v>10</v>
      </c>
      <c r="W389">
        <v>11.4</v>
      </c>
      <c r="X389">
        <v>23.8</v>
      </c>
      <c r="Z389" t="s">
        <v>32</v>
      </c>
      <c r="AB389" t="s">
        <v>121</v>
      </c>
      <c r="AC389" t="s">
        <v>122</v>
      </c>
    </row>
    <row r="390" spans="1:30" x14ac:dyDescent="0.2">
      <c r="A390" s="3">
        <v>42550</v>
      </c>
      <c r="B390" t="s">
        <v>23</v>
      </c>
      <c r="C390">
        <v>703</v>
      </c>
      <c r="D390">
        <v>10</v>
      </c>
      <c r="E390">
        <v>1</v>
      </c>
      <c r="F390" t="s">
        <v>24</v>
      </c>
      <c r="G390" t="s">
        <v>25</v>
      </c>
      <c r="H390" t="s">
        <v>26</v>
      </c>
      <c r="I390" t="s">
        <v>27</v>
      </c>
      <c r="J390" t="s">
        <v>28</v>
      </c>
      <c r="K390" t="s">
        <v>123</v>
      </c>
      <c r="L390" t="s">
        <v>30</v>
      </c>
      <c r="M390">
        <v>0</v>
      </c>
      <c r="N390">
        <v>0</v>
      </c>
      <c r="O390" s="17">
        <v>50466</v>
      </c>
      <c r="P390" s="17">
        <v>50465</v>
      </c>
      <c r="Q390">
        <f>22.5-12</f>
        <v>10.5</v>
      </c>
      <c r="R390" t="s">
        <v>31</v>
      </c>
      <c r="S390" t="s">
        <v>32</v>
      </c>
      <c r="T390">
        <v>18</v>
      </c>
      <c r="U390">
        <v>71.5</v>
      </c>
      <c r="V390">
        <v>14</v>
      </c>
      <c r="W390">
        <v>10.8</v>
      </c>
      <c r="X390">
        <v>23.1</v>
      </c>
      <c r="Z390" t="s">
        <v>32</v>
      </c>
      <c r="AB390" t="s">
        <v>53</v>
      </c>
      <c r="AC390" t="s">
        <v>59</v>
      </c>
    </row>
    <row r="391" spans="1:30" x14ac:dyDescent="0.2">
      <c r="A391" s="3">
        <v>42551</v>
      </c>
      <c r="B391" t="s">
        <v>23</v>
      </c>
      <c r="C391">
        <v>703</v>
      </c>
      <c r="D391">
        <v>8</v>
      </c>
      <c r="E391">
        <v>2</v>
      </c>
      <c r="F391" t="s">
        <v>24</v>
      </c>
      <c r="G391" t="s">
        <v>25</v>
      </c>
      <c r="H391" t="s">
        <v>26</v>
      </c>
      <c r="I391" t="s">
        <v>27</v>
      </c>
      <c r="J391" t="s">
        <v>28</v>
      </c>
      <c r="K391" t="s">
        <v>123</v>
      </c>
      <c r="L391" t="s">
        <v>30</v>
      </c>
      <c r="M391">
        <v>0</v>
      </c>
      <c r="N391">
        <v>0</v>
      </c>
      <c r="O391" s="17">
        <v>50466</v>
      </c>
      <c r="P391" s="17">
        <v>50465</v>
      </c>
      <c r="Q391">
        <f>21-12</f>
        <v>9</v>
      </c>
      <c r="R391" t="s">
        <v>31</v>
      </c>
      <c r="S391" t="s">
        <v>32</v>
      </c>
      <c r="T391">
        <v>19.5</v>
      </c>
      <c r="U391">
        <v>71</v>
      </c>
      <c r="V391">
        <v>14</v>
      </c>
      <c r="W391">
        <v>11.9</v>
      </c>
      <c r="X391">
        <v>22.5</v>
      </c>
      <c r="Z391" t="s">
        <v>32</v>
      </c>
      <c r="AB391" t="s">
        <v>44</v>
      </c>
      <c r="AC391" t="s">
        <v>116</v>
      </c>
      <c r="AD391" t="s">
        <v>343</v>
      </c>
    </row>
    <row r="392" spans="1:30" x14ac:dyDescent="0.2">
      <c r="A392" s="3">
        <v>42537</v>
      </c>
      <c r="B392" t="s">
        <v>23</v>
      </c>
      <c r="C392">
        <v>701</v>
      </c>
      <c r="D392">
        <v>1</v>
      </c>
      <c r="E392">
        <v>2</v>
      </c>
      <c r="F392" t="s">
        <v>33</v>
      </c>
      <c r="G392" t="s">
        <v>25</v>
      </c>
      <c r="H392" t="s">
        <v>26</v>
      </c>
      <c r="I392" t="s">
        <v>27</v>
      </c>
      <c r="J392" t="s">
        <v>34</v>
      </c>
      <c r="K392" t="s">
        <v>187</v>
      </c>
      <c r="L392" t="s">
        <v>35</v>
      </c>
      <c r="M392">
        <v>0</v>
      </c>
      <c r="N392">
        <v>1</v>
      </c>
      <c r="O392" s="17">
        <v>50468</v>
      </c>
      <c r="P392" s="17">
        <v>50467</v>
      </c>
      <c r="Q392">
        <f>27.5-2</f>
        <v>25.5</v>
      </c>
      <c r="R392" t="s">
        <v>39</v>
      </c>
      <c r="T392">
        <v>21</v>
      </c>
      <c r="U392">
        <v>91</v>
      </c>
      <c r="V392">
        <v>16</v>
      </c>
      <c r="W392">
        <v>13.9</v>
      </c>
      <c r="X392">
        <v>31.1</v>
      </c>
      <c r="Z392" t="s">
        <v>32</v>
      </c>
      <c r="AB392" t="s">
        <v>60</v>
      </c>
      <c r="AC392" t="s">
        <v>122</v>
      </c>
    </row>
    <row r="393" spans="1:30" x14ac:dyDescent="0.2">
      <c r="A393" s="3">
        <v>42551</v>
      </c>
      <c r="B393" t="s">
        <v>23</v>
      </c>
      <c r="C393">
        <v>701</v>
      </c>
      <c r="D393">
        <v>1</v>
      </c>
      <c r="E393">
        <v>2</v>
      </c>
      <c r="F393" t="s">
        <v>24</v>
      </c>
      <c r="G393" t="s">
        <v>25</v>
      </c>
      <c r="H393" t="s">
        <v>26</v>
      </c>
      <c r="I393" t="s">
        <v>27</v>
      </c>
      <c r="J393" t="s">
        <v>28</v>
      </c>
      <c r="K393" t="s">
        <v>29</v>
      </c>
      <c r="L393" t="s">
        <v>35</v>
      </c>
      <c r="M393">
        <v>0</v>
      </c>
      <c r="N393">
        <v>0</v>
      </c>
      <c r="O393" s="17">
        <v>50468</v>
      </c>
      <c r="P393" s="17">
        <v>50467</v>
      </c>
      <c r="Q393">
        <f>40-16.5</f>
        <v>23.5</v>
      </c>
      <c r="R393" t="s">
        <v>39</v>
      </c>
      <c r="T393">
        <v>20</v>
      </c>
      <c r="U393">
        <v>92</v>
      </c>
      <c r="V393">
        <v>17</v>
      </c>
      <c r="W393">
        <v>14</v>
      </c>
      <c r="X393">
        <v>29.6</v>
      </c>
      <c r="Z393" t="s">
        <v>32</v>
      </c>
    </row>
    <row r="394" spans="1:30" x14ac:dyDescent="0.2">
      <c r="A394" s="3">
        <v>42564</v>
      </c>
      <c r="B394" t="s">
        <v>23</v>
      </c>
      <c r="C394">
        <v>701</v>
      </c>
      <c r="D394">
        <v>6</v>
      </c>
      <c r="E394">
        <v>2</v>
      </c>
      <c r="F394" t="s">
        <v>33</v>
      </c>
      <c r="G394" t="s">
        <v>25</v>
      </c>
      <c r="H394" t="s">
        <v>26</v>
      </c>
      <c r="I394" t="s">
        <v>27</v>
      </c>
      <c r="J394" t="s">
        <v>28</v>
      </c>
      <c r="K394" t="s">
        <v>29</v>
      </c>
      <c r="L394" t="s">
        <v>35</v>
      </c>
      <c r="M394">
        <v>0</v>
      </c>
      <c r="N394">
        <v>0</v>
      </c>
      <c r="O394" s="17">
        <v>50468</v>
      </c>
      <c r="P394" s="17">
        <v>50467</v>
      </c>
      <c r="Q394">
        <f>36-12</f>
        <v>24</v>
      </c>
      <c r="R394" t="s">
        <v>39</v>
      </c>
      <c r="T394">
        <v>20</v>
      </c>
      <c r="U394">
        <v>92</v>
      </c>
      <c r="V394">
        <v>16</v>
      </c>
      <c r="W394">
        <v>13.4</v>
      </c>
      <c r="X394">
        <v>29.6</v>
      </c>
      <c r="Z394" t="s">
        <v>145</v>
      </c>
      <c r="AA394" t="s">
        <v>260</v>
      </c>
      <c r="AB394" t="s">
        <v>121</v>
      </c>
      <c r="AC394" t="s">
        <v>122</v>
      </c>
    </row>
    <row r="395" spans="1:30" x14ac:dyDescent="0.2">
      <c r="A395" s="3">
        <v>42565</v>
      </c>
      <c r="B395" t="s">
        <v>23</v>
      </c>
      <c r="C395">
        <v>701</v>
      </c>
      <c r="D395">
        <v>6</v>
      </c>
      <c r="E395">
        <v>2</v>
      </c>
      <c r="F395" t="s">
        <v>33</v>
      </c>
      <c r="G395" t="s">
        <v>25</v>
      </c>
      <c r="H395" t="s">
        <v>26</v>
      </c>
      <c r="I395" t="s">
        <v>27</v>
      </c>
      <c r="J395" t="s">
        <v>28</v>
      </c>
      <c r="K395" t="s">
        <v>29</v>
      </c>
      <c r="L395" t="s">
        <v>35</v>
      </c>
      <c r="M395">
        <v>0</v>
      </c>
      <c r="N395">
        <v>0</v>
      </c>
      <c r="O395" s="17">
        <v>50468</v>
      </c>
      <c r="P395" s="17">
        <v>50467</v>
      </c>
      <c r="Q395">
        <f>36-13</f>
        <v>23</v>
      </c>
      <c r="R395" t="s">
        <v>39</v>
      </c>
      <c r="T395">
        <v>21</v>
      </c>
      <c r="U395">
        <v>91</v>
      </c>
      <c r="V395">
        <v>17</v>
      </c>
      <c r="W395">
        <v>13.3</v>
      </c>
      <c r="X395">
        <v>28.6</v>
      </c>
      <c r="Z395" t="s">
        <v>145</v>
      </c>
      <c r="AB395" t="s">
        <v>121</v>
      </c>
      <c r="AC395" t="s">
        <v>254</v>
      </c>
    </row>
    <row r="396" spans="1:30" x14ac:dyDescent="0.2">
      <c r="A396" s="3">
        <v>42575</v>
      </c>
      <c r="B396" t="s">
        <v>23</v>
      </c>
      <c r="C396">
        <v>701</v>
      </c>
      <c r="D396">
        <v>4</v>
      </c>
      <c r="E396">
        <v>2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 t="s">
        <v>29</v>
      </c>
      <c r="L396" t="s">
        <v>35</v>
      </c>
      <c r="M396">
        <v>0</v>
      </c>
      <c r="N396">
        <v>0</v>
      </c>
      <c r="O396" s="17">
        <v>50468</v>
      </c>
      <c r="P396" s="17">
        <v>50467</v>
      </c>
      <c r="Q396">
        <v>23</v>
      </c>
      <c r="R396" t="s">
        <v>39</v>
      </c>
      <c r="T396">
        <v>19</v>
      </c>
      <c r="U396">
        <v>93</v>
      </c>
      <c r="V396">
        <v>20</v>
      </c>
      <c r="W396">
        <v>14</v>
      </c>
      <c r="X396">
        <v>29.7</v>
      </c>
      <c r="Z396" t="s">
        <v>32</v>
      </c>
      <c r="AB396" t="s">
        <v>582</v>
      </c>
      <c r="AC396" t="s">
        <v>59</v>
      </c>
    </row>
    <row r="397" spans="1:30" x14ac:dyDescent="0.2">
      <c r="A397" s="3">
        <v>42576</v>
      </c>
      <c r="B397" t="s">
        <v>23</v>
      </c>
      <c r="C397">
        <v>703</v>
      </c>
      <c r="D397">
        <v>2</v>
      </c>
      <c r="E397">
        <v>1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 t="s">
        <v>29</v>
      </c>
      <c r="L397" t="s">
        <v>35</v>
      </c>
      <c r="M397">
        <v>0</v>
      </c>
      <c r="N397">
        <v>0</v>
      </c>
      <c r="O397" s="17">
        <v>50468</v>
      </c>
      <c r="P397" s="17">
        <v>50467</v>
      </c>
      <c r="Q397">
        <f>31-9</f>
        <v>22</v>
      </c>
      <c r="R397" t="s">
        <v>63</v>
      </c>
      <c r="T397">
        <v>21</v>
      </c>
      <c r="U397">
        <v>93</v>
      </c>
      <c r="V397">
        <v>18</v>
      </c>
      <c r="W397">
        <v>13.9</v>
      </c>
      <c r="X397">
        <v>29.3</v>
      </c>
      <c r="Z397" t="s">
        <v>32</v>
      </c>
      <c r="AB397" t="s">
        <v>121</v>
      </c>
      <c r="AC397" t="s">
        <v>122</v>
      </c>
    </row>
    <row r="398" spans="1:30" x14ac:dyDescent="0.2">
      <c r="A398" s="3">
        <v>42537</v>
      </c>
      <c r="B398" t="s">
        <v>23</v>
      </c>
      <c r="C398">
        <v>701</v>
      </c>
      <c r="D398">
        <v>9</v>
      </c>
      <c r="E398">
        <v>1</v>
      </c>
      <c r="F398" t="s">
        <v>33</v>
      </c>
      <c r="G398" t="s">
        <v>25</v>
      </c>
      <c r="H398" t="s">
        <v>26</v>
      </c>
      <c r="I398" t="s">
        <v>27</v>
      </c>
      <c r="J398" t="s">
        <v>34</v>
      </c>
      <c r="K398" t="s">
        <v>123</v>
      </c>
      <c r="L398" t="s">
        <v>35</v>
      </c>
      <c r="M398">
        <v>0</v>
      </c>
      <c r="N398">
        <v>1</v>
      </c>
      <c r="O398" s="17">
        <v>50470</v>
      </c>
      <c r="P398" s="17">
        <v>50469</v>
      </c>
      <c r="Q398">
        <f>21-12</f>
        <v>9</v>
      </c>
      <c r="R398" t="s">
        <v>31</v>
      </c>
      <c r="T398">
        <v>18</v>
      </c>
      <c r="U398">
        <v>59</v>
      </c>
      <c r="V398">
        <v>12</v>
      </c>
      <c r="W398">
        <v>11.8</v>
      </c>
      <c r="X398">
        <v>25.8</v>
      </c>
      <c r="Z398" t="s">
        <v>32</v>
      </c>
      <c r="AB398" t="s">
        <v>44</v>
      </c>
      <c r="AC398" t="s">
        <v>122</v>
      </c>
    </row>
    <row r="399" spans="1:30" x14ac:dyDescent="0.2">
      <c r="A399" s="3">
        <v>42550</v>
      </c>
      <c r="B399" t="s">
        <v>23</v>
      </c>
      <c r="C399">
        <v>701</v>
      </c>
      <c r="D399">
        <v>8</v>
      </c>
      <c r="E399">
        <v>1</v>
      </c>
      <c r="F399" t="s">
        <v>24</v>
      </c>
      <c r="G399" t="s">
        <v>25</v>
      </c>
      <c r="H399" t="s">
        <v>26</v>
      </c>
      <c r="I399" t="s">
        <v>27</v>
      </c>
      <c r="J399" t="s">
        <v>28</v>
      </c>
      <c r="K399" t="s">
        <v>123</v>
      </c>
      <c r="L399" t="s">
        <v>35</v>
      </c>
      <c r="M399">
        <v>0</v>
      </c>
      <c r="N399">
        <v>0</v>
      </c>
      <c r="O399" s="17">
        <v>50470</v>
      </c>
      <c r="P399" s="17">
        <v>50469</v>
      </c>
      <c r="Q399">
        <f>27-12.5</f>
        <v>14.5</v>
      </c>
      <c r="R399" t="s">
        <v>63</v>
      </c>
      <c r="T399">
        <v>18.5</v>
      </c>
      <c r="U399">
        <v>74.5</v>
      </c>
      <c r="V399">
        <v>14.5</v>
      </c>
      <c r="W399">
        <v>12.4</v>
      </c>
      <c r="X399">
        <v>25.7</v>
      </c>
      <c r="Z399" t="s">
        <v>32</v>
      </c>
      <c r="AB399" t="s">
        <v>255</v>
      </c>
      <c r="AC399" t="s">
        <v>59</v>
      </c>
    </row>
    <row r="400" spans="1:30" x14ac:dyDescent="0.2">
      <c r="A400" s="3">
        <v>42551</v>
      </c>
      <c r="B400" t="s">
        <v>23</v>
      </c>
      <c r="C400">
        <v>701</v>
      </c>
      <c r="D400">
        <v>8</v>
      </c>
      <c r="E400">
        <v>1</v>
      </c>
      <c r="F400" t="s">
        <v>24</v>
      </c>
      <c r="G400" t="s">
        <v>25</v>
      </c>
      <c r="H400" t="s">
        <v>26</v>
      </c>
      <c r="I400" t="s">
        <v>27</v>
      </c>
      <c r="J400" t="s">
        <v>28</v>
      </c>
      <c r="K400" t="s">
        <v>123</v>
      </c>
      <c r="L400" t="s">
        <v>35</v>
      </c>
      <c r="M400">
        <v>0</v>
      </c>
      <c r="N400">
        <v>0</v>
      </c>
      <c r="O400" s="17">
        <v>50470</v>
      </c>
      <c r="P400" s="17">
        <v>50469</v>
      </c>
      <c r="Q400">
        <f>27-13.5</f>
        <v>13.5</v>
      </c>
      <c r="R400" t="s">
        <v>63</v>
      </c>
      <c r="T400">
        <v>18</v>
      </c>
      <c r="U400">
        <v>74</v>
      </c>
      <c r="V400">
        <v>13</v>
      </c>
      <c r="W400">
        <v>12.4</v>
      </c>
      <c r="X400">
        <v>25.8</v>
      </c>
      <c r="Z400" t="s">
        <v>32</v>
      </c>
      <c r="AB400" t="s">
        <v>44</v>
      </c>
      <c r="AC400" t="s">
        <v>116</v>
      </c>
    </row>
    <row r="401" spans="1:30" x14ac:dyDescent="0.2">
      <c r="A401" s="3">
        <v>42564</v>
      </c>
      <c r="B401" t="s">
        <v>23</v>
      </c>
      <c r="C401">
        <v>703</v>
      </c>
      <c r="D401">
        <v>2</v>
      </c>
      <c r="E401">
        <v>2</v>
      </c>
      <c r="F401" t="s">
        <v>33</v>
      </c>
      <c r="G401" t="s">
        <v>25</v>
      </c>
      <c r="H401" t="s">
        <v>26</v>
      </c>
      <c r="I401" t="s">
        <v>27</v>
      </c>
      <c r="J401" t="s">
        <v>28</v>
      </c>
      <c r="K401" t="s">
        <v>123</v>
      </c>
      <c r="L401" t="s">
        <v>35</v>
      </c>
      <c r="M401">
        <v>0</v>
      </c>
      <c r="N401">
        <v>0</v>
      </c>
      <c r="O401" s="17">
        <v>50470</v>
      </c>
      <c r="P401" s="17">
        <v>50469</v>
      </c>
      <c r="Q401">
        <f>24-9</f>
        <v>15</v>
      </c>
      <c r="R401" t="s">
        <v>63</v>
      </c>
      <c r="T401">
        <v>20</v>
      </c>
      <c r="U401">
        <v>74</v>
      </c>
      <c r="V401">
        <v>16</v>
      </c>
      <c r="W401">
        <v>12.6</v>
      </c>
      <c r="X401">
        <v>26.8</v>
      </c>
      <c r="Z401" t="s">
        <v>32</v>
      </c>
      <c r="AB401" t="s">
        <v>121</v>
      </c>
      <c r="AC401" t="s">
        <v>122</v>
      </c>
    </row>
    <row r="402" spans="1:30" x14ac:dyDescent="0.2">
      <c r="A402" s="3">
        <v>42565</v>
      </c>
      <c r="B402" t="s">
        <v>23</v>
      </c>
      <c r="C402">
        <v>701</v>
      </c>
      <c r="D402">
        <v>8</v>
      </c>
      <c r="E402">
        <v>2</v>
      </c>
      <c r="F402" t="s">
        <v>33</v>
      </c>
      <c r="G402" t="s">
        <v>25</v>
      </c>
      <c r="H402" t="s">
        <v>26</v>
      </c>
      <c r="I402" t="s">
        <v>27</v>
      </c>
      <c r="J402" t="s">
        <v>28</v>
      </c>
      <c r="K402" t="s">
        <v>123</v>
      </c>
      <c r="L402" t="s">
        <v>35</v>
      </c>
      <c r="M402">
        <v>0</v>
      </c>
      <c r="N402">
        <v>0</v>
      </c>
      <c r="O402" s="17">
        <v>50470</v>
      </c>
      <c r="P402" s="17">
        <v>50469</v>
      </c>
      <c r="Q402">
        <f>26-11</f>
        <v>15</v>
      </c>
      <c r="R402" t="s">
        <v>31</v>
      </c>
      <c r="S402" t="s">
        <v>32</v>
      </c>
      <c r="T402">
        <v>19</v>
      </c>
      <c r="U402">
        <v>71</v>
      </c>
      <c r="V402">
        <v>16</v>
      </c>
      <c r="W402">
        <v>12.7</v>
      </c>
      <c r="X402">
        <v>26.6</v>
      </c>
      <c r="Z402" t="s">
        <v>32</v>
      </c>
      <c r="AB402" t="s">
        <v>121</v>
      </c>
      <c r="AC402" t="s">
        <v>254</v>
      </c>
    </row>
    <row r="403" spans="1:30" x14ac:dyDescent="0.2">
      <c r="A403" s="3">
        <v>42575</v>
      </c>
      <c r="B403" t="s">
        <v>23</v>
      </c>
      <c r="C403">
        <v>703</v>
      </c>
      <c r="D403">
        <v>2</v>
      </c>
      <c r="E403">
        <v>2</v>
      </c>
      <c r="F403" t="s">
        <v>24</v>
      </c>
      <c r="G403" t="s">
        <v>25</v>
      </c>
      <c r="H403" t="s">
        <v>26</v>
      </c>
      <c r="I403" t="s">
        <v>27</v>
      </c>
      <c r="J403" t="s">
        <v>28</v>
      </c>
      <c r="K403" t="s">
        <v>188</v>
      </c>
      <c r="L403" t="s">
        <v>35</v>
      </c>
      <c r="M403">
        <v>0</v>
      </c>
      <c r="N403">
        <v>0</v>
      </c>
      <c r="O403" s="17">
        <v>50470</v>
      </c>
      <c r="P403" s="17">
        <v>50469</v>
      </c>
      <c r="Q403">
        <v>16</v>
      </c>
      <c r="R403" t="s">
        <v>63</v>
      </c>
      <c r="T403">
        <v>18</v>
      </c>
      <c r="U403">
        <v>75.5</v>
      </c>
      <c r="V403">
        <v>15</v>
      </c>
      <c r="W403">
        <v>12.65</v>
      </c>
      <c r="X403">
        <v>27.2</v>
      </c>
      <c r="Z403" t="s">
        <v>32</v>
      </c>
      <c r="AB403" t="s">
        <v>582</v>
      </c>
      <c r="AC403" t="s">
        <v>59</v>
      </c>
    </row>
    <row r="404" spans="1:30" x14ac:dyDescent="0.2">
      <c r="A404" s="3">
        <v>42591</v>
      </c>
      <c r="B404" t="s">
        <v>23</v>
      </c>
      <c r="C404">
        <v>703</v>
      </c>
      <c r="D404">
        <v>1</v>
      </c>
      <c r="E404">
        <v>1</v>
      </c>
      <c r="F404" t="s">
        <v>64</v>
      </c>
      <c r="G404" t="s">
        <v>25</v>
      </c>
      <c r="H404" t="s">
        <v>26</v>
      </c>
      <c r="I404" t="s">
        <v>27</v>
      </c>
      <c r="J404" t="s">
        <v>28</v>
      </c>
      <c r="K404" t="s">
        <v>188</v>
      </c>
      <c r="L404" t="s">
        <v>35</v>
      </c>
      <c r="M404">
        <v>0</v>
      </c>
      <c r="N404">
        <v>0</v>
      </c>
      <c r="O404" s="17" t="s">
        <v>1330</v>
      </c>
      <c r="P404" s="17" t="s">
        <v>1331</v>
      </c>
      <c r="Q404">
        <f>28-12.5</f>
        <v>15.5</v>
      </c>
      <c r="R404" t="s">
        <v>63</v>
      </c>
      <c r="T404">
        <v>19</v>
      </c>
      <c r="U404">
        <v>80</v>
      </c>
      <c r="V404">
        <v>15</v>
      </c>
      <c r="W404">
        <v>13</v>
      </c>
      <c r="X404">
        <v>27.5</v>
      </c>
      <c r="Z404" t="s">
        <v>32</v>
      </c>
      <c r="AB404" t="s">
        <v>44</v>
      </c>
      <c r="AC404" t="s">
        <v>59</v>
      </c>
      <c r="AD404" t="s">
        <v>1332</v>
      </c>
    </row>
    <row r="405" spans="1:30" x14ac:dyDescent="0.2">
      <c r="A405" s="3">
        <v>42530</v>
      </c>
      <c r="B405" t="s">
        <v>23</v>
      </c>
      <c r="C405">
        <v>113</v>
      </c>
      <c r="D405">
        <v>6</v>
      </c>
      <c r="E405">
        <v>1</v>
      </c>
      <c r="F405" t="s">
        <v>33</v>
      </c>
      <c r="G405" t="s">
        <v>25</v>
      </c>
      <c r="H405" t="s">
        <v>26</v>
      </c>
      <c r="I405" t="s">
        <v>27</v>
      </c>
      <c r="J405" t="s">
        <v>34</v>
      </c>
      <c r="K405" t="s">
        <v>188</v>
      </c>
      <c r="L405" t="s">
        <v>30</v>
      </c>
      <c r="M405">
        <v>0</v>
      </c>
      <c r="N405">
        <v>1</v>
      </c>
      <c r="O405" s="17">
        <v>50474</v>
      </c>
      <c r="P405" s="17">
        <v>50473</v>
      </c>
      <c r="Q405">
        <f>19</f>
        <v>19</v>
      </c>
      <c r="R405" t="s">
        <v>61</v>
      </c>
      <c r="S405" t="s">
        <v>32</v>
      </c>
      <c r="T405">
        <v>18</v>
      </c>
      <c r="U405">
        <v>76</v>
      </c>
      <c r="V405">
        <v>14</v>
      </c>
      <c r="W405">
        <v>11.5</v>
      </c>
      <c r="X405">
        <v>26</v>
      </c>
      <c r="Y405" t="s">
        <v>193</v>
      </c>
      <c r="Z405" t="s">
        <v>32</v>
      </c>
      <c r="AB405" t="s">
        <v>53</v>
      </c>
      <c r="AC405" t="s">
        <v>59</v>
      </c>
    </row>
    <row r="406" spans="1:30" x14ac:dyDescent="0.2">
      <c r="A406" s="3">
        <v>42541</v>
      </c>
      <c r="B406" t="s">
        <v>23</v>
      </c>
      <c r="C406">
        <v>113</v>
      </c>
      <c r="D406">
        <v>9</v>
      </c>
      <c r="E406">
        <v>1</v>
      </c>
      <c r="F406" t="s">
        <v>24</v>
      </c>
      <c r="G406" t="s">
        <v>25</v>
      </c>
      <c r="H406" t="s">
        <v>26</v>
      </c>
      <c r="I406" t="s">
        <v>27</v>
      </c>
      <c r="J406" t="s">
        <v>28</v>
      </c>
      <c r="K406" t="s">
        <v>188</v>
      </c>
      <c r="L406" t="s">
        <v>30</v>
      </c>
      <c r="M406">
        <v>0</v>
      </c>
      <c r="N406">
        <v>0</v>
      </c>
      <c r="O406" s="17">
        <v>50474</v>
      </c>
      <c r="P406" s="17">
        <v>50473</v>
      </c>
      <c r="Q406">
        <f>32.5-14</f>
        <v>18.5</v>
      </c>
      <c r="R406" t="s">
        <v>31</v>
      </c>
      <c r="S406" t="s">
        <v>32</v>
      </c>
      <c r="T406">
        <v>17</v>
      </c>
      <c r="U406">
        <v>79.5</v>
      </c>
      <c r="V406">
        <v>16.5</v>
      </c>
      <c r="W406">
        <v>12.2</v>
      </c>
      <c r="X406">
        <v>29.6</v>
      </c>
      <c r="Z406" t="s">
        <v>32</v>
      </c>
      <c r="AB406" t="s">
        <v>53</v>
      </c>
      <c r="AC406" t="s">
        <v>254</v>
      </c>
    </row>
    <row r="407" spans="1:30" x14ac:dyDescent="0.2">
      <c r="A407" s="3">
        <v>42556</v>
      </c>
      <c r="B407" t="s">
        <v>23</v>
      </c>
      <c r="C407">
        <v>113</v>
      </c>
      <c r="D407">
        <v>7</v>
      </c>
      <c r="E407">
        <v>1</v>
      </c>
      <c r="F407" t="s">
        <v>33</v>
      </c>
      <c r="G407" t="s">
        <v>25</v>
      </c>
      <c r="H407" t="s">
        <v>26</v>
      </c>
      <c r="I407" t="s">
        <v>27</v>
      </c>
      <c r="J407" t="s">
        <v>28</v>
      </c>
      <c r="K407" t="s">
        <v>188</v>
      </c>
      <c r="L407" t="s">
        <v>30</v>
      </c>
      <c r="M407">
        <v>0</v>
      </c>
      <c r="N407">
        <v>0</v>
      </c>
      <c r="O407" s="17">
        <v>50474</v>
      </c>
      <c r="P407" s="17">
        <v>50473</v>
      </c>
      <c r="Q407">
        <f>26-9</f>
        <v>17</v>
      </c>
      <c r="R407" t="s">
        <v>83</v>
      </c>
      <c r="S407" t="s">
        <v>145</v>
      </c>
      <c r="T407">
        <v>17</v>
      </c>
      <c r="V407">
        <v>15</v>
      </c>
      <c r="W407">
        <v>12.6</v>
      </c>
      <c r="X407">
        <v>24.9</v>
      </c>
      <c r="Z407" t="s">
        <v>32</v>
      </c>
      <c r="AB407" t="s">
        <v>53</v>
      </c>
      <c r="AC407" t="s">
        <v>59</v>
      </c>
      <c r="AD407" t="s">
        <v>422</v>
      </c>
    </row>
    <row r="408" spans="1:30" x14ac:dyDescent="0.2">
      <c r="A408" s="3">
        <v>42557</v>
      </c>
      <c r="B408" t="s">
        <v>23</v>
      </c>
      <c r="C408">
        <v>113</v>
      </c>
      <c r="D408">
        <v>9</v>
      </c>
      <c r="E408">
        <v>1</v>
      </c>
      <c r="F408" t="s">
        <v>33</v>
      </c>
      <c r="G408" t="s">
        <v>25</v>
      </c>
      <c r="H408" t="s">
        <v>26</v>
      </c>
      <c r="I408" t="s">
        <v>27</v>
      </c>
      <c r="J408" t="s">
        <v>28</v>
      </c>
      <c r="K408" t="s">
        <v>188</v>
      </c>
      <c r="L408" t="s">
        <v>30</v>
      </c>
      <c r="M408">
        <v>0</v>
      </c>
      <c r="N408">
        <v>0</v>
      </c>
      <c r="O408" s="17">
        <v>50474</v>
      </c>
      <c r="P408" s="17">
        <v>50473</v>
      </c>
      <c r="Q408">
        <v>17</v>
      </c>
      <c r="R408" t="s">
        <v>83</v>
      </c>
      <c r="S408" t="s">
        <v>145</v>
      </c>
      <c r="T408">
        <v>18</v>
      </c>
      <c r="U408">
        <v>78</v>
      </c>
      <c r="V408">
        <v>14</v>
      </c>
      <c r="W408">
        <v>12.5</v>
      </c>
      <c r="X408">
        <v>25.9</v>
      </c>
      <c r="Z408" t="s">
        <v>32</v>
      </c>
      <c r="AB408" t="s">
        <v>44</v>
      </c>
      <c r="AC408" t="s">
        <v>122</v>
      </c>
      <c r="AD408" t="s">
        <v>427</v>
      </c>
    </row>
    <row r="409" spans="1:30" x14ac:dyDescent="0.2">
      <c r="A409" s="3">
        <v>42530</v>
      </c>
      <c r="B409" t="s">
        <v>23</v>
      </c>
      <c r="C409">
        <v>111</v>
      </c>
      <c r="D409">
        <v>3</v>
      </c>
      <c r="E409">
        <v>1</v>
      </c>
      <c r="F409" t="s">
        <v>33</v>
      </c>
      <c r="G409" t="s">
        <v>25</v>
      </c>
      <c r="H409" t="s">
        <v>26</v>
      </c>
      <c r="I409" t="s">
        <v>27</v>
      </c>
      <c r="J409" t="s">
        <v>34</v>
      </c>
      <c r="K409" t="s">
        <v>187</v>
      </c>
      <c r="L409" t="s">
        <v>35</v>
      </c>
      <c r="M409">
        <v>0</v>
      </c>
      <c r="N409">
        <v>1</v>
      </c>
      <c r="O409" s="17">
        <v>50475</v>
      </c>
      <c r="P409" s="17">
        <v>50308</v>
      </c>
      <c r="Q409">
        <f>39-15</f>
        <v>24</v>
      </c>
      <c r="R409" t="s">
        <v>39</v>
      </c>
      <c r="S409" t="s">
        <v>32</v>
      </c>
      <c r="T409">
        <v>19</v>
      </c>
      <c r="U409">
        <v>83</v>
      </c>
      <c r="V409">
        <v>14</v>
      </c>
      <c r="W409">
        <v>12.7</v>
      </c>
      <c r="X409">
        <v>27.5</v>
      </c>
      <c r="Z409" t="s">
        <v>32</v>
      </c>
      <c r="AB409" t="s">
        <v>59</v>
      </c>
      <c r="AC409" t="s">
        <v>191</v>
      </c>
    </row>
    <row r="410" spans="1:30" x14ac:dyDescent="0.2">
      <c r="A410" s="3">
        <v>42541</v>
      </c>
      <c r="B410" t="s">
        <v>23</v>
      </c>
      <c r="C410">
        <v>111</v>
      </c>
      <c r="D410">
        <v>3</v>
      </c>
      <c r="E410">
        <v>1</v>
      </c>
      <c r="F410" t="s">
        <v>24</v>
      </c>
      <c r="G410" t="s">
        <v>25</v>
      </c>
      <c r="H410" t="s">
        <v>26</v>
      </c>
      <c r="I410" t="s">
        <v>27</v>
      </c>
      <c r="J410" t="s">
        <v>28</v>
      </c>
      <c r="K410" t="s">
        <v>29</v>
      </c>
      <c r="L410" t="s">
        <v>35</v>
      </c>
      <c r="M410">
        <v>0</v>
      </c>
      <c r="N410">
        <v>0</v>
      </c>
      <c r="O410" s="17">
        <v>50475</v>
      </c>
      <c r="P410" s="17">
        <v>50308</v>
      </c>
      <c r="Q410">
        <f>36-15.5</f>
        <v>20.5</v>
      </c>
      <c r="R410" t="s">
        <v>39</v>
      </c>
      <c r="S410" t="s">
        <v>32</v>
      </c>
      <c r="T410">
        <v>17</v>
      </c>
      <c r="U410">
        <v>85</v>
      </c>
      <c r="V410">
        <v>15</v>
      </c>
      <c r="W410">
        <v>13.4</v>
      </c>
      <c r="X410">
        <v>27.9</v>
      </c>
      <c r="Z410" t="s">
        <v>32</v>
      </c>
      <c r="AB410" t="s">
        <v>53</v>
      </c>
      <c r="AC410" t="s">
        <v>254</v>
      </c>
    </row>
    <row r="411" spans="1:30" x14ac:dyDescent="0.2">
      <c r="A411" s="3">
        <v>42570</v>
      </c>
      <c r="B411" t="s">
        <v>23</v>
      </c>
      <c r="C411">
        <v>111</v>
      </c>
      <c r="D411">
        <v>3</v>
      </c>
      <c r="E411">
        <v>1</v>
      </c>
      <c r="F411" t="s">
        <v>24</v>
      </c>
      <c r="G411" t="s">
        <v>25</v>
      </c>
      <c r="H411" t="s">
        <v>26</v>
      </c>
      <c r="I411" t="s">
        <v>27</v>
      </c>
      <c r="J411" t="s">
        <v>28</v>
      </c>
      <c r="K411" t="s">
        <v>29</v>
      </c>
      <c r="L411" t="s">
        <v>35</v>
      </c>
      <c r="M411">
        <v>0</v>
      </c>
      <c r="N411">
        <v>0</v>
      </c>
      <c r="O411" s="17">
        <v>50475</v>
      </c>
      <c r="P411" s="17">
        <v>50308</v>
      </c>
      <c r="Q411">
        <v>21</v>
      </c>
      <c r="R411" t="s">
        <v>39</v>
      </c>
      <c r="T411">
        <v>16</v>
      </c>
      <c r="U411">
        <v>85</v>
      </c>
      <c r="V411">
        <v>16</v>
      </c>
      <c r="W411">
        <v>13.4</v>
      </c>
      <c r="X411">
        <v>27</v>
      </c>
      <c r="Z411" t="s">
        <v>32</v>
      </c>
      <c r="AB411" t="s">
        <v>580</v>
      </c>
      <c r="AC411" t="s">
        <v>59</v>
      </c>
      <c r="AD411" t="s">
        <v>581</v>
      </c>
    </row>
    <row r="412" spans="1:30" x14ac:dyDescent="0.2">
      <c r="A412" s="3">
        <v>42571</v>
      </c>
      <c r="B412" t="s">
        <v>23</v>
      </c>
      <c r="C412">
        <v>111</v>
      </c>
      <c r="D412">
        <v>5</v>
      </c>
      <c r="E412">
        <v>1</v>
      </c>
      <c r="F412" t="s">
        <v>24</v>
      </c>
      <c r="G412" t="s">
        <v>25</v>
      </c>
      <c r="H412" t="s">
        <v>26</v>
      </c>
      <c r="I412" t="s">
        <v>27</v>
      </c>
      <c r="J412" t="s">
        <v>28</v>
      </c>
      <c r="K412" t="s">
        <v>29</v>
      </c>
      <c r="L412" t="s">
        <v>35</v>
      </c>
      <c r="M412">
        <v>0</v>
      </c>
      <c r="N412">
        <v>0</v>
      </c>
      <c r="O412" s="17">
        <v>50475</v>
      </c>
      <c r="P412" s="17">
        <v>50308</v>
      </c>
      <c r="Q412">
        <f>32.5-11.5</f>
        <v>21</v>
      </c>
      <c r="R412" t="s">
        <v>39</v>
      </c>
      <c r="T412">
        <v>18</v>
      </c>
      <c r="U412">
        <v>85</v>
      </c>
      <c r="V412">
        <v>17</v>
      </c>
      <c r="W412">
        <v>13.3</v>
      </c>
      <c r="X412">
        <v>30.1</v>
      </c>
      <c r="Z412" t="s">
        <v>32</v>
      </c>
      <c r="AB412" t="s">
        <v>44</v>
      </c>
      <c r="AC412" t="s">
        <v>59</v>
      </c>
    </row>
    <row r="413" spans="1:30" x14ac:dyDescent="0.2">
      <c r="A413" s="3">
        <v>42572</v>
      </c>
      <c r="B413" t="s">
        <v>23</v>
      </c>
      <c r="C413">
        <v>111</v>
      </c>
      <c r="D413">
        <v>3</v>
      </c>
      <c r="E413">
        <v>2</v>
      </c>
      <c r="F413" t="s">
        <v>24</v>
      </c>
      <c r="G413" t="s">
        <v>25</v>
      </c>
      <c r="H413" t="s">
        <v>26</v>
      </c>
      <c r="I413" t="s">
        <v>27</v>
      </c>
      <c r="J413" t="s">
        <v>28</v>
      </c>
      <c r="K413" t="s">
        <v>29</v>
      </c>
      <c r="L413" t="s">
        <v>35</v>
      </c>
      <c r="M413">
        <v>0</v>
      </c>
      <c r="N413">
        <v>0</v>
      </c>
      <c r="O413" s="17">
        <v>50475</v>
      </c>
      <c r="P413" s="17">
        <v>50308</v>
      </c>
      <c r="Q413">
        <f>32.5-12</f>
        <v>20.5</v>
      </c>
      <c r="R413" t="s">
        <v>39</v>
      </c>
      <c r="T413">
        <v>17</v>
      </c>
      <c r="U413">
        <v>86</v>
      </c>
      <c r="V413">
        <v>16</v>
      </c>
      <c r="W413">
        <v>13.1</v>
      </c>
      <c r="X413">
        <v>28.2</v>
      </c>
      <c r="Z413" t="s">
        <v>32</v>
      </c>
      <c r="AB413" t="s">
        <v>121</v>
      </c>
      <c r="AC413" t="s">
        <v>122</v>
      </c>
    </row>
    <row r="414" spans="1:30" x14ac:dyDescent="0.2">
      <c r="A414" s="3">
        <v>42584</v>
      </c>
      <c r="B414" t="s">
        <v>23</v>
      </c>
      <c r="C414">
        <v>111</v>
      </c>
      <c r="D414">
        <v>3</v>
      </c>
      <c r="E414">
        <v>1</v>
      </c>
      <c r="F414" t="s">
        <v>33</v>
      </c>
      <c r="G414" t="s">
        <v>25</v>
      </c>
      <c r="H414" t="s">
        <v>26</v>
      </c>
      <c r="I414" t="s">
        <v>27</v>
      </c>
      <c r="J414" t="s">
        <v>28</v>
      </c>
      <c r="K414" t="s">
        <v>29</v>
      </c>
      <c r="L414" t="s">
        <v>35</v>
      </c>
      <c r="M414">
        <v>0</v>
      </c>
      <c r="N414">
        <v>0</v>
      </c>
      <c r="O414" s="17">
        <v>50475</v>
      </c>
      <c r="P414" s="17">
        <v>50308</v>
      </c>
      <c r="Q414">
        <f>31-12</f>
        <v>19</v>
      </c>
      <c r="R414" t="s">
        <v>39</v>
      </c>
      <c r="T414">
        <v>19</v>
      </c>
      <c r="U414">
        <v>90</v>
      </c>
      <c r="V414">
        <v>16</v>
      </c>
      <c r="W414">
        <v>12.9</v>
      </c>
      <c r="X414">
        <v>27.5</v>
      </c>
      <c r="Z414" t="s">
        <v>32</v>
      </c>
      <c r="AB414" t="s">
        <v>121</v>
      </c>
      <c r="AC414" t="s">
        <v>59</v>
      </c>
    </row>
    <row r="415" spans="1:30" x14ac:dyDescent="0.2">
      <c r="A415" s="3">
        <v>42558</v>
      </c>
      <c r="B415" t="s">
        <v>23</v>
      </c>
      <c r="C415">
        <v>113</v>
      </c>
      <c r="D415">
        <v>8</v>
      </c>
      <c r="E415">
        <v>2</v>
      </c>
      <c r="F415" t="s">
        <v>33</v>
      </c>
      <c r="G415" t="s">
        <v>25</v>
      </c>
      <c r="H415" t="s">
        <v>26</v>
      </c>
      <c r="I415" t="s">
        <v>27</v>
      </c>
      <c r="J415" t="s">
        <v>28</v>
      </c>
      <c r="K415" t="s">
        <v>188</v>
      </c>
      <c r="L415" t="s">
        <v>30</v>
      </c>
      <c r="M415">
        <v>0</v>
      </c>
      <c r="N415">
        <v>0</v>
      </c>
      <c r="O415" s="17">
        <v>50476</v>
      </c>
      <c r="P415" s="17">
        <v>50473</v>
      </c>
      <c r="Q415">
        <f>27-9</f>
        <v>18</v>
      </c>
      <c r="R415" t="s">
        <v>83</v>
      </c>
      <c r="S415" t="s">
        <v>145</v>
      </c>
      <c r="T415">
        <v>18</v>
      </c>
      <c r="U415">
        <v>79</v>
      </c>
      <c r="V415">
        <v>13</v>
      </c>
      <c r="W415">
        <v>12.7</v>
      </c>
      <c r="X415">
        <v>25.8</v>
      </c>
      <c r="Z415" t="s">
        <v>32</v>
      </c>
      <c r="AB415" t="s">
        <v>121</v>
      </c>
      <c r="AC415" t="s">
        <v>254</v>
      </c>
    </row>
    <row r="416" spans="1:30" x14ac:dyDescent="0.2">
      <c r="A416" s="3">
        <v>42536</v>
      </c>
      <c r="B416" t="s">
        <v>23</v>
      </c>
      <c r="C416">
        <v>303</v>
      </c>
      <c r="D416">
        <v>3</v>
      </c>
      <c r="E416">
        <v>1</v>
      </c>
      <c r="F416" t="s">
        <v>24</v>
      </c>
      <c r="G416" t="s">
        <v>25</v>
      </c>
      <c r="H416" t="s">
        <v>26</v>
      </c>
      <c r="I416" t="s">
        <v>27</v>
      </c>
      <c r="J416" t="s">
        <v>34</v>
      </c>
      <c r="K416" t="s">
        <v>123</v>
      </c>
      <c r="L416" t="s">
        <v>30</v>
      </c>
      <c r="M416">
        <v>0</v>
      </c>
      <c r="N416">
        <v>1</v>
      </c>
      <c r="O416" s="17">
        <v>50477</v>
      </c>
      <c r="P416" s="17">
        <v>50476</v>
      </c>
      <c r="Q416">
        <f>32-16</f>
        <v>16</v>
      </c>
      <c r="R416" t="s">
        <v>31</v>
      </c>
      <c r="S416" t="s">
        <v>32</v>
      </c>
      <c r="T416">
        <v>18.5</v>
      </c>
      <c r="U416">
        <v>79</v>
      </c>
      <c r="V416">
        <v>16</v>
      </c>
      <c r="W416">
        <v>12.6</v>
      </c>
      <c r="X416">
        <v>29.5</v>
      </c>
      <c r="Z416" t="s">
        <v>32</v>
      </c>
      <c r="AB416" t="s">
        <v>209</v>
      </c>
      <c r="AC416" t="s">
        <v>59</v>
      </c>
    </row>
    <row r="417" spans="1:29" x14ac:dyDescent="0.2">
      <c r="A417" s="3">
        <v>42537</v>
      </c>
      <c r="B417" t="s">
        <v>23</v>
      </c>
      <c r="C417">
        <v>303</v>
      </c>
      <c r="D417">
        <v>1</v>
      </c>
      <c r="E417">
        <v>2</v>
      </c>
      <c r="F417" t="s">
        <v>24</v>
      </c>
      <c r="G417" t="s">
        <v>25</v>
      </c>
      <c r="H417" t="s">
        <v>26</v>
      </c>
      <c r="I417" t="s">
        <v>27</v>
      </c>
      <c r="J417" t="s">
        <v>28</v>
      </c>
      <c r="K417" t="s">
        <v>123</v>
      </c>
      <c r="L417" t="s">
        <v>35</v>
      </c>
      <c r="M417">
        <v>0</v>
      </c>
      <c r="N417">
        <v>0</v>
      </c>
      <c r="O417" s="17">
        <v>50477</v>
      </c>
      <c r="P417" s="17">
        <v>50476</v>
      </c>
      <c r="Q417">
        <f>27-11.5</f>
        <v>15.5</v>
      </c>
      <c r="R417" t="s">
        <v>31</v>
      </c>
      <c r="T417">
        <v>18</v>
      </c>
      <c r="U417">
        <v>79</v>
      </c>
      <c r="V417">
        <v>16</v>
      </c>
      <c r="W417">
        <v>12.5</v>
      </c>
      <c r="X417">
        <v>29</v>
      </c>
      <c r="Z417" t="s">
        <v>32</v>
      </c>
      <c r="AB417" t="s">
        <v>44</v>
      </c>
      <c r="AC417" t="s">
        <v>122</v>
      </c>
    </row>
    <row r="418" spans="1:29" x14ac:dyDescent="0.2">
      <c r="A418" s="3">
        <v>42542</v>
      </c>
      <c r="B418" t="s">
        <v>23</v>
      </c>
      <c r="C418">
        <v>113</v>
      </c>
      <c r="D418">
        <v>7</v>
      </c>
      <c r="E418">
        <v>1</v>
      </c>
      <c r="F418" t="s">
        <v>24</v>
      </c>
      <c r="G418" t="s">
        <v>25</v>
      </c>
      <c r="H418" t="s">
        <v>26</v>
      </c>
      <c r="I418" t="s">
        <v>27</v>
      </c>
      <c r="J418" t="s">
        <v>28</v>
      </c>
      <c r="K418" t="s">
        <v>188</v>
      </c>
      <c r="L418" t="s">
        <v>30</v>
      </c>
      <c r="M418">
        <v>0</v>
      </c>
      <c r="N418">
        <v>0</v>
      </c>
      <c r="O418" s="17">
        <v>50479</v>
      </c>
      <c r="P418" s="17">
        <v>50473</v>
      </c>
      <c r="Q418">
        <f>29.5-11.5</f>
        <v>18</v>
      </c>
      <c r="R418" t="s">
        <v>31</v>
      </c>
      <c r="S418" t="s">
        <v>32</v>
      </c>
      <c r="T418">
        <v>17</v>
      </c>
      <c r="U418">
        <v>81</v>
      </c>
      <c r="V418">
        <v>15</v>
      </c>
      <c r="W418">
        <v>12.2</v>
      </c>
      <c r="X418">
        <v>29.3</v>
      </c>
      <c r="Z418" t="s">
        <v>32</v>
      </c>
      <c r="AB418" t="s">
        <v>44</v>
      </c>
      <c r="AC418" t="s">
        <v>122</v>
      </c>
    </row>
    <row r="419" spans="1:29" x14ac:dyDescent="0.2">
      <c r="A419" s="3">
        <v>42549</v>
      </c>
      <c r="B419" t="s">
        <v>23</v>
      </c>
      <c r="C419">
        <v>703</v>
      </c>
      <c r="D419">
        <v>1</v>
      </c>
      <c r="E419">
        <v>1</v>
      </c>
      <c r="F419" t="s">
        <v>24</v>
      </c>
      <c r="G419" t="s">
        <v>25</v>
      </c>
      <c r="H419" t="s">
        <v>26</v>
      </c>
      <c r="I419" t="s">
        <v>27</v>
      </c>
      <c r="J419" t="s">
        <v>34</v>
      </c>
      <c r="K419" t="s">
        <v>123</v>
      </c>
      <c r="L419" t="s">
        <v>30</v>
      </c>
      <c r="M419">
        <v>0</v>
      </c>
      <c r="N419">
        <v>1</v>
      </c>
      <c r="O419" s="17">
        <v>50480</v>
      </c>
      <c r="P419" s="17">
        <v>50479</v>
      </c>
      <c r="Q419">
        <f>25-12.5</f>
        <v>12.5</v>
      </c>
      <c r="R419" t="s">
        <v>31</v>
      </c>
      <c r="S419" t="s">
        <v>32</v>
      </c>
      <c r="T419">
        <v>18</v>
      </c>
      <c r="U419">
        <v>75</v>
      </c>
      <c r="V419">
        <v>15</v>
      </c>
      <c r="W419">
        <v>11.6</v>
      </c>
      <c r="X419">
        <v>27</v>
      </c>
      <c r="Z419" t="s">
        <v>32</v>
      </c>
      <c r="AB419" t="s">
        <v>149</v>
      </c>
      <c r="AC419" t="s">
        <v>122</v>
      </c>
    </row>
    <row r="420" spans="1:29" x14ac:dyDescent="0.2">
      <c r="A420" s="3">
        <v>42550</v>
      </c>
      <c r="B420" t="s">
        <v>23</v>
      </c>
      <c r="C420">
        <v>703</v>
      </c>
      <c r="D420">
        <v>4</v>
      </c>
      <c r="E420">
        <v>1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 t="s">
        <v>123</v>
      </c>
      <c r="L420" t="s">
        <v>30</v>
      </c>
      <c r="M420">
        <v>0</v>
      </c>
      <c r="N420">
        <v>0</v>
      </c>
      <c r="O420" s="17">
        <v>50480</v>
      </c>
      <c r="P420" s="17">
        <v>50479</v>
      </c>
      <c r="Q420">
        <v>12</v>
      </c>
      <c r="R420" t="s">
        <v>31</v>
      </c>
      <c r="S420" t="s">
        <v>32</v>
      </c>
      <c r="T420">
        <v>18</v>
      </c>
      <c r="U420">
        <v>77</v>
      </c>
      <c r="V420">
        <v>16.5</v>
      </c>
      <c r="W420">
        <v>11.4</v>
      </c>
      <c r="X420">
        <v>25.8</v>
      </c>
      <c r="Z420" t="s">
        <v>32</v>
      </c>
      <c r="AB420" t="s">
        <v>53</v>
      </c>
      <c r="AC420" t="s">
        <v>59</v>
      </c>
    </row>
    <row r="421" spans="1:29" x14ac:dyDescent="0.2">
      <c r="A421" s="3">
        <v>42551</v>
      </c>
      <c r="B421" t="s">
        <v>23</v>
      </c>
      <c r="C421">
        <v>703</v>
      </c>
      <c r="D421">
        <v>2</v>
      </c>
      <c r="E421">
        <v>1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123</v>
      </c>
      <c r="L421" t="s">
        <v>30</v>
      </c>
      <c r="M421">
        <v>0</v>
      </c>
      <c r="N421">
        <v>0</v>
      </c>
      <c r="O421" s="17">
        <v>50480</v>
      </c>
      <c r="P421" s="17">
        <v>50479</v>
      </c>
      <c r="Q421">
        <f>24-12</f>
        <v>12</v>
      </c>
      <c r="R421" t="s">
        <v>31</v>
      </c>
      <c r="S421" t="s">
        <v>32</v>
      </c>
      <c r="T421">
        <v>17</v>
      </c>
      <c r="U421">
        <v>72.5</v>
      </c>
      <c r="V421">
        <v>16.3</v>
      </c>
      <c r="W421">
        <v>12.1</v>
      </c>
      <c r="X421">
        <v>26.7</v>
      </c>
      <c r="Z421" t="s">
        <v>32</v>
      </c>
      <c r="AB421" t="s">
        <v>44</v>
      </c>
      <c r="AC421" t="s">
        <v>116</v>
      </c>
    </row>
    <row r="422" spans="1:29" x14ac:dyDescent="0.2">
      <c r="A422" s="3">
        <v>42563</v>
      </c>
      <c r="B422" t="s">
        <v>23</v>
      </c>
      <c r="C422">
        <v>703</v>
      </c>
      <c r="D422">
        <v>3</v>
      </c>
      <c r="E422">
        <v>1</v>
      </c>
      <c r="F422" t="s">
        <v>33</v>
      </c>
      <c r="G422" t="s">
        <v>25</v>
      </c>
      <c r="H422" t="s">
        <v>26</v>
      </c>
      <c r="I422" t="s">
        <v>27</v>
      </c>
      <c r="J422" t="s">
        <v>28</v>
      </c>
      <c r="K422" t="s">
        <v>123</v>
      </c>
      <c r="L422" t="s">
        <v>30</v>
      </c>
      <c r="M422">
        <v>0</v>
      </c>
      <c r="N422">
        <v>0</v>
      </c>
      <c r="O422" s="17">
        <v>50480</v>
      </c>
      <c r="P422" s="17">
        <v>50479</v>
      </c>
      <c r="Q422">
        <f>27-13</f>
        <v>14</v>
      </c>
      <c r="R422" t="s">
        <v>31</v>
      </c>
      <c r="S422" t="s">
        <v>32</v>
      </c>
      <c r="T422">
        <v>19</v>
      </c>
      <c r="U422">
        <v>72</v>
      </c>
      <c r="V422">
        <v>15</v>
      </c>
      <c r="W422">
        <v>12.5</v>
      </c>
      <c r="X422">
        <v>25.6</v>
      </c>
      <c r="Z422" t="s">
        <v>32</v>
      </c>
      <c r="AB422" t="s">
        <v>53</v>
      </c>
      <c r="AC422" t="s">
        <v>122</v>
      </c>
    </row>
    <row r="423" spans="1:29" x14ac:dyDescent="0.2">
      <c r="A423" s="3">
        <v>42564</v>
      </c>
      <c r="B423" t="s">
        <v>23</v>
      </c>
      <c r="C423">
        <v>703</v>
      </c>
      <c r="D423">
        <v>4</v>
      </c>
      <c r="E423">
        <v>1</v>
      </c>
      <c r="F423" t="s">
        <v>33</v>
      </c>
      <c r="G423" t="s">
        <v>25</v>
      </c>
      <c r="H423" t="s">
        <v>26</v>
      </c>
      <c r="I423" t="s">
        <v>27</v>
      </c>
      <c r="J423" t="s">
        <v>28</v>
      </c>
      <c r="K423" t="s">
        <v>123</v>
      </c>
      <c r="L423" t="s">
        <v>30</v>
      </c>
      <c r="M423">
        <v>0</v>
      </c>
      <c r="N423">
        <v>0</v>
      </c>
      <c r="O423" s="17">
        <v>50480</v>
      </c>
      <c r="P423" s="17">
        <v>50479</v>
      </c>
      <c r="Q423">
        <f>22.5-10</f>
        <v>12.5</v>
      </c>
      <c r="R423" t="s">
        <v>31</v>
      </c>
      <c r="S423" t="s">
        <v>32</v>
      </c>
      <c r="T423">
        <v>19</v>
      </c>
      <c r="U423">
        <v>72</v>
      </c>
      <c r="V423">
        <v>15</v>
      </c>
      <c r="W423">
        <v>12.6</v>
      </c>
      <c r="X423">
        <v>26</v>
      </c>
      <c r="Z423" t="s">
        <v>32</v>
      </c>
      <c r="AB423" t="s">
        <v>121</v>
      </c>
      <c r="AC423" t="s">
        <v>122</v>
      </c>
    </row>
    <row r="424" spans="1:29" x14ac:dyDescent="0.2">
      <c r="A424" s="3">
        <v>42565</v>
      </c>
      <c r="B424" t="s">
        <v>23</v>
      </c>
      <c r="C424">
        <v>703</v>
      </c>
      <c r="D424">
        <v>3</v>
      </c>
      <c r="E424">
        <v>1</v>
      </c>
      <c r="F424" t="s">
        <v>33</v>
      </c>
      <c r="G424" t="s">
        <v>25</v>
      </c>
      <c r="H424" t="s">
        <v>26</v>
      </c>
      <c r="I424" t="s">
        <v>27</v>
      </c>
      <c r="J424" t="s">
        <v>28</v>
      </c>
      <c r="K424" t="s">
        <v>123</v>
      </c>
      <c r="L424" t="s">
        <v>30</v>
      </c>
      <c r="M424">
        <v>0</v>
      </c>
      <c r="N424">
        <v>0</v>
      </c>
      <c r="O424" s="17">
        <v>50480</v>
      </c>
      <c r="P424" s="17">
        <v>50479</v>
      </c>
      <c r="Q424">
        <f>22-9</f>
        <v>13</v>
      </c>
      <c r="R424" t="s">
        <v>31</v>
      </c>
      <c r="S424" t="s">
        <v>32</v>
      </c>
      <c r="T424">
        <v>18</v>
      </c>
      <c r="U424">
        <v>70</v>
      </c>
      <c r="V424">
        <v>16</v>
      </c>
      <c r="W424">
        <v>12.7</v>
      </c>
      <c r="X424">
        <v>26.4</v>
      </c>
      <c r="Z424" t="s">
        <v>32</v>
      </c>
      <c r="AB424" t="s">
        <v>121</v>
      </c>
      <c r="AC424" t="s">
        <v>254</v>
      </c>
    </row>
    <row r="425" spans="1:29" x14ac:dyDescent="0.2">
      <c r="A425" s="3">
        <v>42528</v>
      </c>
      <c r="B425" t="s">
        <v>23</v>
      </c>
      <c r="C425">
        <v>203</v>
      </c>
      <c r="D425">
        <v>9</v>
      </c>
      <c r="E425">
        <v>2</v>
      </c>
      <c r="F425" t="s">
        <v>24</v>
      </c>
      <c r="G425" t="s">
        <v>25</v>
      </c>
      <c r="H425" t="s">
        <v>26</v>
      </c>
      <c r="I425" t="s">
        <v>27</v>
      </c>
      <c r="J425" t="s">
        <v>28</v>
      </c>
      <c r="K425" t="s">
        <v>29</v>
      </c>
      <c r="L425" t="s">
        <v>35</v>
      </c>
      <c r="M425">
        <v>1</v>
      </c>
      <c r="N425">
        <v>0</v>
      </c>
      <c r="O425" s="17">
        <v>50490</v>
      </c>
      <c r="P425" s="17" t="s">
        <v>182</v>
      </c>
      <c r="Q425">
        <f>34.5-13.5</f>
        <v>21</v>
      </c>
      <c r="R425" t="s">
        <v>39</v>
      </c>
      <c r="S425" t="s">
        <v>32</v>
      </c>
      <c r="T425">
        <v>17</v>
      </c>
      <c r="U425">
        <v>85</v>
      </c>
      <c r="V425">
        <v>16</v>
      </c>
      <c r="W425">
        <v>12.65</v>
      </c>
      <c r="X425">
        <v>29.5</v>
      </c>
      <c r="Z425" t="s">
        <v>32</v>
      </c>
      <c r="AB425" t="s">
        <v>149</v>
      </c>
      <c r="AC425" t="s">
        <v>59</v>
      </c>
    </row>
    <row r="426" spans="1:29" x14ac:dyDescent="0.2">
      <c r="A426" s="3">
        <v>42529</v>
      </c>
      <c r="B426" t="s">
        <v>23</v>
      </c>
      <c r="C426">
        <v>203</v>
      </c>
      <c r="D426">
        <v>7</v>
      </c>
      <c r="E426">
        <v>2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 t="s">
        <v>187</v>
      </c>
      <c r="L426" t="s">
        <v>35</v>
      </c>
      <c r="M426">
        <v>0</v>
      </c>
      <c r="N426">
        <v>0</v>
      </c>
      <c r="O426" s="17">
        <v>50490</v>
      </c>
      <c r="P426" s="17" t="s">
        <v>182</v>
      </c>
      <c r="Q426">
        <f>37-16.5</f>
        <v>20.5</v>
      </c>
      <c r="R426" t="s">
        <v>63</v>
      </c>
      <c r="S426" t="s">
        <v>32</v>
      </c>
      <c r="T426">
        <v>18</v>
      </c>
      <c r="U426">
        <v>83</v>
      </c>
      <c r="V426">
        <v>16.5</v>
      </c>
      <c r="W426">
        <v>12.85</v>
      </c>
      <c r="X426">
        <v>28.5</v>
      </c>
      <c r="Z426" t="s">
        <v>32</v>
      </c>
      <c r="AB426" t="s">
        <v>121</v>
      </c>
      <c r="AC426" t="s">
        <v>59</v>
      </c>
    </row>
    <row r="427" spans="1:29" x14ac:dyDescent="0.2">
      <c r="A427" s="3">
        <v>42529</v>
      </c>
      <c r="B427" t="s">
        <v>23</v>
      </c>
      <c r="C427">
        <v>203</v>
      </c>
      <c r="D427">
        <v>5</v>
      </c>
      <c r="E427">
        <v>1</v>
      </c>
      <c r="F427" t="s">
        <v>24</v>
      </c>
      <c r="G427" t="s">
        <v>25</v>
      </c>
      <c r="H427" t="s">
        <v>26</v>
      </c>
      <c r="I427" t="s">
        <v>27</v>
      </c>
      <c r="J427" t="s">
        <v>34</v>
      </c>
      <c r="K427" t="s">
        <v>187</v>
      </c>
      <c r="L427" t="s">
        <v>35</v>
      </c>
      <c r="M427">
        <v>0</v>
      </c>
      <c r="N427">
        <v>1</v>
      </c>
      <c r="O427" s="17">
        <v>50491</v>
      </c>
      <c r="P427" s="17">
        <v>50357</v>
      </c>
      <c r="Q427">
        <f>35-13</f>
        <v>22</v>
      </c>
      <c r="R427" t="s">
        <v>39</v>
      </c>
      <c r="S427" t="s">
        <v>32</v>
      </c>
      <c r="T427">
        <v>20</v>
      </c>
      <c r="U427">
        <v>98</v>
      </c>
      <c r="V427">
        <v>16</v>
      </c>
      <c r="W427">
        <v>13</v>
      </c>
      <c r="X427">
        <v>29.6</v>
      </c>
      <c r="Y427" t="s">
        <v>189</v>
      </c>
      <c r="Z427" t="s">
        <v>32</v>
      </c>
      <c r="AB427" t="s">
        <v>149</v>
      </c>
      <c r="AC427" t="s">
        <v>59</v>
      </c>
    </row>
    <row r="428" spans="1:29" x14ac:dyDescent="0.2">
      <c r="A428" s="3">
        <v>42556</v>
      </c>
      <c r="B428" t="s">
        <v>23</v>
      </c>
      <c r="C428">
        <v>203</v>
      </c>
      <c r="D428">
        <v>5</v>
      </c>
      <c r="E428">
        <v>1</v>
      </c>
      <c r="F428" t="s">
        <v>24</v>
      </c>
      <c r="G428" t="s">
        <v>25</v>
      </c>
      <c r="H428" t="s">
        <v>26</v>
      </c>
      <c r="I428" t="s">
        <v>27</v>
      </c>
      <c r="J428" t="s">
        <v>28</v>
      </c>
      <c r="K428" t="s">
        <v>29</v>
      </c>
      <c r="L428" t="s">
        <v>35</v>
      </c>
      <c r="M428">
        <v>0</v>
      </c>
      <c r="N428">
        <v>0</v>
      </c>
      <c r="O428" s="17">
        <v>50491</v>
      </c>
      <c r="P428" s="17">
        <v>50357</v>
      </c>
      <c r="Q428">
        <v>21</v>
      </c>
      <c r="R428" t="s">
        <v>39</v>
      </c>
      <c r="T428">
        <v>20</v>
      </c>
      <c r="U428">
        <v>98</v>
      </c>
      <c r="V428">
        <v>16.5</v>
      </c>
      <c r="W428">
        <v>12.5</v>
      </c>
      <c r="X428">
        <v>27.7</v>
      </c>
      <c r="Z428" t="s">
        <v>32</v>
      </c>
      <c r="AB428" t="s">
        <v>44</v>
      </c>
      <c r="AC428" t="s">
        <v>59</v>
      </c>
    </row>
    <row r="429" spans="1:29" x14ac:dyDescent="0.2">
      <c r="A429" s="3">
        <v>42557</v>
      </c>
      <c r="B429" t="s">
        <v>23</v>
      </c>
      <c r="C429">
        <v>203</v>
      </c>
      <c r="D429">
        <v>9</v>
      </c>
      <c r="E429">
        <v>2</v>
      </c>
      <c r="F429" t="s">
        <v>24</v>
      </c>
      <c r="G429" t="s">
        <v>25</v>
      </c>
      <c r="H429" t="s">
        <v>26</v>
      </c>
      <c r="I429" t="s">
        <v>27</v>
      </c>
      <c r="J429" t="s">
        <v>28</v>
      </c>
      <c r="K429" t="s">
        <v>29</v>
      </c>
      <c r="L429" t="s">
        <v>35</v>
      </c>
      <c r="M429">
        <v>0</v>
      </c>
      <c r="N429">
        <v>0</v>
      </c>
      <c r="O429" s="17">
        <v>50491</v>
      </c>
      <c r="P429" s="17">
        <v>50357</v>
      </c>
      <c r="Q429">
        <f>33-12</f>
        <v>21</v>
      </c>
      <c r="R429" t="s">
        <v>39</v>
      </c>
      <c r="T429">
        <v>20</v>
      </c>
      <c r="U429">
        <v>100</v>
      </c>
      <c r="V429">
        <v>14</v>
      </c>
      <c r="W429">
        <v>13.3</v>
      </c>
      <c r="X429">
        <v>29.5</v>
      </c>
      <c r="Z429" t="s">
        <v>32</v>
      </c>
      <c r="AB429" t="s">
        <v>44</v>
      </c>
      <c r="AC429" t="s">
        <v>122</v>
      </c>
    </row>
    <row r="430" spans="1:29" x14ac:dyDescent="0.2">
      <c r="A430" s="3">
        <v>42558</v>
      </c>
      <c r="B430" t="s">
        <v>23</v>
      </c>
      <c r="C430">
        <v>203</v>
      </c>
      <c r="D430">
        <v>4</v>
      </c>
      <c r="E430">
        <v>1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 t="s">
        <v>29</v>
      </c>
      <c r="L430" t="s">
        <v>35</v>
      </c>
      <c r="M430">
        <v>0</v>
      </c>
      <c r="N430">
        <v>0</v>
      </c>
      <c r="O430" s="17">
        <v>50491</v>
      </c>
      <c r="P430" s="17">
        <v>50357</v>
      </c>
      <c r="Q430">
        <v>21</v>
      </c>
      <c r="R430" t="s">
        <v>39</v>
      </c>
      <c r="T430">
        <v>19</v>
      </c>
      <c r="U430">
        <v>96</v>
      </c>
      <c r="V430">
        <v>18</v>
      </c>
      <c r="W430">
        <v>13.1</v>
      </c>
      <c r="X430">
        <v>29.6</v>
      </c>
      <c r="Z430" t="s">
        <v>32</v>
      </c>
      <c r="AB430" t="s">
        <v>121</v>
      </c>
      <c r="AC430" t="s">
        <v>254</v>
      </c>
    </row>
    <row r="431" spans="1:29" x14ac:dyDescent="0.2">
      <c r="A431" s="3">
        <v>42570</v>
      </c>
      <c r="B431" t="s">
        <v>23</v>
      </c>
      <c r="C431">
        <v>203</v>
      </c>
      <c r="D431">
        <v>9</v>
      </c>
      <c r="E431">
        <v>1</v>
      </c>
      <c r="F431" t="s">
        <v>33</v>
      </c>
      <c r="G431" t="s">
        <v>25</v>
      </c>
      <c r="H431" t="s">
        <v>26</v>
      </c>
      <c r="I431" t="s">
        <v>27</v>
      </c>
      <c r="J431" t="s">
        <v>28</v>
      </c>
      <c r="K431" t="s">
        <v>29</v>
      </c>
      <c r="L431" t="s">
        <v>35</v>
      </c>
      <c r="M431">
        <v>0</v>
      </c>
      <c r="N431">
        <v>0</v>
      </c>
      <c r="O431" s="17">
        <v>50491</v>
      </c>
      <c r="P431" s="17">
        <v>50357</v>
      </c>
      <c r="Q431">
        <f>32-12</f>
        <v>20</v>
      </c>
      <c r="R431" t="s">
        <v>39</v>
      </c>
      <c r="T431">
        <v>21</v>
      </c>
      <c r="U431">
        <v>100</v>
      </c>
      <c r="V431">
        <v>15</v>
      </c>
      <c r="W431">
        <v>12.8</v>
      </c>
      <c r="Z431" t="s">
        <v>145</v>
      </c>
      <c r="AA431" t="s">
        <v>260</v>
      </c>
      <c r="AB431" t="s">
        <v>121</v>
      </c>
      <c r="AC431" t="s">
        <v>59</v>
      </c>
    </row>
    <row r="432" spans="1:29" x14ac:dyDescent="0.2">
      <c r="A432" s="3">
        <v>42585</v>
      </c>
      <c r="B432" t="s">
        <v>23</v>
      </c>
      <c r="C432">
        <v>203</v>
      </c>
      <c r="D432">
        <v>5</v>
      </c>
      <c r="E432">
        <v>2</v>
      </c>
      <c r="F432" t="s">
        <v>24</v>
      </c>
      <c r="G432" t="s">
        <v>25</v>
      </c>
      <c r="H432" t="s">
        <v>26</v>
      </c>
      <c r="I432" t="s">
        <v>27</v>
      </c>
      <c r="J432" t="s">
        <v>28</v>
      </c>
      <c r="K432" t="s">
        <v>29</v>
      </c>
      <c r="L432" t="s">
        <v>35</v>
      </c>
      <c r="M432">
        <v>0</v>
      </c>
      <c r="N432">
        <v>0</v>
      </c>
      <c r="O432" s="17">
        <v>50491</v>
      </c>
      <c r="P432" s="17">
        <v>50357</v>
      </c>
      <c r="Q432">
        <f>41-17</f>
        <v>24</v>
      </c>
      <c r="R432" t="s">
        <v>39</v>
      </c>
      <c r="T432">
        <v>20</v>
      </c>
      <c r="U432">
        <v>96</v>
      </c>
      <c r="V432">
        <v>18</v>
      </c>
      <c r="W432">
        <v>13.7</v>
      </c>
      <c r="X432">
        <v>27.3</v>
      </c>
      <c r="Z432" t="s">
        <v>145</v>
      </c>
      <c r="AB432" t="s">
        <v>44</v>
      </c>
      <c r="AC432" t="s">
        <v>59</v>
      </c>
    </row>
    <row r="433" spans="1:30" x14ac:dyDescent="0.2">
      <c r="A433" s="3">
        <v>42598</v>
      </c>
      <c r="B433" t="s">
        <v>23</v>
      </c>
      <c r="C433">
        <v>203</v>
      </c>
      <c r="D433">
        <v>6</v>
      </c>
      <c r="E433">
        <v>1</v>
      </c>
      <c r="F433" t="s">
        <v>64</v>
      </c>
      <c r="G433" t="s">
        <v>25</v>
      </c>
      <c r="H433" t="s">
        <v>26</v>
      </c>
      <c r="I433" t="s">
        <v>27</v>
      </c>
      <c r="J433" t="s">
        <v>28</v>
      </c>
      <c r="K433" t="s">
        <v>29</v>
      </c>
      <c r="L433" t="s">
        <v>35</v>
      </c>
      <c r="M433">
        <v>0</v>
      </c>
      <c r="N433">
        <v>0</v>
      </c>
      <c r="O433" s="17" t="s">
        <v>1202</v>
      </c>
      <c r="P433" s="17" t="s">
        <v>1312</v>
      </c>
      <c r="Q433">
        <f>34-14</f>
        <v>20</v>
      </c>
      <c r="R433" t="s">
        <v>63</v>
      </c>
      <c r="T433">
        <v>20</v>
      </c>
      <c r="U433">
        <v>100</v>
      </c>
      <c r="V433">
        <v>16</v>
      </c>
      <c r="W433">
        <v>13.2</v>
      </c>
      <c r="X433">
        <v>27.1</v>
      </c>
      <c r="Z433" t="s">
        <v>145</v>
      </c>
      <c r="AA433" t="s">
        <v>260</v>
      </c>
      <c r="AB433" t="s">
        <v>121</v>
      </c>
      <c r="AC433" t="s">
        <v>122</v>
      </c>
    </row>
    <row r="434" spans="1:30" x14ac:dyDescent="0.2">
      <c r="A434" s="3">
        <v>42542</v>
      </c>
      <c r="B434" t="s">
        <v>23</v>
      </c>
      <c r="C434">
        <v>112</v>
      </c>
      <c r="D434">
        <v>4</v>
      </c>
      <c r="E434">
        <v>1</v>
      </c>
      <c r="F434" t="s">
        <v>24</v>
      </c>
      <c r="G434" t="s">
        <v>25</v>
      </c>
      <c r="H434" t="s">
        <v>26</v>
      </c>
      <c r="I434" t="s">
        <v>27</v>
      </c>
      <c r="J434" t="s">
        <v>34</v>
      </c>
      <c r="K434" t="s">
        <v>188</v>
      </c>
      <c r="L434" t="s">
        <v>35</v>
      </c>
      <c r="M434">
        <v>0</v>
      </c>
      <c r="N434">
        <v>1</v>
      </c>
      <c r="O434" s="17">
        <v>50497</v>
      </c>
      <c r="P434" s="17">
        <v>50496</v>
      </c>
      <c r="Q434">
        <f>31-14</f>
        <v>17</v>
      </c>
      <c r="R434" t="s">
        <v>39</v>
      </c>
      <c r="S434" t="s">
        <v>32</v>
      </c>
      <c r="T434">
        <v>18</v>
      </c>
      <c r="U434">
        <v>76.5</v>
      </c>
      <c r="V434">
        <v>16</v>
      </c>
      <c r="W434">
        <v>12</v>
      </c>
      <c r="X434">
        <v>29.2</v>
      </c>
      <c r="Z434" t="s">
        <v>32</v>
      </c>
      <c r="AB434" t="s">
        <v>44</v>
      </c>
      <c r="AC434" t="s">
        <v>122</v>
      </c>
      <c r="AD434" t="s">
        <v>274</v>
      </c>
    </row>
    <row r="435" spans="1:30" x14ac:dyDescent="0.2">
      <c r="A435" s="3">
        <v>42556</v>
      </c>
      <c r="B435" t="s">
        <v>23</v>
      </c>
      <c r="C435">
        <v>112</v>
      </c>
      <c r="D435">
        <v>7</v>
      </c>
      <c r="E435">
        <v>1</v>
      </c>
      <c r="F435" t="s">
        <v>33</v>
      </c>
      <c r="G435" t="s">
        <v>25</v>
      </c>
      <c r="H435" t="s">
        <v>26</v>
      </c>
      <c r="I435" t="s">
        <v>27</v>
      </c>
      <c r="J435" t="s">
        <v>28</v>
      </c>
      <c r="K435" t="s">
        <v>188</v>
      </c>
      <c r="L435" t="s">
        <v>35</v>
      </c>
      <c r="M435">
        <v>0</v>
      </c>
      <c r="N435">
        <v>0</v>
      </c>
      <c r="O435" s="17">
        <v>50497</v>
      </c>
      <c r="P435" s="17">
        <v>50496</v>
      </c>
      <c r="Q435">
        <v>17</v>
      </c>
      <c r="R435" t="s">
        <v>39</v>
      </c>
      <c r="T435">
        <v>20</v>
      </c>
      <c r="U435">
        <v>71</v>
      </c>
      <c r="V435">
        <v>15</v>
      </c>
      <c r="W435">
        <v>12</v>
      </c>
      <c r="X435">
        <v>26.6</v>
      </c>
      <c r="Z435" t="s">
        <v>32</v>
      </c>
      <c r="AB435" t="s">
        <v>53</v>
      </c>
      <c r="AC435" t="s">
        <v>59</v>
      </c>
    </row>
    <row r="436" spans="1:30" x14ac:dyDescent="0.2">
      <c r="A436" s="3">
        <v>42558</v>
      </c>
      <c r="B436" t="s">
        <v>23</v>
      </c>
      <c r="C436">
        <v>112</v>
      </c>
      <c r="D436">
        <v>10</v>
      </c>
      <c r="E436">
        <v>1</v>
      </c>
      <c r="F436" t="s">
        <v>33</v>
      </c>
      <c r="G436" t="s">
        <v>25</v>
      </c>
      <c r="H436" t="s">
        <v>26</v>
      </c>
      <c r="I436" t="s">
        <v>27</v>
      </c>
      <c r="J436" t="s">
        <v>28</v>
      </c>
      <c r="K436" t="s">
        <v>188</v>
      </c>
      <c r="L436" t="s">
        <v>35</v>
      </c>
      <c r="M436">
        <v>0</v>
      </c>
      <c r="N436">
        <v>0</v>
      </c>
      <c r="O436" s="17">
        <v>50497</v>
      </c>
      <c r="P436" s="17">
        <v>50496</v>
      </c>
      <c r="Q436">
        <v>19</v>
      </c>
      <c r="R436" t="s">
        <v>39</v>
      </c>
      <c r="T436">
        <v>20</v>
      </c>
      <c r="U436">
        <v>72</v>
      </c>
      <c r="V436">
        <v>14</v>
      </c>
      <c r="W436">
        <v>12.4</v>
      </c>
      <c r="X436">
        <v>27.2</v>
      </c>
      <c r="Z436" t="s">
        <v>32</v>
      </c>
      <c r="AB436" t="s">
        <v>121</v>
      </c>
      <c r="AC436" t="s">
        <v>254</v>
      </c>
    </row>
    <row r="437" spans="1:30" x14ac:dyDescent="0.2">
      <c r="A437" s="3">
        <v>42570</v>
      </c>
      <c r="B437" t="s">
        <v>23</v>
      </c>
      <c r="C437">
        <v>112</v>
      </c>
      <c r="D437">
        <v>7</v>
      </c>
      <c r="E437">
        <v>1</v>
      </c>
      <c r="F437" t="s">
        <v>24</v>
      </c>
      <c r="G437" t="s">
        <v>25</v>
      </c>
      <c r="H437" t="s">
        <v>26</v>
      </c>
      <c r="I437" t="s">
        <v>27</v>
      </c>
      <c r="J437" t="s">
        <v>28</v>
      </c>
      <c r="K437" t="s">
        <v>29</v>
      </c>
      <c r="L437" t="s">
        <v>35</v>
      </c>
      <c r="M437">
        <v>0</v>
      </c>
      <c r="N437">
        <v>0</v>
      </c>
      <c r="O437" s="17">
        <v>50497</v>
      </c>
      <c r="P437" s="17">
        <v>50496</v>
      </c>
      <c r="Q437">
        <f>31.5-11.5</f>
        <v>20</v>
      </c>
      <c r="R437" t="s">
        <v>39</v>
      </c>
      <c r="T437">
        <v>19</v>
      </c>
      <c r="U437">
        <v>75</v>
      </c>
      <c r="V437">
        <v>15.5</v>
      </c>
      <c r="W437">
        <v>13</v>
      </c>
      <c r="X437">
        <v>26.75</v>
      </c>
      <c r="Z437" t="s">
        <v>32</v>
      </c>
      <c r="AB437" t="s">
        <v>582</v>
      </c>
      <c r="AC437" t="s">
        <v>59</v>
      </c>
    </row>
    <row r="438" spans="1:30" x14ac:dyDescent="0.2">
      <c r="A438" s="3">
        <v>42571</v>
      </c>
      <c r="B438" t="s">
        <v>23</v>
      </c>
      <c r="C438">
        <v>112</v>
      </c>
      <c r="D438">
        <v>8</v>
      </c>
      <c r="E438">
        <v>1</v>
      </c>
      <c r="F438" t="s">
        <v>24</v>
      </c>
      <c r="G438" t="s">
        <v>25</v>
      </c>
      <c r="H438" t="s">
        <v>26</v>
      </c>
      <c r="I438" t="s">
        <v>27</v>
      </c>
      <c r="J438" t="s">
        <v>28</v>
      </c>
      <c r="K438" t="s">
        <v>29</v>
      </c>
      <c r="L438" t="s">
        <v>35</v>
      </c>
      <c r="M438">
        <v>0</v>
      </c>
      <c r="N438">
        <v>0</v>
      </c>
      <c r="O438" s="17">
        <v>50497</v>
      </c>
      <c r="P438" s="17">
        <v>50496</v>
      </c>
      <c r="Q438">
        <f>29-11</f>
        <v>18</v>
      </c>
      <c r="R438">
        <v>25.2</v>
      </c>
      <c r="T438">
        <v>19</v>
      </c>
      <c r="U438">
        <v>80</v>
      </c>
      <c r="V438">
        <v>17</v>
      </c>
      <c r="W438">
        <v>13.1</v>
      </c>
      <c r="X438">
        <v>25.2</v>
      </c>
      <c r="Z438" t="s">
        <v>32</v>
      </c>
      <c r="AB438" t="s">
        <v>44</v>
      </c>
      <c r="AC438" t="s">
        <v>59</v>
      </c>
    </row>
    <row r="439" spans="1:30" x14ac:dyDescent="0.2">
      <c r="A439" s="3">
        <v>42585</v>
      </c>
      <c r="B439" t="s">
        <v>23</v>
      </c>
      <c r="C439">
        <v>112</v>
      </c>
      <c r="D439">
        <v>7</v>
      </c>
      <c r="E439">
        <v>2</v>
      </c>
      <c r="F439" t="s">
        <v>64</v>
      </c>
      <c r="G439" t="s">
        <v>25</v>
      </c>
      <c r="H439" t="s">
        <v>26</v>
      </c>
      <c r="I439" t="s">
        <v>27</v>
      </c>
      <c r="J439" t="s">
        <v>28</v>
      </c>
      <c r="K439" t="s">
        <v>29</v>
      </c>
      <c r="L439" t="s">
        <v>35</v>
      </c>
      <c r="M439">
        <v>0</v>
      </c>
      <c r="N439">
        <v>0</v>
      </c>
      <c r="O439" s="17">
        <v>50497</v>
      </c>
      <c r="P439" s="17">
        <v>50496</v>
      </c>
      <c r="Q439">
        <v>20</v>
      </c>
      <c r="R439" t="s">
        <v>39</v>
      </c>
      <c r="T439">
        <v>20</v>
      </c>
      <c r="U439">
        <v>82</v>
      </c>
      <c r="V439">
        <v>15</v>
      </c>
      <c r="W439">
        <v>12.9</v>
      </c>
      <c r="Z439" t="s">
        <v>32</v>
      </c>
      <c r="AB439" t="s">
        <v>53</v>
      </c>
      <c r="AC439" t="s">
        <v>122</v>
      </c>
      <c r="AD439" t="s">
        <v>919</v>
      </c>
    </row>
    <row r="440" spans="1:30" x14ac:dyDescent="0.2">
      <c r="A440" s="3">
        <v>42586</v>
      </c>
      <c r="B440" t="s">
        <v>23</v>
      </c>
      <c r="C440">
        <v>112</v>
      </c>
      <c r="D440">
        <v>6</v>
      </c>
      <c r="E440">
        <v>2</v>
      </c>
      <c r="F440" t="s">
        <v>64</v>
      </c>
      <c r="G440" t="s">
        <v>25</v>
      </c>
      <c r="H440" t="s">
        <v>26</v>
      </c>
      <c r="I440" t="s">
        <v>27</v>
      </c>
      <c r="J440" t="s">
        <v>28</v>
      </c>
      <c r="K440" t="s">
        <v>29</v>
      </c>
      <c r="L440" t="s">
        <v>35</v>
      </c>
      <c r="M440">
        <v>0</v>
      </c>
      <c r="N440">
        <v>0</v>
      </c>
      <c r="O440" s="17" t="s">
        <v>964</v>
      </c>
      <c r="P440" s="17" t="s">
        <v>965</v>
      </c>
      <c r="Q440">
        <f>36-16.5</f>
        <v>19.5</v>
      </c>
      <c r="R440" t="s">
        <v>39</v>
      </c>
      <c r="T440">
        <v>19</v>
      </c>
      <c r="U440">
        <v>82</v>
      </c>
      <c r="V440">
        <v>16.5</v>
      </c>
      <c r="W440">
        <v>12.8</v>
      </c>
      <c r="X440">
        <v>27.2</v>
      </c>
      <c r="Z440" t="s">
        <v>32</v>
      </c>
      <c r="AB440" t="s">
        <v>53</v>
      </c>
      <c r="AC440" t="s">
        <v>122</v>
      </c>
      <c r="AD440" t="s">
        <v>966</v>
      </c>
    </row>
    <row r="441" spans="1:30" x14ac:dyDescent="0.2">
      <c r="A441" s="3">
        <v>42588</v>
      </c>
      <c r="B441" t="s">
        <v>23</v>
      </c>
      <c r="C441">
        <v>112</v>
      </c>
      <c r="D441">
        <v>4</v>
      </c>
      <c r="E441">
        <v>2</v>
      </c>
      <c r="F441" t="s">
        <v>64</v>
      </c>
      <c r="G441" t="s">
        <v>25</v>
      </c>
      <c r="H441" t="s">
        <v>26</v>
      </c>
      <c r="I441" t="s">
        <v>27</v>
      </c>
      <c r="J441" t="s">
        <v>28</v>
      </c>
      <c r="K441" t="s">
        <v>29</v>
      </c>
      <c r="L441" t="s">
        <v>35</v>
      </c>
      <c r="M441">
        <v>0</v>
      </c>
      <c r="N441">
        <v>0</v>
      </c>
      <c r="O441" s="16">
        <v>50497</v>
      </c>
      <c r="P441" s="16">
        <v>50496</v>
      </c>
      <c r="Q441">
        <f>35-16</f>
        <v>19</v>
      </c>
      <c r="R441" t="s">
        <v>39</v>
      </c>
      <c r="T441">
        <v>19</v>
      </c>
      <c r="U441">
        <v>84</v>
      </c>
      <c r="V441">
        <v>15</v>
      </c>
      <c r="W441">
        <v>13</v>
      </c>
      <c r="X441">
        <v>26.9</v>
      </c>
      <c r="Z441" t="s">
        <v>145</v>
      </c>
      <c r="AA441" t="s">
        <v>260</v>
      </c>
      <c r="AB441" t="s">
        <v>121</v>
      </c>
      <c r="AC441" t="s">
        <v>59</v>
      </c>
      <c r="AD441" t="s">
        <v>966</v>
      </c>
    </row>
    <row r="442" spans="1:30" x14ac:dyDescent="0.2">
      <c r="A442" s="3">
        <v>42600</v>
      </c>
      <c r="B442" t="s">
        <v>23</v>
      </c>
      <c r="C442">
        <v>112</v>
      </c>
      <c r="D442">
        <v>4</v>
      </c>
      <c r="E442">
        <v>1</v>
      </c>
      <c r="F442" t="s">
        <v>66</v>
      </c>
      <c r="G442" t="s">
        <v>25</v>
      </c>
      <c r="H442" t="s">
        <v>26</v>
      </c>
      <c r="I442" t="s">
        <v>27</v>
      </c>
      <c r="J442" t="s">
        <v>28</v>
      </c>
      <c r="K442" t="s">
        <v>29</v>
      </c>
      <c r="L442" t="s">
        <v>35</v>
      </c>
      <c r="M442">
        <v>0</v>
      </c>
      <c r="N442">
        <v>0</v>
      </c>
      <c r="O442" s="17" t="s">
        <v>964</v>
      </c>
      <c r="P442" s="17" t="s">
        <v>965</v>
      </c>
      <c r="Q442">
        <v>20.5</v>
      </c>
      <c r="R442" t="s">
        <v>39</v>
      </c>
      <c r="T442">
        <v>19</v>
      </c>
      <c r="U442">
        <v>80</v>
      </c>
      <c r="V442">
        <v>15</v>
      </c>
      <c r="W442">
        <v>13</v>
      </c>
      <c r="X442">
        <v>28.3</v>
      </c>
    </row>
    <row r="443" spans="1:30" x14ac:dyDescent="0.2">
      <c r="A443" s="3">
        <v>42541</v>
      </c>
      <c r="B443" t="s">
        <v>23</v>
      </c>
      <c r="C443">
        <v>112</v>
      </c>
      <c r="D443">
        <v>10</v>
      </c>
      <c r="E443">
        <v>2</v>
      </c>
      <c r="F443" t="s">
        <v>24</v>
      </c>
      <c r="G443" t="s">
        <v>25</v>
      </c>
      <c r="H443" t="s">
        <v>26</v>
      </c>
      <c r="I443" t="s">
        <v>27</v>
      </c>
      <c r="J443" t="s">
        <v>34</v>
      </c>
      <c r="K443" t="s">
        <v>29</v>
      </c>
      <c r="L443" t="s">
        <v>30</v>
      </c>
      <c r="M443">
        <v>0</v>
      </c>
      <c r="N443">
        <v>0</v>
      </c>
      <c r="O443" s="17">
        <v>50498</v>
      </c>
      <c r="P443" s="17">
        <v>50499</v>
      </c>
      <c r="Q443">
        <f>34.5-12.5</f>
        <v>22</v>
      </c>
      <c r="R443" t="s">
        <v>31</v>
      </c>
      <c r="S443" t="s">
        <v>32</v>
      </c>
      <c r="T443">
        <v>19</v>
      </c>
      <c r="U443">
        <v>87</v>
      </c>
      <c r="V443">
        <v>18</v>
      </c>
      <c r="W443">
        <v>12.6</v>
      </c>
      <c r="X443">
        <v>29.6</v>
      </c>
      <c r="Z443" t="s">
        <v>32</v>
      </c>
      <c r="AB443" t="s">
        <v>53</v>
      </c>
      <c r="AC443" t="s">
        <v>254</v>
      </c>
    </row>
    <row r="444" spans="1:30" x14ac:dyDescent="0.2">
      <c r="A444" s="3">
        <v>42542</v>
      </c>
      <c r="B444" t="s">
        <v>23</v>
      </c>
      <c r="C444">
        <v>112</v>
      </c>
      <c r="D444">
        <v>10</v>
      </c>
      <c r="E444">
        <v>1</v>
      </c>
      <c r="F444" t="s">
        <v>24</v>
      </c>
      <c r="G444" t="s">
        <v>25</v>
      </c>
      <c r="H444" t="s">
        <v>26</v>
      </c>
      <c r="I444" t="s">
        <v>27</v>
      </c>
      <c r="J444" t="s">
        <v>28</v>
      </c>
      <c r="K444" t="s">
        <v>29</v>
      </c>
      <c r="L444" t="s">
        <v>30</v>
      </c>
      <c r="M444">
        <v>0</v>
      </c>
      <c r="N444">
        <v>0</v>
      </c>
      <c r="O444" s="17">
        <v>50498</v>
      </c>
      <c r="P444" s="17">
        <v>50499</v>
      </c>
      <c r="Q444">
        <f>36-13.5</f>
        <v>22.5</v>
      </c>
      <c r="R444" t="s">
        <v>61</v>
      </c>
      <c r="S444" t="s">
        <v>32</v>
      </c>
      <c r="T444">
        <v>17</v>
      </c>
      <c r="U444">
        <v>87</v>
      </c>
      <c r="V444">
        <v>18</v>
      </c>
      <c r="W444">
        <v>13.2</v>
      </c>
      <c r="X444">
        <v>30.5</v>
      </c>
      <c r="Z444" t="s">
        <v>32</v>
      </c>
      <c r="AB444" t="s">
        <v>44</v>
      </c>
      <c r="AC444" t="s">
        <v>122</v>
      </c>
    </row>
    <row r="445" spans="1:30" x14ac:dyDescent="0.2">
      <c r="A445" s="3">
        <v>42564</v>
      </c>
      <c r="B445" t="s">
        <v>23</v>
      </c>
      <c r="C445">
        <v>701</v>
      </c>
      <c r="D445">
        <v>8</v>
      </c>
      <c r="E445">
        <v>1</v>
      </c>
      <c r="F445" t="s">
        <v>33</v>
      </c>
      <c r="G445" t="s">
        <v>25</v>
      </c>
      <c r="H445" t="s">
        <v>26</v>
      </c>
      <c r="I445" t="s">
        <v>27</v>
      </c>
      <c r="J445" t="s">
        <v>34</v>
      </c>
      <c r="K445" t="s">
        <v>123</v>
      </c>
      <c r="L445" t="s">
        <v>35</v>
      </c>
      <c r="M445">
        <v>0</v>
      </c>
      <c r="N445">
        <v>1</v>
      </c>
      <c r="O445" s="17">
        <v>50503</v>
      </c>
      <c r="P445" s="17">
        <v>50502</v>
      </c>
      <c r="Q445">
        <f>28.5-13</f>
        <v>15.5</v>
      </c>
      <c r="R445" t="s">
        <v>63</v>
      </c>
      <c r="T445">
        <v>19</v>
      </c>
      <c r="U445">
        <v>81</v>
      </c>
      <c r="V445">
        <v>15</v>
      </c>
      <c r="W445">
        <v>12.9</v>
      </c>
      <c r="X445">
        <v>27.1</v>
      </c>
      <c r="Z445" t="s">
        <v>32</v>
      </c>
      <c r="AB445" t="s">
        <v>121</v>
      </c>
      <c r="AC445" t="s">
        <v>122</v>
      </c>
    </row>
    <row r="446" spans="1:30" x14ac:dyDescent="0.2">
      <c r="A446" s="3">
        <v>42565</v>
      </c>
      <c r="B446" t="s">
        <v>23</v>
      </c>
      <c r="C446">
        <v>701</v>
      </c>
      <c r="D446">
        <v>5</v>
      </c>
      <c r="E446">
        <v>1</v>
      </c>
      <c r="F446" t="s">
        <v>33</v>
      </c>
      <c r="G446" t="s">
        <v>25</v>
      </c>
      <c r="H446" t="s">
        <v>26</v>
      </c>
      <c r="I446" t="s">
        <v>27</v>
      </c>
      <c r="J446" t="s">
        <v>28</v>
      </c>
      <c r="K446" t="s">
        <v>123</v>
      </c>
      <c r="L446" t="s">
        <v>35</v>
      </c>
      <c r="M446">
        <v>0</v>
      </c>
      <c r="N446">
        <v>0</v>
      </c>
      <c r="O446" s="17">
        <v>50503</v>
      </c>
      <c r="P446" s="17">
        <v>50502</v>
      </c>
      <c r="Q446">
        <f>23-9.5</f>
        <v>13.5</v>
      </c>
      <c r="R446" t="s">
        <v>63</v>
      </c>
      <c r="T446">
        <v>20</v>
      </c>
      <c r="U446">
        <v>80</v>
      </c>
      <c r="V446">
        <v>14</v>
      </c>
      <c r="W446">
        <v>12.9</v>
      </c>
      <c r="X446">
        <v>26.9</v>
      </c>
      <c r="Z446" t="s">
        <v>32</v>
      </c>
      <c r="AB446" t="s">
        <v>121</v>
      </c>
      <c r="AC446" t="s">
        <v>254</v>
      </c>
    </row>
    <row r="447" spans="1:30" x14ac:dyDescent="0.2">
      <c r="A447" s="3">
        <v>42575</v>
      </c>
      <c r="B447" t="s">
        <v>23</v>
      </c>
      <c r="C447">
        <v>701</v>
      </c>
      <c r="D447">
        <v>6</v>
      </c>
      <c r="E447">
        <v>1</v>
      </c>
      <c r="F447" t="s">
        <v>24</v>
      </c>
      <c r="G447" t="s">
        <v>25</v>
      </c>
      <c r="H447" t="s">
        <v>26</v>
      </c>
      <c r="I447" t="s">
        <v>27</v>
      </c>
      <c r="J447" t="s">
        <v>28</v>
      </c>
      <c r="K447" t="s">
        <v>188</v>
      </c>
      <c r="L447" t="s">
        <v>35</v>
      </c>
      <c r="M447">
        <v>0</v>
      </c>
      <c r="N447">
        <v>0</v>
      </c>
      <c r="O447" s="17">
        <v>50503</v>
      </c>
      <c r="P447" s="17">
        <v>50502</v>
      </c>
      <c r="Q447">
        <v>14.5</v>
      </c>
      <c r="R447" t="s">
        <v>63</v>
      </c>
      <c r="T447">
        <v>19</v>
      </c>
      <c r="U447">
        <v>85</v>
      </c>
      <c r="V447">
        <v>16</v>
      </c>
      <c r="W447">
        <v>12.9</v>
      </c>
      <c r="X447">
        <v>26.7</v>
      </c>
      <c r="Z447" t="s">
        <v>32</v>
      </c>
      <c r="AB447" t="s">
        <v>582</v>
      </c>
      <c r="AC447" t="s">
        <v>59</v>
      </c>
    </row>
    <row r="448" spans="1:30" x14ac:dyDescent="0.2">
      <c r="A448" s="3">
        <v>42576</v>
      </c>
      <c r="B448" t="s">
        <v>23</v>
      </c>
      <c r="C448">
        <v>701</v>
      </c>
      <c r="D448">
        <v>3</v>
      </c>
      <c r="E448">
        <v>1</v>
      </c>
      <c r="F448" t="s">
        <v>24</v>
      </c>
      <c r="G448" t="s">
        <v>25</v>
      </c>
      <c r="H448" t="s">
        <v>26</v>
      </c>
      <c r="I448" t="s">
        <v>27</v>
      </c>
      <c r="J448" t="s">
        <v>28</v>
      </c>
      <c r="K448" t="s">
        <v>188</v>
      </c>
      <c r="L448" t="s">
        <v>35</v>
      </c>
      <c r="M448">
        <v>0</v>
      </c>
      <c r="N448">
        <v>0</v>
      </c>
      <c r="O448" s="17">
        <v>50503</v>
      </c>
      <c r="P448" s="17">
        <v>50502</v>
      </c>
      <c r="Q448">
        <f>26-10.5</f>
        <v>15.5</v>
      </c>
      <c r="R448" t="s">
        <v>63</v>
      </c>
      <c r="T448">
        <v>18</v>
      </c>
      <c r="U448">
        <v>83</v>
      </c>
      <c r="V448">
        <v>15</v>
      </c>
      <c r="W448">
        <v>12.9</v>
      </c>
      <c r="X448">
        <v>26.5</v>
      </c>
      <c r="Z448" t="s">
        <v>32</v>
      </c>
      <c r="AB448" t="s">
        <v>121</v>
      </c>
      <c r="AC448" t="s">
        <v>122</v>
      </c>
    </row>
    <row r="449" spans="1:30" x14ac:dyDescent="0.2">
      <c r="A449" s="3">
        <v>42591</v>
      </c>
      <c r="B449" t="s">
        <v>23</v>
      </c>
      <c r="C449">
        <v>701</v>
      </c>
      <c r="D449">
        <v>1</v>
      </c>
      <c r="E449">
        <v>1</v>
      </c>
      <c r="F449" t="s">
        <v>64</v>
      </c>
      <c r="G449" t="s">
        <v>25</v>
      </c>
      <c r="H449" t="s">
        <v>26</v>
      </c>
      <c r="I449" t="s">
        <v>27</v>
      </c>
      <c r="J449" t="s">
        <v>28</v>
      </c>
      <c r="K449" t="s">
        <v>188</v>
      </c>
      <c r="L449" t="s">
        <v>35</v>
      </c>
      <c r="M449">
        <v>0</v>
      </c>
      <c r="N449">
        <v>0</v>
      </c>
      <c r="O449" s="17" t="s">
        <v>1354</v>
      </c>
      <c r="P449" s="17" t="s">
        <v>1355</v>
      </c>
      <c r="Q449">
        <f>32-14.5</f>
        <v>17.5</v>
      </c>
      <c r="R449" t="s">
        <v>63</v>
      </c>
      <c r="T449">
        <v>18.5</v>
      </c>
      <c r="U449">
        <v>88</v>
      </c>
      <c r="V449">
        <v>16</v>
      </c>
      <c r="W449">
        <v>13</v>
      </c>
      <c r="X449">
        <v>28.2</v>
      </c>
      <c r="Z449" t="s">
        <v>145</v>
      </c>
      <c r="AA449" t="s">
        <v>260</v>
      </c>
      <c r="AB449" t="s">
        <v>44</v>
      </c>
      <c r="AC449" t="s">
        <v>59</v>
      </c>
      <c r="AD449" t="s">
        <v>1356</v>
      </c>
    </row>
    <row r="450" spans="1:30" x14ac:dyDescent="0.2">
      <c r="A450" s="3">
        <v>42592</v>
      </c>
      <c r="B450" t="s">
        <v>23</v>
      </c>
      <c r="C450">
        <v>701</v>
      </c>
      <c r="D450">
        <v>4</v>
      </c>
      <c r="E450">
        <v>1</v>
      </c>
      <c r="F450" t="s">
        <v>64</v>
      </c>
      <c r="G450" t="s">
        <v>25</v>
      </c>
      <c r="H450" t="s">
        <v>26</v>
      </c>
      <c r="I450" t="s">
        <v>27</v>
      </c>
      <c r="J450" t="s">
        <v>28</v>
      </c>
      <c r="K450" t="s">
        <v>188</v>
      </c>
      <c r="L450" t="s">
        <v>35</v>
      </c>
      <c r="M450">
        <v>0</v>
      </c>
      <c r="N450">
        <v>0</v>
      </c>
      <c r="O450" s="17" t="s">
        <v>1354</v>
      </c>
      <c r="P450" s="17" t="s">
        <v>1355</v>
      </c>
      <c r="Q450">
        <f>29-13</f>
        <v>16</v>
      </c>
      <c r="R450" t="s">
        <v>63</v>
      </c>
      <c r="T450">
        <v>19</v>
      </c>
      <c r="U450">
        <v>91</v>
      </c>
      <c r="V450">
        <v>16</v>
      </c>
      <c r="W450">
        <v>12.9</v>
      </c>
      <c r="X450">
        <v>27.5</v>
      </c>
      <c r="Z450" t="s">
        <v>145</v>
      </c>
      <c r="AA450" t="s">
        <v>260</v>
      </c>
      <c r="AB450" t="s">
        <v>53</v>
      </c>
      <c r="AC450" t="s">
        <v>59</v>
      </c>
    </row>
    <row r="451" spans="1:30" x14ac:dyDescent="0.2">
      <c r="A451" s="3">
        <v>42593</v>
      </c>
      <c r="B451" t="s">
        <v>23</v>
      </c>
      <c r="C451">
        <v>701</v>
      </c>
      <c r="D451">
        <v>1</v>
      </c>
      <c r="E451">
        <v>1</v>
      </c>
      <c r="F451" t="s">
        <v>64</v>
      </c>
      <c r="G451" t="s">
        <v>25</v>
      </c>
      <c r="H451" t="s">
        <v>26</v>
      </c>
      <c r="I451" t="s">
        <v>27</v>
      </c>
      <c r="J451" t="s">
        <v>28</v>
      </c>
      <c r="K451" t="s">
        <v>188</v>
      </c>
      <c r="L451" t="s">
        <v>35</v>
      </c>
      <c r="M451">
        <v>0</v>
      </c>
      <c r="N451">
        <v>0</v>
      </c>
      <c r="O451" s="17" t="s">
        <v>1354</v>
      </c>
      <c r="P451" s="17" t="s">
        <v>1355</v>
      </c>
      <c r="Q451">
        <f>31.5-16</f>
        <v>15.5</v>
      </c>
      <c r="R451" t="s">
        <v>63</v>
      </c>
      <c r="T451">
        <v>20</v>
      </c>
      <c r="U451">
        <v>88</v>
      </c>
      <c r="V451">
        <v>17</v>
      </c>
      <c r="W451">
        <v>12.7</v>
      </c>
      <c r="X451">
        <v>26.4</v>
      </c>
      <c r="Z451" t="s">
        <v>145</v>
      </c>
      <c r="AA451" t="s">
        <v>260</v>
      </c>
      <c r="AB451" t="s">
        <v>44</v>
      </c>
      <c r="AC451" t="s">
        <v>122</v>
      </c>
    </row>
    <row r="452" spans="1:30" x14ac:dyDescent="0.2">
      <c r="A452" s="3">
        <v>42604</v>
      </c>
      <c r="B452" t="s">
        <v>23</v>
      </c>
      <c r="C452">
        <v>701</v>
      </c>
      <c r="D452">
        <v>1</v>
      </c>
      <c r="E452">
        <v>2</v>
      </c>
      <c r="F452" t="s">
        <v>24</v>
      </c>
      <c r="G452" t="s">
        <v>25</v>
      </c>
      <c r="H452" t="s">
        <v>26</v>
      </c>
      <c r="I452" t="s">
        <v>27</v>
      </c>
      <c r="J452" t="s">
        <v>28</v>
      </c>
      <c r="K452" t="s">
        <v>188</v>
      </c>
      <c r="L452" t="s">
        <v>35</v>
      </c>
      <c r="M452">
        <v>0</v>
      </c>
      <c r="N452">
        <v>0</v>
      </c>
      <c r="O452" s="17" t="s">
        <v>1354</v>
      </c>
      <c r="P452" s="17" t="s">
        <v>1355</v>
      </c>
      <c r="Q452">
        <f>33-17</f>
        <v>16</v>
      </c>
      <c r="R452" t="s">
        <v>63</v>
      </c>
      <c r="T452">
        <v>19</v>
      </c>
      <c r="U452">
        <v>82</v>
      </c>
      <c r="V452">
        <v>17</v>
      </c>
      <c r="W452">
        <v>15</v>
      </c>
      <c r="X452">
        <v>25.5</v>
      </c>
      <c r="Z452" t="s">
        <v>145</v>
      </c>
      <c r="AB452" t="s">
        <v>582</v>
      </c>
      <c r="AC452" t="s">
        <v>116</v>
      </c>
    </row>
    <row r="453" spans="1:30" x14ac:dyDescent="0.2">
      <c r="A453" s="3">
        <v>42605</v>
      </c>
      <c r="B453" t="s">
        <v>23</v>
      </c>
      <c r="C453">
        <v>701</v>
      </c>
      <c r="D453">
        <v>4</v>
      </c>
      <c r="E453">
        <v>1</v>
      </c>
      <c r="F453" t="s">
        <v>24</v>
      </c>
      <c r="G453" t="s">
        <v>25</v>
      </c>
      <c r="H453" t="s">
        <v>26</v>
      </c>
      <c r="I453" t="s">
        <v>27</v>
      </c>
      <c r="J453" t="s">
        <v>28</v>
      </c>
      <c r="K453" t="s">
        <v>188</v>
      </c>
      <c r="L453" t="s">
        <v>35</v>
      </c>
      <c r="M453">
        <v>0</v>
      </c>
      <c r="N453">
        <v>0</v>
      </c>
      <c r="O453" s="17" t="s">
        <v>1354</v>
      </c>
      <c r="P453" s="17" t="s">
        <v>1355</v>
      </c>
      <c r="Q453">
        <f>31.5-14</f>
        <v>17.5</v>
      </c>
      <c r="R453" t="s">
        <v>63</v>
      </c>
      <c r="T453">
        <v>19</v>
      </c>
      <c r="U453">
        <v>83</v>
      </c>
      <c r="V453">
        <v>15.5</v>
      </c>
      <c r="W453">
        <v>13</v>
      </c>
      <c r="X453">
        <v>26.8</v>
      </c>
      <c r="Z453" t="s">
        <v>145</v>
      </c>
      <c r="AB453" t="s">
        <v>44</v>
      </c>
      <c r="AC453" t="s">
        <v>59</v>
      </c>
      <c r="AD453" t="s">
        <v>1904</v>
      </c>
    </row>
    <row r="454" spans="1:30" x14ac:dyDescent="0.2">
      <c r="A454" s="3">
        <v>42606</v>
      </c>
      <c r="B454" t="s">
        <v>23</v>
      </c>
      <c r="C454">
        <v>701</v>
      </c>
      <c r="D454">
        <v>2</v>
      </c>
      <c r="E454">
        <v>2</v>
      </c>
      <c r="F454" t="s">
        <v>24</v>
      </c>
      <c r="G454" t="s">
        <v>25</v>
      </c>
      <c r="H454" t="s">
        <v>26</v>
      </c>
      <c r="I454" t="s">
        <v>27</v>
      </c>
      <c r="J454" t="s">
        <v>28</v>
      </c>
      <c r="K454" t="s">
        <v>188</v>
      </c>
      <c r="L454" t="s">
        <v>35</v>
      </c>
      <c r="M454">
        <v>0</v>
      </c>
      <c r="N454">
        <v>0</v>
      </c>
      <c r="O454" s="17" t="s">
        <v>1354</v>
      </c>
      <c r="P454" s="17" t="s">
        <v>1355</v>
      </c>
      <c r="Q454">
        <f>32-12.5</f>
        <v>19.5</v>
      </c>
      <c r="R454" t="s">
        <v>63</v>
      </c>
      <c r="T454">
        <v>20</v>
      </c>
      <c r="U454">
        <v>85</v>
      </c>
      <c r="V454">
        <v>16</v>
      </c>
      <c r="W454">
        <v>13</v>
      </c>
      <c r="X454">
        <v>25</v>
      </c>
      <c r="Z454" t="s">
        <v>145</v>
      </c>
      <c r="AB454" t="s">
        <v>44</v>
      </c>
      <c r="AC454" t="s">
        <v>59</v>
      </c>
    </row>
    <row r="455" spans="1:30" x14ac:dyDescent="0.2">
      <c r="A455" s="3">
        <v>42564</v>
      </c>
      <c r="B455" t="s">
        <v>23</v>
      </c>
      <c r="C455">
        <v>701</v>
      </c>
      <c r="D455">
        <v>4</v>
      </c>
      <c r="E455">
        <v>1</v>
      </c>
      <c r="F455" t="s">
        <v>33</v>
      </c>
      <c r="G455" t="s">
        <v>25</v>
      </c>
      <c r="H455" t="s">
        <v>26</v>
      </c>
      <c r="I455" t="s">
        <v>27</v>
      </c>
      <c r="J455" t="s">
        <v>34</v>
      </c>
      <c r="K455" t="s">
        <v>188</v>
      </c>
      <c r="L455" t="s">
        <v>35</v>
      </c>
      <c r="M455">
        <v>0</v>
      </c>
      <c r="N455">
        <v>1</v>
      </c>
      <c r="O455" s="17">
        <v>50506</v>
      </c>
      <c r="P455" s="17">
        <v>50505</v>
      </c>
      <c r="Q455">
        <f>28-11</f>
        <v>17</v>
      </c>
      <c r="R455" t="s">
        <v>39</v>
      </c>
      <c r="T455">
        <v>19</v>
      </c>
      <c r="U455">
        <v>82</v>
      </c>
      <c r="V455">
        <v>15</v>
      </c>
      <c r="W455">
        <v>12.8</v>
      </c>
      <c r="X455">
        <v>27.4</v>
      </c>
      <c r="Z455" t="s">
        <v>145</v>
      </c>
      <c r="AB455" t="s">
        <v>121</v>
      </c>
      <c r="AC455" t="s">
        <v>122</v>
      </c>
    </row>
    <row r="456" spans="1:30" x14ac:dyDescent="0.2">
      <c r="A456" s="3">
        <v>42565</v>
      </c>
      <c r="B456" t="s">
        <v>23</v>
      </c>
      <c r="C456">
        <v>701</v>
      </c>
      <c r="D456">
        <v>3</v>
      </c>
      <c r="E456">
        <v>1</v>
      </c>
      <c r="F456" t="s">
        <v>33</v>
      </c>
      <c r="G456" t="s">
        <v>25</v>
      </c>
      <c r="H456" t="s">
        <v>26</v>
      </c>
      <c r="I456" t="s">
        <v>27</v>
      </c>
      <c r="J456" t="s">
        <v>28</v>
      </c>
      <c r="K456" t="s">
        <v>188</v>
      </c>
      <c r="L456" t="s">
        <v>35</v>
      </c>
      <c r="M456">
        <v>0</v>
      </c>
      <c r="N456">
        <v>0</v>
      </c>
      <c r="O456" s="17">
        <v>50506</v>
      </c>
      <c r="P456" s="17">
        <v>50505</v>
      </c>
      <c r="Q456">
        <f>27-10</f>
        <v>17</v>
      </c>
      <c r="R456" t="s">
        <v>63</v>
      </c>
      <c r="T456">
        <v>19</v>
      </c>
      <c r="U456">
        <v>83</v>
      </c>
      <c r="V456">
        <v>16</v>
      </c>
      <c r="W456">
        <v>12.7</v>
      </c>
      <c r="X456">
        <v>27.4</v>
      </c>
      <c r="Z456" t="s">
        <v>145</v>
      </c>
      <c r="AA456" t="s">
        <v>260</v>
      </c>
      <c r="AB456" t="s">
        <v>121</v>
      </c>
      <c r="AC456" t="s">
        <v>254</v>
      </c>
    </row>
    <row r="457" spans="1:30" x14ac:dyDescent="0.2">
      <c r="A457" s="3">
        <v>42574</v>
      </c>
      <c r="B457" t="s">
        <v>23</v>
      </c>
      <c r="C457">
        <v>701</v>
      </c>
      <c r="D457">
        <v>3</v>
      </c>
      <c r="E457">
        <v>2</v>
      </c>
      <c r="F457" t="s">
        <v>24</v>
      </c>
      <c r="G457" t="s">
        <v>25</v>
      </c>
      <c r="H457" t="s">
        <v>26</v>
      </c>
      <c r="I457" t="s">
        <v>27</v>
      </c>
      <c r="J457" t="s">
        <v>28</v>
      </c>
      <c r="K457" t="s">
        <v>188</v>
      </c>
      <c r="L457" t="s">
        <v>35</v>
      </c>
      <c r="M457">
        <v>0</v>
      </c>
      <c r="N457">
        <v>0</v>
      </c>
      <c r="O457" s="17">
        <v>50506</v>
      </c>
      <c r="P457" s="17">
        <v>50505</v>
      </c>
      <c r="Q457">
        <f>29.5-13</f>
        <v>16.5</v>
      </c>
      <c r="R457" t="s">
        <v>63</v>
      </c>
      <c r="T457">
        <v>18</v>
      </c>
      <c r="U457">
        <v>91</v>
      </c>
      <c r="V457">
        <v>18</v>
      </c>
      <c r="W457">
        <v>12.5</v>
      </c>
      <c r="X457">
        <v>25.3</v>
      </c>
      <c r="Z457" t="s">
        <v>145</v>
      </c>
      <c r="AB457" t="s">
        <v>582</v>
      </c>
      <c r="AC457" t="s">
        <v>59</v>
      </c>
    </row>
    <row r="458" spans="1:30" x14ac:dyDescent="0.2">
      <c r="A458" s="3">
        <v>42575</v>
      </c>
      <c r="B458" t="s">
        <v>23</v>
      </c>
      <c r="C458">
        <v>701</v>
      </c>
      <c r="D458">
        <v>2</v>
      </c>
      <c r="E458">
        <v>1</v>
      </c>
      <c r="F458" t="s">
        <v>24</v>
      </c>
      <c r="G458" t="s">
        <v>25</v>
      </c>
      <c r="H458" t="s">
        <v>26</v>
      </c>
      <c r="I458" t="s">
        <v>27</v>
      </c>
      <c r="J458" t="s">
        <v>28</v>
      </c>
      <c r="K458" t="s">
        <v>188</v>
      </c>
      <c r="L458" t="s">
        <v>35</v>
      </c>
      <c r="M458">
        <v>0</v>
      </c>
      <c r="N458">
        <v>0</v>
      </c>
      <c r="O458" s="17">
        <v>50506</v>
      </c>
      <c r="P458" s="17">
        <v>50505</v>
      </c>
      <c r="Q458">
        <v>17</v>
      </c>
      <c r="R458" t="s">
        <v>63</v>
      </c>
      <c r="T458">
        <v>19</v>
      </c>
      <c r="U458">
        <v>88</v>
      </c>
      <c r="V458">
        <v>18</v>
      </c>
      <c r="W458">
        <v>13.1</v>
      </c>
      <c r="X458">
        <v>25.9</v>
      </c>
      <c r="Z458" t="s">
        <v>145</v>
      </c>
      <c r="AB458" t="s">
        <v>582</v>
      </c>
      <c r="AC458" t="s">
        <v>59</v>
      </c>
    </row>
    <row r="459" spans="1:30" x14ac:dyDescent="0.2">
      <c r="A459" s="3">
        <v>42576</v>
      </c>
      <c r="B459" t="s">
        <v>23</v>
      </c>
      <c r="C459">
        <v>701</v>
      </c>
      <c r="D459">
        <v>1</v>
      </c>
      <c r="E459">
        <v>2</v>
      </c>
      <c r="F459" t="s">
        <v>24</v>
      </c>
      <c r="G459" t="s">
        <v>25</v>
      </c>
      <c r="H459" t="s">
        <v>26</v>
      </c>
      <c r="I459" t="s">
        <v>27</v>
      </c>
      <c r="J459" t="s">
        <v>28</v>
      </c>
      <c r="K459" t="s">
        <v>188</v>
      </c>
      <c r="L459" t="s">
        <v>35</v>
      </c>
      <c r="M459">
        <v>0</v>
      </c>
      <c r="N459">
        <v>0</v>
      </c>
      <c r="O459" s="17">
        <v>50506</v>
      </c>
      <c r="P459" s="17">
        <v>50505</v>
      </c>
      <c r="Q459">
        <f>24.5-9</f>
        <v>15.5</v>
      </c>
      <c r="R459" t="s">
        <v>63</v>
      </c>
      <c r="T459">
        <v>19</v>
      </c>
      <c r="U459">
        <v>88</v>
      </c>
      <c r="V459">
        <v>16</v>
      </c>
      <c r="W459">
        <v>13.1</v>
      </c>
      <c r="X459">
        <v>29</v>
      </c>
      <c r="Z459" t="s">
        <v>145</v>
      </c>
      <c r="AB459" t="s">
        <v>121</v>
      </c>
      <c r="AC459" t="s">
        <v>122</v>
      </c>
    </row>
    <row r="460" spans="1:30" x14ac:dyDescent="0.2">
      <c r="A460" s="3">
        <v>42591</v>
      </c>
      <c r="B460" t="s">
        <v>23</v>
      </c>
      <c r="C460">
        <v>701</v>
      </c>
      <c r="D460">
        <v>1</v>
      </c>
      <c r="E460">
        <v>2</v>
      </c>
      <c r="F460" t="s">
        <v>64</v>
      </c>
      <c r="G460" t="s">
        <v>25</v>
      </c>
      <c r="H460" t="s">
        <v>26</v>
      </c>
      <c r="I460" t="s">
        <v>27</v>
      </c>
      <c r="J460" t="s">
        <v>28</v>
      </c>
      <c r="K460" t="s">
        <v>188</v>
      </c>
      <c r="L460" t="s">
        <v>35</v>
      </c>
      <c r="M460">
        <v>0</v>
      </c>
      <c r="N460">
        <v>0</v>
      </c>
      <c r="O460" s="17" t="s">
        <v>1358</v>
      </c>
      <c r="P460" s="17" t="s">
        <v>1359</v>
      </c>
      <c r="Q460">
        <f>33-15</f>
        <v>18</v>
      </c>
      <c r="R460" t="s">
        <v>63</v>
      </c>
      <c r="T460">
        <v>16</v>
      </c>
      <c r="U460">
        <v>89</v>
      </c>
      <c r="V460">
        <v>16</v>
      </c>
      <c r="W460">
        <v>13</v>
      </c>
      <c r="X460">
        <v>28.2</v>
      </c>
      <c r="Z460" t="s">
        <v>145</v>
      </c>
      <c r="AA460" t="s">
        <v>1360</v>
      </c>
      <c r="AB460" t="s">
        <v>44</v>
      </c>
      <c r="AC460" t="s">
        <v>59</v>
      </c>
    </row>
    <row r="461" spans="1:30" x14ac:dyDescent="0.2">
      <c r="A461" s="3">
        <v>42592</v>
      </c>
      <c r="B461" t="s">
        <v>23</v>
      </c>
      <c r="C461">
        <v>701</v>
      </c>
      <c r="D461">
        <v>2</v>
      </c>
      <c r="E461">
        <v>1</v>
      </c>
      <c r="F461" t="s">
        <v>64</v>
      </c>
      <c r="G461" t="s">
        <v>25</v>
      </c>
      <c r="H461" t="s">
        <v>26</v>
      </c>
      <c r="I461" t="s">
        <v>27</v>
      </c>
      <c r="J461" t="s">
        <v>28</v>
      </c>
      <c r="K461" t="s">
        <v>188</v>
      </c>
      <c r="L461" t="s">
        <v>35</v>
      </c>
      <c r="M461">
        <v>0</v>
      </c>
      <c r="N461">
        <v>0</v>
      </c>
      <c r="O461" s="17" t="s">
        <v>1358</v>
      </c>
      <c r="P461" s="17" t="s">
        <v>1359</v>
      </c>
      <c r="Q461">
        <f>36-19</f>
        <v>17</v>
      </c>
      <c r="R461" t="s">
        <v>63</v>
      </c>
      <c r="T461">
        <v>20</v>
      </c>
      <c r="U461">
        <v>86</v>
      </c>
      <c r="V461">
        <v>16</v>
      </c>
      <c r="W461">
        <v>12.9</v>
      </c>
      <c r="X461">
        <v>27</v>
      </c>
      <c r="Z461" t="s">
        <v>145</v>
      </c>
      <c r="AA461" t="s">
        <v>260</v>
      </c>
      <c r="AB461" t="s">
        <v>53</v>
      </c>
      <c r="AC461" t="s">
        <v>59</v>
      </c>
    </row>
    <row r="462" spans="1:30" x14ac:dyDescent="0.2">
      <c r="A462" s="3">
        <v>42593</v>
      </c>
      <c r="B462" t="s">
        <v>23</v>
      </c>
      <c r="C462">
        <v>701</v>
      </c>
      <c r="D462">
        <v>2</v>
      </c>
      <c r="E462">
        <v>1</v>
      </c>
      <c r="F462" t="s">
        <v>64</v>
      </c>
      <c r="G462" t="s">
        <v>25</v>
      </c>
      <c r="H462" t="s">
        <v>26</v>
      </c>
      <c r="I462" t="s">
        <v>27</v>
      </c>
      <c r="J462" t="s">
        <v>28</v>
      </c>
      <c r="K462" t="s">
        <v>188</v>
      </c>
      <c r="L462" t="s">
        <v>35</v>
      </c>
      <c r="M462">
        <v>0</v>
      </c>
      <c r="N462">
        <v>0</v>
      </c>
      <c r="O462" s="17" t="s">
        <v>1358</v>
      </c>
      <c r="P462" s="17" t="s">
        <v>1359</v>
      </c>
      <c r="Q462">
        <f>29.5-14</f>
        <v>15.5</v>
      </c>
      <c r="R462" t="s">
        <v>63</v>
      </c>
      <c r="T462">
        <v>19</v>
      </c>
      <c r="U462">
        <v>90</v>
      </c>
      <c r="V462">
        <v>16</v>
      </c>
      <c r="W462">
        <v>12.8</v>
      </c>
      <c r="X462">
        <v>27.4</v>
      </c>
      <c r="Z462" t="s">
        <v>145</v>
      </c>
      <c r="AA462" t="s">
        <v>260</v>
      </c>
      <c r="AB462" t="s">
        <v>44</v>
      </c>
      <c r="AC462" t="s">
        <v>122</v>
      </c>
    </row>
    <row r="463" spans="1:30" x14ac:dyDescent="0.2">
      <c r="A463" s="3">
        <v>42604</v>
      </c>
      <c r="B463" t="s">
        <v>23</v>
      </c>
      <c r="C463">
        <v>701</v>
      </c>
      <c r="D463">
        <v>3</v>
      </c>
      <c r="E463">
        <v>2</v>
      </c>
      <c r="F463" t="s">
        <v>24</v>
      </c>
      <c r="G463" t="s">
        <v>25</v>
      </c>
      <c r="H463" t="s">
        <v>26</v>
      </c>
      <c r="I463" t="s">
        <v>27</v>
      </c>
      <c r="J463" t="s">
        <v>28</v>
      </c>
      <c r="K463" t="s">
        <v>188</v>
      </c>
      <c r="L463" t="s">
        <v>35</v>
      </c>
      <c r="M463">
        <v>0</v>
      </c>
      <c r="N463">
        <v>0</v>
      </c>
      <c r="O463" s="17" t="s">
        <v>1358</v>
      </c>
      <c r="P463" s="17" t="s">
        <v>1359</v>
      </c>
      <c r="Q463">
        <f>30-13</f>
        <v>17</v>
      </c>
      <c r="R463" t="s">
        <v>63</v>
      </c>
      <c r="T463">
        <v>18</v>
      </c>
      <c r="U463">
        <v>80</v>
      </c>
      <c r="V463">
        <v>16</v>
      </c>
      <c r="W463">
        <v>12.8</v>
      </c>
      <c r="X463">
        <v>25.2</v>
      </c>
      <c r="Y463" t="s">
        <v>1872</v>
      </c>
      <c r="Z463" t="s">
        <v>145</v>
      </c>
      <c r="AB463" t="s">
        <v>582</v>
      </c>
      <c r="AC463" t="s">
        <v>116</v>
      </c>
    </row>
    <row r="464" spans="1:30" x14ac:dyDescent="0.2">
      <c r="A464" s="3">
        <v>42605</v>
      </c>
      <c r="B464" t="s">
        <v>23</v>
      </c>
      <c r="C464">
        <v>701</v>
      </c>
      <c r="D464">
        <v>1</v>
      </c>
      <c r="E464">
        <v>1</v>
      </c>
      <c r="F464" t="s">
        <v>24</v>
      </c>
      <c r="G464" t="s">
        <v>25</v>
      </c>
      <c r="H464" t="s">
        <v>26</v>
      </c>
      <c r="I464" t="s">
        <v>27</v>
      </c>
      <c r="J464" t="s">
        <v>28</v>
      </c>
      <c r="K464" t="s">
        <v>188</v>
      </c>
      <c r="L464" t="s">
        <v>35</v>
      </c>
      <c r="M464">
        <v>0</v>
      </c>
      <c r="N464">
        <v>0</v>
      </c>
      <c r="O464" s="17" t="s">
        <v>1358</v>
      </c>
      <c r="P464" s="17" t="s">
        <v>1359</v>
      </c>
      <c r="Q464">
        <f>34-16.5</f>
        <v>17.5</v>
      </c>
      <c r="R464" t="s">
        <v>63</v>
      </c>
      <c r="T464">
        <v>18</v>
      </c>
      <c r="U464">
        <v>89</v>
      </c>
      <c r="V464">
        <v>17</v>
      </c>
      <c r="W464">
        <v>13.1</v>
      </c>
      <c r="X464">
        <v>26.5</v>
      </c>
      <c r="Y464" t="s">
        <v>1899</v>
      </c>
      <c r="Z464" t="s">
        <v>145</v>
      </c>
      <c r="AB464" t="s">
        <v>44</v>
      </c>
      <c r="AC464" t="s">
        <v>59</v>
      </c>
    </row>
    <row r="465" spans="1:29" x14ac:dyDescent="0.2">
      <c r="A465" s="3">
        <v>42606</v>
      </c>
      <c r="B465" t="s">
        <v>23</v>
      </c>
      <c r="C465">
        <v>701</v>
      </c>
      <c r="D465">
        <v>4</v>
      </c>
      <c r="E465">
        <v>2</v>
      </c>
      <c r="F465" t="s">
        <v>24</v>
      </c>
      <c r="G465" t="s">
        <v>25</v>
      </c>
      <c r="H465" t="s">
        <v>26</v>
      </c>
      <c r="I465" t="s">
        <v>27</v>
      </c>
      <c r="J465" t="s">
        <v>28</v>
      </c>
      <c r="K465" t="s">
        <v>188</v>
      </c>
      <c r="L465" t="s">
        <v>35</v>
      </c>
      <c r="M465">
        <v>0</v>
      </c>
      <c r="N465">
        <v>0</v>
      </c>
      <c r="O465" s="17" t="s">
        <v>1358</v>
      </c>
      <c r="P465" s="17" t="s">
        <v>1359</v>
      </c>
      <c r="Q465">
        <f>32-14</f>
        <v>18</v>
      </c>
      <c r="R465" t="s">
        <v>63</v>
      </c>
      <c r="T465">
        <v>18</v>
      </c>
      <c r="U465">
        <v>89</v>
      </c>
      <c r="V465">
        <v>17.5</v>
      </c>
      <c r="W465">
        <v>13.2</v>
      </c>
      <c r="X465">
        <v>25.6</v>
      </c>
      <c r="Z465" t="s">
        <v>145</v>
      </c>
      <c r="AB465" t="s">
        <v>44</v>
      </c>
      <c r="AC465" t="s">
        <v>59</v>
      </c>
    </row>
    <row r="466" spans="1:29" x14ac:dyDescent="0.2">
      <c r="A466" s="3">
        <v>42564</v>
      </c>
      <c r="B466" t="s">
        <v>23</v>
      </c>
      <c r="C466">
        <v>703</v>
      </c>
      <c r="D466">
        <v>10</v>
      </c>
      <c r="E466">
        <v>1</v>
      </c>
      <c r="F466" t="s">
        <v>33</v>
      </c>
      <c r="G466" t="s">
        <v>25</v>
      </c>
      <c r="H466" t="s">
        <v>26</v>
      </c>
      <c r="I466" t="s">
        <v>27</v>
      </c>
      <c r="J466" t="s">
        <v>34</v>
      </c>
      <c r="K466" t="s">
        <v>123</v>
      </c>
      <c r="L466" t="s">
        <v>30</v>
      </c>
      <c r="M466">
        <v>0</v>
      </c>
      <c r="N466">
        <v>1</v>
      </c>
      <c r="O466" s="17">
        <v>50508</v>
      </c>
      <c r="P466" s="17">
        <v>50507</v>
      </c>
      <c r="Q466">
        <f>23.5-9</f>
        <v>14.5</v>
      </c>
      <c r="R466" t="s">
        <v>31</v>
      </c>
      <c r="S466" t="s">
        <v>32</v>
      </c>
      <c r="T466">
        <v>20</v>
      </c>
      <c r="U466">
        <v>79</v>
      </c>
      <c r="V466">
        <v>13</v>
      </c>
      <c r="W466">
        <v>12.9</v>
      </c>
      <c r="X466">
        <v>26.8</v>
      </c>
      <c r="Z466" t="s">
        <v>32</v>
      </c>
      <c r="AB466" t="s">
        <v>121</v>
      </c>
      <c r="AC466" t="s">
        <v>122</v>
      </c>
    </row>
    <row r="467" spans="1:29" x14ac:dyDescent="0.2">
      <c r="A467" s="3">
        <v>42565</v>
      </c>
      <c r="B467" t="s">
        <v>23</v>
      </c>
      <c r="C467">
        <v>701</v>
      </c>
      <c r="D467">
        <v>5</v>
      </c>
      <c r="E467">
        <v>2</v>
      </c>
      <c r="F467" t="s">
        <v>33</v>
      </c>
      <c r="G467" t="s">
        <v>25</v>
      </c>
      <c r="H467" t="s">
        <v>26</v>
      </c>
      <c r="I467" t="s">
        <v>27</v>
      </c>
      <c r="J467" t="s">
        <v>28</v>
      </c>
      <c r="K467" t="s">
        <v>123</v>
      </c>
      <c r="L467" t="s">
        <v>30</v>
      </c>
      <c r="M467">
        <v>0</v>
      </c>
      <c r="N467">
        <v>0</v>
      </c>
      <c r="O467" s="17">
        <v>50508</v>
      </c>
      <c r="P467" s="17">
        <v>50507</v>
      </c>
      <c r="Q467">
        <f>26-9.5</f>
        <v>16.5</v>
      </c>
      <c r="R467" t="s">
        <v>31</v>
      </c>
      <c r="S467" t="s">
        <v>32</v>
      </c>
      <c r="T467">
        <v>20</v>
      </c>
      <c r="U467">
        <v>79</v>
      </c>
      <c r="V467">
        <v>15</v>
      </c>
      <c r="W467">
        <v>12.7</v>
      </c>
      <c r="X467">
        <v>26.3</v>
      </c>
      <c r="Z467" t="s">
        <v>32</v>
      </c>
      <c r="AB467" t="s">
        <v>121</v>
      </c>
      <c r="AC467" t="s">
        <v>254</v>
      </c>
    </row>
    <row r="468" spans="1:29" x14ac:dyDescent="0.2">
      <c r="A468" s="3">
        <v>42563</v>
      </c>
      <c r="B468" t="s">
        <v>23</v>
      </c>
      <c r="C468">
        <v>703</v>
      </c>
      <c r="D468">
        <v>10</v>
      </c>
      <c r="E468">
        <v>2</v>
      </c>
      <c r="F468" t="s">
        <v>33</v>
      </c>
      <c r="G468" t="s">
        <v>25</v>
      </c>
      <c r="H468" t="s">
        <v>26</v>
      </c>
      <c r="I468" t="s">
        <v>27</v>
      </c>
      <c r="J468" t="s">
        <v>34</v>
      </c>
      <c r="K468" t="s">
        <v>123</v>
      </c>
      <c r="L468" t="s">
        <v>30</v>
      </c>
      <c r="M468">
        <v>0</v>
      </c>
      <c r="N468">
        <v>1</v>
      </c>
      <c r="O468" s="17">
        <v>50517</v>
      </c>
      <c r="P468" s="17">
        <v>50516</v>
      </c>
      <c r="Q468">
        <f>24-9</f>
        <v>15</v>
      </c>
      <c r="R468" t="s">
        <v>31</v>
      </c>
      <c r="S468" t="s">
        <v>32</v>
      </c>
      <c r="T468">
        <v>19</v>
      </c>
      <c r="U468">
        <v>69</v>
      </c>
      <c r="V468">
        <v>13</v>
      </c>
      <c r="W468">
        <v>13</v>
      </c>
      <c r="X468">
        <v>27.1</v>
      </c>
      <c r="Z468" t="s">
        <v>32</v>
      </c>
      <c r="AB468" t="s">
        <v>53</v>
      </c>
      <c r="AC468" t="s">
        <v>122</v>
      </c>
    </row>
    <row r="469" spans="1:29" x14ac:dyDescent="0.2">
      <c r="A469" s="3">
        <v>42564</v>
      </c>
      <c r="B469" t="s">
        <v>23</v>
      </c>
      <c r="C469">
        <v>703</v>
      </c>
      <c r="D469">
        <v>3</v>
      </c>
      <c r="E469">
        <v>1</v>
      </c>
      <c r="F469" t="s">
        <v>33</v>
      </c>
      <c r="G469" t="s">
        <v>25</v>
      </c>
      <c r="H469" t="s">
        <v>26</v>
      </c>
      <c r="I469" t="s">
        <v>27</v>
      </c>
      <c r="J469" t="s">
        <v>28</v>
      </c>
      <c r="K469" t="s">
        <v>123</v>
      </c>
      <c r="L469" t="s">
        <v>30</v>
      </c>
      <c r="M469">
        <v>0</v>
      </c>
      <c r="N469">
        <v>0</v>
      </c>
      <c r="O469" s="17">
        <v>50517</v>
      </c>
      <c r="P469" s="17">
        <v>50516</v>
      </c>
      <c r="Q469">
        <f>23.5-9</f>
        <v>14.5</v>
      </c>
      <c r="R469" t="s">
        <v>31</v>
      </c>
      <c r="S469" t="s">
        <v>32</v>
      </c>
      <c r="T469">
        <v>18</v>
      </c>
      <c r="U469">
        <v>78</v>
      </c>
      <c r="V469">
        <v>14</v>
      </c>
      <c r="W469">
        <v>12.7</v>
      </c>
      <c r="X469">
        <v>27</v>
      </c>
      <c r="Z469" t="s">
        <v>32</v>
      </c>
      <c r="AB469" t="s">
        <v>121</v>
      </c>
      <c r="AC469" t="s">
        <v>122</v>
      </c>
    </row>
    <row r="470" spans="1:29" x14ac:dyDescent="0.2">
      <c r="A470" s="3">
        <v>42565</v>
      </c>
      <c r="B470" t="s">
        <v>23</v>
      </c>
      <c r="C470">
        <v>703</v>
      </c>
      <c r="D470">
        <v>4</v>
      </c>
      <c r="E470">
        <v>2</v>
      </c>
      <c r="F470" t="s">
        <v>33</v>
      </c>
      <c r="G470" t="s">
        <v>25</v>
      </c>
      <c r="H470" t="s">
        <v>26</v>
      </c>
      <c r="I470" t="s">
        <v>27</v>
      </c>
      <c r="J470" t="s">
        <v>28</v>
      </c>
      <c r="K470" t="s">
        <v>123</v>
      </c>
      <c r="L470" t="s">
        <v>30</v>
      </c>
      <c r="M470">
        <v>0</v>
      </c>
      <c r="N470">
        <v>0</v>
      </c>
      <c r="O470" s="17">
        <v>50517</v>
      </c>
      <c r="P470" s="17">
        <v>50516</v>
      </c>
      <c r="Q470">
        <f>27-12</f>
        <v>15</v>
      </c>
      <c r="R470" t="s">
        <v>31</v>
      </c>
      <c r="S470" t="s">
        <v>32</v>
      </c>
      <c r="T470">
        <v>19</v>
      </c>
      <c r="U470">
        <v>67</v>
      </c>
      <c r="V470">
        <v>14</v>
      </c>
      <c r="W470">
        <v>12.8</v>
      </c>
      <c r="X470">
        <v>26.7</v>
      </c>
      <c r="Z470" t="s">
        <v>32</v>
      </c>
      <c r="AB470" t="s">
        <v>121</v>
      </c>
      <c r="AC470" t="s">
        <v>254</v>
      </c>
    </row>
    <row r="471" spans="1:29" x14ac:dyDescent="0.2">
      <c r="A471" s="3">
        <v>42575</v>
      </c>
      <c r="B471" t="s">
        <v>23</v>
      </c>
      <c r="C471">
        <v>703</v>
      </c>
      <c r="D471">
        <v>6</v>
      </c>
      <c r="E471">
        <v>1</v>
      </c>
      <c r="F471" t="s">
        <v>24</v>
      </c>
      <c r="G471" t="s">
        <v>25</v>
      </c>
      <c r="H471" t="s">
        <v>26</v>
      </c>
      <c r="I471" t="s">
        <v>27</v>
      </c>
      <c r="J471" t="s">
        <v>28</v>
      </c>
      <c r="K471" t="s">
        <v>123</v>
      </c>
      <c r="L471" t="s">
        <v>30</v>
      </c>
      <c r="M471">
        <v>0</v>
      </c>
      <c r="N471">
        <v>0</v>
      </c>
      <c r="O471" s="17">
        <v>50517</v>
      </c>
      <c r="P471" s="17">
        <v>50516</v>
      </c>
      <c r="Q471">
        <v>15</v>
      </c>
      <c r="R471" t="s">
        <v>31</v>
      </c>
      <c r="S471" t="s">
        <v>32</v>
      </c>
      <c r="T471">
        <v>19</v>
      </c>
      <c r="U471">
        <v>75</v>
      </c>
      <c r="V471">
        <v>16</v>
      </c>
      <c r="W471">
        <v>12.6</v>
      </c>
      <c r="X471">
        <v>25</v>
      </c>
      <c r="Z471" t="s">
        <v>32</v>
      </c>
      <c r="AB471" t="s">
        <v>582</v>
      </c>
      <c r="AC471" t="s">
        <v>59</v>
      </c>
    </row>
    <row r="472" spans="1:29" x14ac:dyDescent="0.2">
      <c r="A472" s="3">
        <v>42591</v>
      </c>
      <c r="B472" t="s">
        <v>23</v>
      </c>
      <c r="C472">
        <v>703</v>
      </c>
      <c r="D472">
        <v>9</v>
      </c>
      <c r="E472">
        <v>1</v>
      </c>
      <c r="F472" t="s">
        <v>64</v>
      </c>
      <c r="G472" t="s">
        <v>25</v>
      </c>
      <c r="H472" t="s">
        <v>26</v>
      </c>
      <c r="I472" t="s">
        <v>27</v>
      </c>
      <c r="J472" t="s">
        <v>28</v>
      </c>
      <c r="K472" t="s">
        <v>123</v>
      </c>
      <c r="L472" t="s">
        <v>30</v>
      </c>
      <c r="M472">
        <v>0</v>
      </c>
      <c r="N472">
        <v>0</v>
      </c>
      <c r="O472" s="17" t="s">
        <v>1349</v>
      </c>
      <c r="P472" s="17" t="s">
        <v>1350</v>
      </c>
      <c r="Q472">
        <f>31-15</f>
        <v>16</v>
      </c>
      <c r="R472" t="s">
        <v>31</v>
      </c>
      <c r="S472" t="s">
        <v>32</v>
      </c>
      <c r="T472">
        <v>19</v>
      </c>
      <c r="U472">
        <v>75</v>
      </c>
      <c r="V472">
        <v>15</v>
      </c>
      <c r="W472">
        <v>13.1</v>
      </c>
      <c r="X472">
        <v>27.9</v>
      </c>
      <c r="Z472" t="s">
        <v>145</v>
      </c>
      <c r="AA472" t="s">
        <v>260</v>
      </c>
      <c r="AB472" t="s">
        <v>44</v>
      </c>
      <c r="AC472" t="s">
        <v>59</v>
      </c>
    </row>
    <row r="473" spans="1:29" x14ac:dyDescent="0.2">
      <c r="A473" s="3">
        <v>42592</v>
      </c>
      <c r="B473" t="s">
        <v>23</v>
      </c>
      <c r="C473">
        <v>703</v>
      </c>
      <c r="D473">
        <v>9</v>
      </c>
      <c r="E473">
        <v>1</v>
      </c>
      <c r="F473" t="s">
        <v>64</v>
      </c>
      <c r="G473" t="s">
        <v>25</v>
      </c>
      <c r="H473" t="s">
        <v>26</v>
      </c>
      <c r="I473" t="s">
        <v>27</v>
      </c>
      <c r="J473" t="s">
        <v>28</v>
      </c>
      <c r="K473" t="s">
        <v>123</v>
      </c>
      <c r="L473" t="s">
        <v>30</v>
      </c>
      <c r="M473">
        <v>0</v>
      </c>
      <c r="N473">
        <v>0</v>
      </c>
      <c r="O473" s="17" t="s">
        <v>1349</v>
      </c>
      <c r="P473" s="17" t="s">
        <v>1350</v>
      </c>
      <c r="Q473">
        <f>29-15</f>
        <v>14</v>
      </c>
      <c r="R473" t="s">
        <v>31</v>
      </c>
      <c r="S473" t="s">
        <v>32</v>
      </c>
      <c r="T473">
        <v>19</v>
      </c>
      <c r="U473">
        <v>76</v>
      </c>
      <c r="V473">
        <v>16</v>
      </c>
      <c r="W473">
        <v>12.8</v>
      </c>
      <c r="X473">
        <v>27.3</v>
      </c>
      <c r="Z473" t="s">
        <v>145</v>
      </c>
      <c r="AA473" t="s">
        <v>260</v>
      </c>
      <c r="AB473" t="s">
        <v>53</v>
      </c>
      <c r="AC473" t="s">
        <v>59</v>
      </c>
    </row>
    <row r="474" spans="1:29" x14ac:dyDescent="0.2">
      <c r="A474" s="3">
        <v>42593</v>
      </c>
      <c r="B474" t="s">
        <v>23</v>
      </c>
      <c r="C474">
        <v>703</v>
      </c>
      <c r="D474">
        <v>4</v>
      </c>
      <c r="E474">
        <v>1</v>
      </c>
      <c r="F474" t="s">
        <v>64</v>
      </c>
      <c r="G474" t="s">
        <v>25</v>
      </c>
      <c r="H474" t="s">
        <v>26</v>
      </c>
      <c r="I474" t="s">
        <v>27</v>
      </c>
      <c r="J474" t="s">
        <v>28</v>
      </c>
      <c r="K474" t="s">
        <v>123</v>
      </c>
      <c r="L474" t="s">
        <v>30</v>
      </c>
      <c r="M474">
        <v>0</v>
      </c>
      <c r="N474">
        <v>0</v>
      </c>
      <c r="O474" s="17" t="s">
        <v>1349</v>
      </c>
      <c r="P474" s="17" t="s">
        <v>1350</v>
      </c>
      <c r="Q474">
        <f>32-17</f>
        <v>15</v>
      </c>
      <c r="R474" t="s">
        <v>31</v>
      </c>
      <c r="S474" t="s">
        <v>32</v>
      </c>
      <c r="T474">
        <v>19</v>
      </c>
      <c r="U474">
        <v>76</v>
      </c>
      <c r="V474">
        <v>16</v>
      </c>
      <c r="W474">
        <v>12.8</v>
      </c>
      <c r="X474">
        <v>26.9</v>
      </c>
      <c r="Z474" t="s">
        <v>145</v>
      </c>
      <c r="AA474" t="s">
        <v>260</v>
      </c>
      <c r="AB474" t="s">
        <v>44</v>
      </c>
      <c r="AC474" t="s">
        <v>122</v>
      </c>
    </row>
    <row r="475" spans="1:29" x14ac:dyDescent="0.2">
      <c r="A475" s="3">
        <v>42605</v>
      </c>
      <c r="B475" t="s">
        <v>23</v>
      </c>
      <c r="C475">
        <v>703</v>
      </c>
      <c r="D475">
        <v>6</v>
      </c>
      <c r="E475">
        <v>1</v>
      </c>
      <c r="F475" t="s">
        <v>24</v>
      </c>
      <c r="G475" t="s">
        <v>25</v>
      </c>
      <c r="H475" t="s">
        <v>26</v>
      </c>
      <c r="I475" t="s">
        <v>27</v>
      </c>
      <c r="J475" t="s">
        <v>28</v>
      </c>
      <c r="K475" t="s">
        <v>188</v>
      </c>
      <c r="L475" t="s">
        <v>30</v>
      </c>
      <c r="M475">
        <v>0</v>
      </c>
      <c r="N475">
        <v>0</v>
      </c>
      <c r="O475" s="17" t="s">
        <v>1349</v>
      </c>
      <c r="P475" s="17" t="s">
        <v>1350</v>
      </c>
      <c r="Q475">
        <f>30-16</f>
        <v>14</v>
      </c>
      <c r="R475" t="s">
        <v>31</v>
      </c>
      <c r="S475" t="s">
        <v>32</v>
      </c>
      <c r="T475">
        <v>19</v>
      </c>
      <c r="U475">
        <v>77</v>
      </c>
      <c r="V475">
        <v>16</v>
      </c>
      <c r="W475">
        <v>12.9</v>
      </c>
      <c r="X475">
        <v>25.9</v>
      </c>
      <c r="AB475" t="s">
        <v>44</v>
      </c>
      <c r="AC475" t="s">
        <v>59</v>
      </c>
    </row>
    <row r="476" spans="1:29" x14ac:dyDescent="0.2">
      <c r="A476" s="3">
        <v>42558</v>
      </c>
      <c r="B476" t="s">
        <v>23</v>
      </c>
      <c r="C476">
        <v>113</v>
      </c>
      <c r="D476">
        <v>9</v>
      </c>
      <c r="E476">
        <v>1</v>
      </c>
      <c r="F476" t="s">
        <v>33</v>
      </c>
      <c r="G476" t="s">
        <v>25</v>
      </c>
      <c r="H476" t="s">
        <v>26</v>
      </c>
      <c r="I476" t="s">
        <v>27</v>
      </c>
      <c r="J476" t="s">
        <v>34</v>
      </c>
      <c r="K476" t="s">
        <v>188</v>
      </c>
      <c r="L476" t="s">
        <v>30</v>
      </c>
      <c r="M476">
        <v>0</v>
      </c>
      <c r="N476">
        <v>1</v>
      </c>
      <c r="O476" s="17">
        <v>50520</v>
      </c>
      <c r="P476" s="17">
        <v>50519</v>
      </c>
      <c r="R476" t="s">
        <v>273</v>
      </c>
      <c r="S476" t="s">
        <v>145</v>
      </c>
      <c r="T476">
        <v>18</v>
      </c>
      <c r="U476">
        <v>81</v>
      </c>
      <c r="V476">
        <v>14</v>
      </c>
      <c r="W476">
        <v>12.7</v>
      </c>
      <c r="X476">
        <v>28.8</v>
      </c>
      <c r="Z476" t="s">
        <v>32</v>
      </c>
      <c r="AB476" t="s">
        <v>121</v>
      </c>
      <c r="AC476" t="s">
        <v>254</v>
      </c>
    </row>
    <row r="477" spans="1:29" x14ac:dyDescent="0.2">
      <c r="A477" s="3">
        <v>42570</v>
      </c>
      <c r="B477" t="s">
        <v>23</v>
      </c>
      <c r="C477">
        <v>113</v>
      </c>
      <c r="D477">
        <v>7</v>
      </c>
      <c r="E477">
        <v>2</v>
      </c>
      <c r="F477" t="s">
        <v>24</v>
      </c>
      <c r="G477" t="s">
        <v>25</v>
      </c>
      <c r="H477" t="s">
        <v>26</v>
      </c>
      <c r="I477" t="s">
        <v>27</v>
      </c>
      <c r="J477" t="s">
        <v>28</v>
      </c>
      <c r="K477" t="s">
        <v>188</v>
      </c>
      <c r="L477" t="s">
        <v>30</v>
      </c>
      <c r="M477">
        <v>0</v>
      </c>
      <c r="N477">
        <v>0</v>
      </c>
      <c r="O477" s="17">
        <v>50520</v>
      </c>
      <c r="P477" s="17">
        <v>50519</v>
      </c>
      <c r="Q477">
        <v>22</v>
      </c>
      <c r="R477" t="s">
        <v>273</v>
      </c>
      <c r="S477" t="s">
        <v>145</v>
      </c>
      <c r="T477">
        <v>18</v>
      </c>
      <c r="U477">
        <v>83</v>
      </c>
      <c r="V477">
        <v>15</v>
      </c>
      <c r="W477">
        <v>12.2</v>
      </c>
      <c r="X477">
        <v>28</v>
      </c>
      <c r="Z477" t="s">
        <v>32</v>
      </c>
      <c r="AB477" t="s">
        <v>582</v>
      </c>
      <c r="AC477" t="s">
        <v>59</v>
      </c>
    </row>
    <row r="478" spans="1:29" x14ac:dyDescent="0.2">
      <c r="A478" s="3">
        <v>42571</v>
      </c>
      <c r="B478" t="s">
        <v>23</v>
      </c>
      <c r="C478">
        <v>113</v>
      </c>
      <c r="D478">
        <v>7</v>
      </c>
      <c r="E478">
        <v>1</v>
      </c>
      <c r="F478" t="s">
        <v>24</v>
      </c>
      <c r="G478" t="s">
        <v>25</v>
      </c>
      <c r="H478" t="s">
        <v>26</v>
      </c>
      <c r="I478" t="s">
        <v>27</v>
      </c>
      <c r="J478" t="s">
        <v>28</v>
      </c>
      <c r="K478" t="s">
        <v>188</v>
      </c>
      <c r="L478" t="s">
        <v>30</v>
      </c>
      <c r="M478">
        <v>0</v>
      </c>
      <c r="N478">
        <v>0</v>
      </c>
      <c r="O478" s="17">
        <v>50520</v>
      </c>
      <c r="P478" s="17">
        <v>50519</v>
      </c>
      <c r="Q478">
        <f>28-9.5</f>
        <v>18.5</v>
      </c>
      <c r="R478" t="s">
        <v>75</v>
      </c>
      <c r="S478" t="s">
        <v>145</v>
      </c>
      <c r="T478">
        <v>18</v>
      </c>
      <c r="U478">
        <v>84</v>
      </c>
      <c r="V478">
        <v>17</v>
      </c>
      <c r="W478">
        <v>12.65</v>
      </c>
      <c r="X478">
        <v>27.25</v>
      </c>
      <c r="Z478" t="s">
        <v>32</v>
      </c>
      <c r="AB478" t="s">
        <v>44</v>
      </c>
      <c r="AC478" t="s">
        <v>59</v>
      </c>
    </row>
    <row r="479" spans="1:29" x14ac:dyDescent="0.2">
      <c r="A479" s="3">
        <v>42572</v>
      </c>
      <c r="B479" t="s">
        <v>23</v>
      </c>
      <c r="C479">
        <v>113</v>
      </c>
      <c r="D479">
        <v>8</v>
      </c>
      <c r="E479">
        <v>2</v>
      </c>
      <c r="F479" t="s">
        <v>24</v>
      </c>
      <c r="G479" t="s">
        <v>25</v>
      </c>
      <c r="H479" t="s">
        <v>26</v>
      </c>
      <c r="I479" t="s">
        <v>27</v>
      </c>
      <c r="J479" t="s">
        <v>28</v>
      </c>
      <c r="K479" t="s">
        <v>188</v>
      </c>
      <c r="L479" t="s">
        <v>30</v>
      </c>
      <c r="M479">
        <v>0</v>
      </c>
      <c r="N479">
        <v>0</v>
      </c>
      <c r="O479" s="17">
        <v>50520</v>
      </c>
      <c r="P479" s="17">
        <v>50529</v>
      </c>
      <c r="Q479">
        <f>30-12.5</f>
        <v>17.5</v>
      </c>
      <c r="R479" t="s">
        <v>75</v>
      </c>
      <c r="S479" t="s">
        <v>145</v>
      </c>
      <c r="T479">
        <v>17</v>
      </c>
      <c r="U479">
        <v>85</v>
      </c>
      <c r="V479">
        <v>16</v>
      </c>
      <c r="W479">
        <v>12.5</v>
      </c>
      <c r="X479">
        <v>25.2</v>
      </c>
      <c r="Z479" t="s">
        <v>32</v>
      </c>
      <c r="AB479" t="s">
        <v>121</v>
      </c>
      <c r="AC479" t="s">
        <v>122</v>
      </c>
    </row>
    <row r="480" spans="1:29" x14ac:dyDescent="0.2">
      <c r="A480" s="3">
        <v>42584</v>
      </c>
      <c r="B480" t="s">
        <v>23</v>
      </c>
      <c r="C480">
        <v>113</v>
      </c>
      <c r="D480">
        <v>6</v>
      </c>
      <c r="E480">
        <v>1</v>
      </c>
      <c r="F480" t="s">
        <v>33</v>
      </c>
      <c r="G480" t="s">
        <v>25</v>
      </c>
      <c r="H480" t="s">
        <v>26</v>
      </c>
      <c r="I480" t="s">
        <v>27</v>
      </c>
      <c r="J480" t="s">
        <v>28</v>
      </c>
      <c r="K480" t="s">
        <v>29</v>
      </c>
      <c r="L480" t="s">
        <v>30</v>
      </c>
      <c r="M480">
        <v>0</v>
      </c>
      <c r="N480">
        <v>0</v>
      </c>
      <c r="O480" s="17">
        <v>50520</v>
      </c>
      <c r="P480" s="17">
        <v>50519</v>
      </c>
      <c r="Q480">
        <f>31.5-11</f>
        <v>20.5</v>
      </c>
      <c r="R480" t="s">
        <v>273</v>
      </c>
      <c r="S480" t="s">
        <v>145</v>
      </c>
      <c r="T480">
        <v>18.5</v>
      </c>
      <c r="U480">
        <v>82</v>
      </c>
      <c r="V480">
        <v>15</v>
      </c>
      <c r="W480">
        <v>12.8</v>
      </c>
      <c r="X480">
        <v>28.2</v>
      </c>
      <c r="Z480" t="s">
        <v>32</v>
      </c>
      <c r="AB480" t="s">
        <v>121</v>
      </c>
      <c r="AC480" t="s">
        <v>59</v>
      </c>
    </row>
    <row r="481" spans="1:30" x14ac:dyDescent="0.2">
      <c r="A481" s="3">
        <v>42585</v>
      </c>
      <c r="B481" t="s">
        <v>23</v>
      </c>
      <c r="C481">
        <v>113</v>
      </c>
      <c r="D481">
        <v>10</v>
      </c>
      <c r="E481">
        <v>2</v>
      </c>
      <c r="F481" t="s">
        <v>64</v>
      </c>
      <c r="G481" t="s">
        <v>25</v>
      </c>
      <c r="H481" t="s">
        <v>26</v>
      </c>
      <c r="I481" t="s">
        <v>27</v>
      </c>
      <c r="J481" t="s">
        <v>28</v>
      </c>
      <c r="K481" t="s">
        <v>29</v>
      </c>
      <c r="L481" t="s">
        <v>30</v>
      </c>
      <c r="M481">
        <v>0</v>
      </c>
      <c r="N481">
        <v>0</v>
      </c>
      <c r="O481" s="17">
        <v>50520</v>
      </c>
      <c r="P481" s="17">
        <v>50519</v>
      </c>
      <c r="Q481">
        <f>27-8</f>
        <v>19</v>
      </c>
      <c r="R481" t="s">
        <v>279</v>
      </c>
      <c r="S481" t="s">
        <v>145</v>
      </c>
      <c r="T481">
        <v>19</v>
      </c>
      <c r="U481">
        <v>87</v>
      </c>
      <c r="V481">
        <v>15</v>
      </c>
      <c r="W481">
        <v>12.8</v>
      </c>
      <c r="X481">
        <v>27.6</v>
      </c>
      <c r="Z481" t="s">
        <v>32</v>
      </c>
      <c r="AB481" t="s">
        <v>53</v>
      </c>
      <c r="AC481" t="s">
        <v>122</v>
      </c>
    </row>
    <row r="482" spans="1:30" x14ac:dyDescent="0.2">
      <c r="A482" s="3">
        <v>42586</v>
      </c>
      <c r="B482" t="s">
        <v>23</v>
      </c>
      <c r="C482">
        <v>113</v>
      </c>
      <c r="D482">
        <v>4</v>
      </c>
      <c r="E482">
        <v>1</v>
      </c>
      <c r="F482" t="s">
        <v>64</v>
      </c>
      <c r="G482" t="s">
        <v>25</v>
      </c>
      <c r="H482" t="s">
        <v>26</v>
      </c>
      <c r="I482" t="s">
        <v>27</v>
      </c>
      <c r="J482" t="s">
        <v>28</v>
      </c>
      <c r="K482" t="s">
        <v>29</v>
      </c>
      <c r="L482" t="s">
        <v>30</v>
      </c>
      <c r="M482">
        <v>0</v>
      </c>
      <c r="N482">
        <v>0</v>
      </c>
      <c r="O482" s="17" t="s">
        <v>979</v>
      </c>
      <c r="P482" s="17" t="s">
        <v>980</v>
      </c>
      <c r="Q482">
        <f>35-13</f>
        <v>22</v>
      </c>
      <c r="R482" t="s">
        <v>273</v>
      </c>
      <c r="S482" t="s">
        <v>145</v>
      </c>
      <c r="T482">
        <v>19</v>
      </c>
      <c r="U482">
        <v>82</v>
      </c>
      <c r="V482">
        <v>15</v>
      </c>
      <c r="W482">
        <v>12.8</v>
      </c>
      <c r="X482">
        <v>27</v>
      </c>
      <c r="Z482" t="s">
        <v>32</v>
      </c>
      <c r="AB482" t="s">
        <v>53</v>
      </c>
      <c r="AC482" t="s">
        <v>122</v>
      </c>
    </row>
    <row r="483" spans="1:30" x14ac:dyDescent="0.2">
      <c r="A483" s="3">
        <v>42587</v>
      </c>
      <c r="B483" t="s">
        <v>23</v>
      </c>
      <c r="C483">
        <v>113</v>
      </c>
      <c r="D483">
        <v>9</v>
      </c>
      <c r="E483">
        <v>1</v>
      </c>
      <c r="F483" t="s">
        <v>64</v>
      </c>
      <c r="G483" t="s">
        <v>25</v>
      </c>
      <c r="H483" t="s">
        <v>26</v>
      </c>
      <c r="I483" t="s">
        <v>27</v>
      </c>
      <c r="J483" t="s">
        <v>28</v>
      </c>
      <c r="K483" t="s">
        <v>29</v>
      </c>
      <c r="L483" t="s">
        <v>30</v>
      </c>
      <c r="M483">
        <v>0</v>
      </c>
      <c r="N483">
        <v>0</v>
      </c>
      <c r="O483" s="17" t="s">
        <v>979</v>
      </c>
      <c r="P483" s="17" t="s">
        <v>980</v>
      </c>
      <c r="Q483">
        <f>35-15.5</f>
        <v>19.5</v>
      </c>
      <c r="R483" t="s">
        <v>273</v>
      </c>
      <c r="S483" t="s">
        <v>145</v>
      </c>
      <c r="T483">
        <v>19.5</v>
      </c>
      <c r="U483">
        <v>84</v>
      </c>
      <c r="V483">
        <v>15</v>
      </c>
      <c r="W483">
        <v>12.9</v>
      </c>
      <c r="X483">
        <v>27.8</v>
      </c>
      <c r="Z483" t="s">
        <v>32</v>
      </c>
      <c r="AB483" t="s">
        <v>53</v>
      </c>
      <c r="AC483" t="s">
        <v>254</v>
      </c>
      <c r="AD483" t="s">
        <v>1182</v>
      </c>
    </row>
    <row r="484" spans="1:30" x14ac:dyDescent="0.2">
      <c r="A484" s="3">
        <v>42588</v>
      </c>
      <c r="B484" t="s">
        <v>23</v>
      </c>
      <c r="C484">
        <v>113</v>
      </c>
      <c r="D484">
        <v>4</v>
      </c>
      <c r="E484">
        <v>1</v>
      </c>
      <c r="F484" t="s">
        <v>24</v>
      </c>
      <c r="G484" t="s">
        <v>25</v>
      </c>
      <c r="H484" t="s">
        <v>26</v>
      </c>
      <c r="I484" t="s">
        <v>27</v>
      </c>
      <c r="J484" t="s">
        <v>28</v>
      </c>
      <c r="K484" t="s">
        <v>29</v>
      </c>
      <c r="L484" t="s">
        <v>30</v>
      </c>
      <c r="M484">
        <v>0</v>
      </c>
      <c r="N484">
        <v>0</v>
      </c>
      <c r="O484" s="17" t="s">
        <v>979</v>
      </c>
      <c r="P484" s="17" t="s">
        <v>980</v>
      </c>
      <c r="Q484">
        <f>39-17</f>
        <v>22</v>
      </c>
      <c r="R484" t="s">
        <v>273</v>
      </c>
      <c r="S484" t="s">
        <v>145</v>
      </c>
      <c r="T484">
        <v>17</v>
      </c>
      <c r="U484">
        <v>86</v>
      </c>
      <c r="V484">
        <v>16</v>
      </c>
      <c r="W484">
        <v>13.1</v>
      </c>
      <c r="X484">
        <v>27</v>
      </c>
      <c r="Z484" t="s">
        <v>32</v>
      </c>
      <c r="AB484" t="s">
        <v>121</v>
      </c>
      <c r="AC484" t="s">
        <v>59</v>
      </c>
    </row>
    <row r="485" spans="1:30" x14ac:dyDescent="0.2">
      <c r="A485" s="3">
        <v>42589</v>
      </c>
      <c r="B485" t="s">
        <v>23</v>
      </c>
      <c r="C485">
        <v>113</v>
      </c>
      <c r="D485">
        <v>9</v>
      </c>
      <c r="E485">
        <v>2</v>
      </c>
      <c r="F485" t="s">
        <v>24</v>
      </c>
      <c r="G485" t="s">
        <v>25</v>
      </c>
      <c r="H485" t="s">
        <v>26</v>
      </c>
      <c r="I485" t="s">
        <v>27</v>
      </c>
      <c r="J485" t="s">
        <v>28</v>
      </c>
      <c r="K485" t="s">
        <v>29</v>
      </c>
      <c r="L485" t="s">
        <v>30</v>
      </c>
      <c r="M485">
        <v>0</v>
      </c>
      <c r="N485">
        <v>0</v>
      </c>
      <c r="O485" s="17" t="s">
        <v>979</v>
      </c>
      <c r="P485" s="17" t="s">
        <v>980</v>
      </c>
      <c r="Q485">
        <f>39-17.5</f>
        <v>21.5</v>
      </c>
      <c r="R485" t="s">
        <v>75</v>
      </c>
      <c r="S485" t="s">
        <v>145</v>
      </c>
      <c r="T485">
        <v>17</v>
      </c>
      <c r="U485">
        <v>84</v>
      </c>
      <c r="V485">
        <v>17</v>
      </c>
      <c r="W485">
        <v>12.9</v>
      </c>
      <c r="X485">
        <v>26.8</v>
      </c>
      <c r="Z485" t="s">
        <v>32</v>
      </c>
      <c r="AB485" t="s">
        <v>121</v>
      </c>
      <c r="AC485" t="s">
        <v>59</v>
      </c>
    </row>
    <row r="486" spans="1:30" x14ac:dyDescent="0.2">
      <c r="A486" s="3">
        <v>42558</v>
      </c>
      <c r="B486" t="s">
        <v>23</v>
      </c>
      <c r="C486">
        <v>112</v>
      </c>
      <c r="D486">
        <v>7</v>
      </c>
      <c r="E486">
        <v>2</v>
      </c>
      <c r="F486" t="s">
        <v>33</v>
      </c>
      <c r="G486" t="s">
        <v>25</v>
      </c>
      <c r="H486" t="s">
        <v>26</v>
      </c>
      <c r="I486" t="s">
        <v>27</v>
      </c>
      <c r="J486" t="s">
        <v>34</v>
      </c>
      <c r="K486" t="s">
        <v>29</v>
      </c>
      <c r="L486" t="s">
        <v>30</v>
      </c>
      <c r="M486">
        <v>0</v>
      </c>
      <c r="N486">
        <v>1</v>
      </c>
      <c r="O486" s="17">
        <v>50523</v>
      </c>
      <c r="P486" s="17">
        <v>50522</v>
      </c>
      <c r="Q486">
        <v>20</v>
      </c>
      <c r="R486" t="s">
        <v>273</v>
      </c>
      <c r="S486" t="s">
        <v>145</v>
      </c>
      <c r="T486">
        <v>18.5</v>
      </c>
      <c r="U486">
        <v>71</v>
      </c>
      <c r="V486">
        <v>15</v>
      </c>
      <c r="W486">
        <v>12.9</v>
      </c>
      <c r="X486">
        <v>27.7</v>
      </c>
      <c r="Z486" t="s">
        <v>32</v>
      </c>
      <c r="AB486" t="s">
        <v>121</v>
      </c>
      <c r="AC486" t="s">
        <v>254</v>
      </c>
    </row>
    <row r="487" spans="1:30" x14ac:dyDescent="0.2">
      <c r="A487" s="3">
        <v>42558</v>
      </c>
      <c r="B487" t="s">
        <v>23</v>
      </c>
      <c r="C487">
        <v>112</v>
      </c>
      <c r="D487">
        <v>5</v>
      </c>
      <c r="E487">
        <v>2</v>
      </c>
      <c r="F487" t="s">
        <v>33</v>
      </c>
      <c r="G487" t="s">
        <v>25</v>
      </c>
      <c r="H487" t="s">
        <v>26</v>
      </c>
      <c r="I487" t="s">
        <v>27</v>
      </c>
      <c r="J487" t="s">
        <v>34</v>
      </c>
      <c r="K487" t="s">
        <v>29</v>
      </c>
      <c r="L487" t="s">
        <v>35</v>
      </c>
      <c r="M487">
        <v>0</v>
      </c>
      <c r="N487">
        <v>1</v>
      </c>
      <c r="O487" s="17">
        <v>50525</v>
      </c>
      <c r="P487" s="17">
        <v>50524</v>
      </c>
      <c r="Q487">
        <f>27.5-9</f>
        <v>18.5</v>
      </c>
      <c r="R487" t="s">
        <v>39</v>
      </c>
      <c r="T487">
        <v>18.5</v>
      </c>
      <c r="U487">
        <v>74</v>
      </c>
      <c r="V487">
        <v>16</v>
      </c>
      <c r="W487">
        <v>12.8</v>
      </c>
      <c r="X487">
        <v>28.6</v>
      </c>
      <c r="Z487" t="s">
        <v>32</v>
      </c>
      <c r="AB487" t="s">
        <v>121</v>
      </c>
      <c r="AC487" t="s">
        <v>254</v>
      </c>
    </row>
    <row r="488" spans="1:30" x14ac:dyDescent="0.2">
      <c r="A488" s="3">
        <v>42572</v>
      </c>
      <c r="B488" t="s">
        <v>23</v>
      </c>
      <c r="C488">
        <v>112</v>
      </c>
      <c r="D488">
        <v>5</v>
      </c>
      <c r="E488">
        <v>2</v>
      </c>
      <c r="F488" t="s">
        <v>24</v>
      </c>
      <c r="G488" t="s">
        <v>25</v>
      </c>
      <c r="H488" t="s">
        <v>26</v>
      </c>
      <c r="I488" t="s">
        <v>27</v>
      </c>
      <c r="J488" t="s">
        <v>28</v>
      </c>
      <c r="K488" t="s">
        <v>29</v>
      </c>
      <c r="L488" t="s">
        <v>35</v>
      </c>
      <c r="M488">
        <v>0</v>
      </c>
      <c r="N488">
        <v>0</v>
      </c>
      <c r="O488" s="17">
        <v>50525</v>
      </c>
      <c r="P488" s="17">
        <v>50524</v>
      </c>
      <c r="Q488">
        <f>30-12</f>
        <v>18</v>
      </c>
      <c r="R488" t="s">
        <v>39</v>
      </c>
      <c r="T488">
        <v>18</v>
      </c>
      <c r="U488">
        <v>80</v>
      </c>
      <c r="V488">
        <v>15</v>
      </c>
      <c r="W488">
        <v>12.8</v>
      </c>
      <c r="X488">
        <v>25.9</v>
      </c>
      <c r="Z488" t="s">
        <v>32</v>
      </c>
      <c r="AB488" t="s">
        <v>121</v>
      </c>
      <c r="AC488" t="s">
        <v>122</v>
      </c>
    </row>
    <row r="489" spans="1:30" x14ac:dyDescent="0.2">
      <c r="A489" s="3">
        <v>42587</v>
      </c>
      <c r="B489" t="s">
        <v>23</v>
      </c>
      <c r="C489">
        <v>112</v>
      </c>
      <c r="D489">
        <v>4</v>
      </c>
      <c r="E489">
        <v>2</v>
      </c>
      <c r="F489" t="s">
        <v>64</v>
      </c>
      <c r="G489" t="s">
        <v>25</v>
      </c>
      <c r="H489" t="s">
        <v>26</v>
      </c>
      <c r="I489" t="s">
        <v>27</v>
      </c>
      <c r="J489" t="s">
        <v>28</v>
      </c>
      <c r="K489" t="s">
        <v>29</v>
      </c>
      <c r="L489" t="s">
        <v>35</v>
      </c>
      <c r="M489">
        <v>0</v>
      </c>
      <c r="N489">
        <v>0</v>
      </c>
      <c r="O489" s="17" t="s">
        <v>1075</v>
      </c>
      <c r="P489" s="17" t="s">
        <v>1076</v>
      </c>
      <c r="Q489">
        <f>37.5-17</f>
        <v>20.5</v>
      </c>
      <c r="R489" t="s">
        <v>39</v>
      </c>
      <c r="T489">
        <v>19</v>
      </c>
      <c r="U489">
        <v>79</v>
      </c>
      <c r="V489">
        <v>16</v>
      </c>
      <c r="W489">
        <v>13</v>
      </c>
      <c r="X489">
        <v>27.2</v>
      </c>
      <c r="Z489" t="s">
        <v>145</v>
      </c>
      <c r="AA489" t="s">
        <v>260</v>
      </c>
      <c r="AB489" t="s">
        <v>53</v>
      </c>
      <c r="AC489" t="s">
        <v>254</v>
      </c>
    </row>
    <row r="490" spans="1:30" x14ac:dyDescent="0.2">
      <c r="A490" s="3">
        <v>42588</v>
      </c>
      <c r="B490" t="s">
        <v>23</v>
      </c>
      <c r="C490">
        <v>112</v>
      </c>
      <c r="D490">
        <v>6</v>
      </c>
      <c r="E490">
        <v>1</v>
      </c>
      <c r="F490" t="s">
        <v>64</v>
      </c>
      <c r="G490" t="s">
        <v>25</v>
      </c>
      <c r="H490" t="s">
        <v>26</v>
      </c>
      <c r="I490" t="s">
        <v>27</v>
      </c>
      <c r="J490" t="s">
        <v>28</v>
      </c>
      <c r="K490" t="s">
        <v>29</v>
      </c>
      <c r="L490" t="s">
        <v>35</v>
      </c>
      <c r="M490">
        <v>0</v>
      </c>
      <c r="N490">
        <v>0</v>
      </c>
      <c r="O490" s="17" t="s">
        <v>1075</v>
      </c>
      <c r="P490" s="17" t="s">
        <v>1076</v>
      </c>
      <c r="Q490">
        <f>37-18</f>
        <v>19</v>
      </c>
      <c r="R490" t="s">
        <v>39</v>
      </c>
      <c r="T490">
        <v>19</v>
      </c>
      <c r="U490">
        <v>83</v>
      </c>
      <c r="V490">
        <v>16</v>
      </c>
      <c r="W490">
        <v>12.9</v>
      </c>
      <c r="X490">
        <v>27.3</v>
      </c>
      <c r="Z490" t="s">
        <v>145</v>
      </c>
      <c r="AA490" t="s">
        <v>260</v>
      </c>
      <c r="AB490" t="s">
        <v>121</v>
      </c>
      <c r="AC490" t="s">
        <v>59</v>
      </c>
    </row>
    <row r="491" spans="1:30" x14ac:dyDescent="0.2">
      <c r="A491" s="3">
        <v>42589</v>
      </c>
      <c r="B491" t="s">
        <v>23</v>
      </c>
      <c r="C491">
        <v>112</v>
      </c>
      <c r="D491">
        <v>5</v>
      </c>
      <c r="E491">
        <v>2</v>
      </c>
      <c r="F491" t="s">
        <v>24</v>
      </c>
      <c r="G491" t="s">
        <v>25</v>
      </c>
      <c r="H491" t="s">
        <v>26</v>
      </c>
      <c r="I491" t="s">
        <v>27</v>
      </c>
      <c r="J491" t="s">
        <v>28</v>
      </c>
      <c r="K491" t="s">
        <v>29</v>
      </c>
      <c r="L491" t="s">
        <v>35</v>
      </c>
      <c r="M491">
        <v>0</v>
      </c>
      <c r="N491">
        <v>0</v>
      </c>
      <c r="O491" s="17" t="s">
        <v>1075</v>
      </c>
      <c r="P491" s="17" t="s">
        <v>1076</v>
      </c>
      <c r="Q491">
        <f>32-13.5</f>
        <v>18.5</v>
      </c>
      <c r="R491" t="s">
        <v>39</v>
      </c>
      <c r="T491">
        <v>18</v>
      </c>
      <c r="U491">
        <v>79</v>
      </c>
      <c r="V491">
        <v>18</v>
      </c>
      <c r="W491">
        <v>13</v>
      </c>
      <c r="X491">
        <v>25</v>
      </c>
      <c r="Z491" t="s">
        <v>145</v>
      </c>
      <c r="AB491" t="s">
        <v>121</v>
      </c>
      <c r="AC491" t="s">
        <v>59</v>
      </c>
    </row>
    <row r="492" spans="1:30" x14ac:dyDescent="0.2">
      <c r="A492" s="3">
        <v>42556</v>
      </c>
      <c r="B492" t="s">
        <v>23</v>
      </c>
      <c r="C492">
        <v>112</v>
      </c>
      <c r="D492">
        <v>5</v>
      </c>
      <c r="E492">
        <v>2</v>
      </c>
      <c r="F492" t="s">
        <v>33</v>
      </c>
      <c r="G492" t="s">
        <v>25</v>
      </c>
      <c r="H492" t="s">
        <v>26</v>
      </c>
      <c r="I492" t="s">
        <v>27</v>
      </c>
      <c r="J492" t="s">
        <v>34</v>
      </c>
      <c r="K492" t="s">
        <v>188</v>
      </c>
      <c r="L492" t="s">
        <v>30</v>
      </c>
      <c r="M492">
        <v>0</v>
      </c>
      <c r="N492">
        <v>1</v>
      </c>
      <c r="O492" s="17">
        <v>50528</v>
      </c>
      <c r="P492" s="17">
        <v>50527</v>
      </c>
      <c r="Q492">
        <f>30-12</f>
        <v>18</v>
      </c>
      <c r="R492" t="s">
        <v>192</v>
      </c>
      <c r="S492" t="s">
        <v>32</v>
      </c>
      <c r="T492">
        <v>19</v>
      </c>
      <c r="U492">
        <v>77</v>
      </c>
      <c r="V492">
        <v>13</v>
      </c>
      <c r="W492">
        <v>12.5</v>
      </c>
      <c r="X492">
        <v>26.1</v>
      </c>
      <c r="Y492" t="s">
        <v>420</v>
      </c>
      <c r="Z492" t="s">
        <v>32</v>
      </c>
      <c r="AB492" t="s">
        <v>53</v>
      </c>
      <c r="AC492" t="s">
        <v>59</v>
      </c>
    </row>
    <row r="493" spans="1:30" x14ac:dyDescent="0.2">
      <c r="A493" s="3">
        <v>42556</v>
      </c>
      <c r="B493" t="s">
        <v>23</v>
      </c>
      <c r="C493">
        <v>111</v>
      </c>
      <c r="D493">
        <v>8</v>
      </c>
      <c r="E493">
        <v>1</v>
      </c>
      <c r="F493" t="s">
        <v>33</v>
      </c>
      <c r="G493" t="s">
        <v>25</v>
      </c>
      <c r="H493" t="s">
        <v>26</v>
      </c>
      <c r="I493" t="s">
        <v>27</v>
      </c>
      <c r="J493" t="s">
        <v>34</v>
      </c>
      <c r="K493" t="s">
        <v>123</v>
      </c>
      <c r="L493" t="s">
        <v>35</v>
      </c>
      <c r="M493">
        <v>0</v>
      </c>
      <c r="N493">
        <v>1</v>
      </c>
      <c r="O493" s="17">
        <v>50530</v>
      </c>
      <c r="P493" s="17">
        <v>50529</v>
      </c>
      <c r="Q493">
        <f>27-11</f>
        <v>16</v>
      </c>
      <c r="R493" t="s">
        <v>63</v>
      </c>
      <c r="T493">
        <v>19</v>
      </c>
      <c r="U493">
        <v>78</v>
      </c>
      <c r="V493">
        <v>15.5</v>
      </c>
      <c r="W493">
        <v>13</v>
      </c>
      <c r="X493">
        <v>27.8</v>
      </c>
      <c r="Z493" t="s">
        <v>32</v>
      </c>
      <c r="AB493" t="s">
        <v>53</v>
      </c>
      <c r="AC493" t="s">
        <v>59</v>
      </c>
    </row>
    <row r="494" spans="1:30" x14ac:dyDescent="0.2">
      <c r="A494" s="3">
        <v>42557</v>
      </c>
      <c r="B494" t="s">
        <v>23</v>
      </c>
      <c r="C494">
        <v>111</v>
      </c>
      <c r="D494">
        <v>4</v>
      </c>
      <c r="E494">
        <v>1</v>
      </c>
      <c r="F494" t="s">
        <v>33</v>
      </c>
      <c r="G494" t="s">
        <v>25</v>
      </c>
      <c r="H494" t="s">
        <v>26</v>
      </c>
      <c r="I494" t="s">
        <v>27</v>
      </c>
      <c r="J494" t="s">
        <v>28</v>
      </c>
      <c r="K494" t="s">
        <v>123</v>
      </c>
      <c r="L494" t="s">
        <v>35</v>
      </c>
      <c r="M494">
        <v>0</v>
      </c>
      <c r="N494">
        <v>0</v>
      </c>
      <c r="O494" s="17">
        <v>50530</v>
      </c>
      <c r="P494" s="17">
        <v>50529</v>
      </c>
      <c r="R494" t="s">
        <v>63</v>
      </c>
      <c r="T494">
        <v>19</v>
      </c>
      <c r="U494">
        <v>78</v>
      </c>
      <c r="V494">
        <v>14</v>
      </c>
      <c r="W494">
        <v>12.3</v>
      </c>
      <c r="X494">
        <v>26.2</v>
      </c>
      <c r="Z494" t="s">
        <v>32</v>
      </c>
      <c r="AB494" t="s">
        <v>44</v>
      </c>
      <c r="AC494" t="s">
        <v>122</v>
      </c>
    </row>
    <row r="495" spans="1:30" x14ac:dyDescent="0.2">
      <c r="A495" s="3">
        <v>42558</v>
      </c>
      <c r="B495" t="s">
        <v>23</v>
      </c>
      <c r="C495">
        <v>111</v>
      </c>
      <c r="D495">
        <v>9</v>
      </c>
      <c r="E495">
        <v>2</v>
      </c>
      <c r="F495" t="s">
        <v>33</v>
      </c>
      <c r="G495" t="s">
        <v>25</v>
      </c>
      <c r="H495" t="s">
        <v>26</v>
      </c>
      <c r="I495" t="s">
        <v>27</v>
      </c>
      <c r="J495" t="s">
        <v>28</v>
      </c>
      <c r="K495" t="s">
        <v>123</v>
      </c>
      <c r="L495" t="s">
        <v>35</v>
      </c>
      <c r="M495">
        <v>0</v>
      </c>
      <c r="N495">
        <v>0</v>
      </c>
      <c r="O495" s="17">
        <v>50530</v>
      </c>
      <c r="P495" s="17">
        <v>50529</v>
      </c>
      <c r="Q495">
        <f>28-13</f>
        <v>15</v>
      </c>
      <c r="R495" t="s">
        <v>63</v>
      </c>
      <c r="T495">
        <v>20</v>
      </c>
      <c r="V495">
        <v>13</v>
      </c>
      <c r="W495">
        <v>12.4</v>
      </c>
      <c r="X495">
        <v>27.6</v>
      </c>
      <c r="Z495" t="s">
        <v>32</v>
      </c>
      <c r="AB495" t="s">
        <v>121</v>
      </c>
      <c r="AC495" t="s">
        <v>254</v>
      </c>
    </row>
    <row r="496" spans="1:30" x14ac:dyDescent="0.2">
      <c r="A496" s="3">
        <v>42570</v>
      </c>
      <c r="B496" t="s">
        <v>23</v>
      </c>
      <c r="C496">
        <v>111</v>
      </c>
      <c r="D496">
        <v>8</v>
      </c>
      <c r="E496">
        <v>1</v>
      </c>
      <c r="F496" t="s">
        <v>24</v>
      </c>
      <c r="G496" t="s">
        <v>25</v>
      </c>
      <c r="H496" t="s">
        <v>26</v>
      </c>
      <c r="I496" t="s">
        <v>27</v>
      </c>
      <c r="J496" t="s">
        <v>28</v>
      </c>
      <c r="K496" t="s">
        <v>188</v>
      </c>
      <c r="L496" t="s">
        <v>35</v>
      </c>
      <c r="M496">
        <v>0</v>
      </c>
      <c r="N496">
        <v>0</v>
      </c>
      <c r="O496" s="17">
        <v>50530</v>
      </c>
      <c r="P496" s="17">
        <v>50529</v>
      </c>
      <c r="Q496">
        <v>18</v>
      </c>
      <c r="R496" t="s">
        <v>63</v>
      </c>
      <c r="T496">
        <v>19</v>
      </c>
      <c r="V496">
        <v>18</v>
      </c>
      <c r="W496">
        <v>12.9</v>
      </c>
      <c r="X496">
        <v>27.7</v>
      </c>
      <c r="Z496" t="s">
        <v>32</v>
      </c>
      <c r="AB496" t="s">
        <v>582</v>
      </c>
      <c r="AC496" t="s">
        <v>59</v>
      </c>
    </row>
    <row r="497" spans="1:30" x14ac:dyDescent="0.2">
      <c r="A497" s="3">
        <v>42571</v>
      </c>
      <c r="B497" t="s">
        <v>23</v>
      </c>
      <c r="C497">
        <v>111</v>
      </c>
      <c r="D497">
        <v>9</v>
      </c>
      <c r="E497">
        <v>1</v>
      </c>
      <c r="F497" t="s">
        <v>24</v>
      </c>
      <c r="G497" t="s">
        <v>25</v>
      </c>
      <c r="H497" t="s">
        <v>26</v>
      </c>
      <c r="I497" t="s">
        <v>27</v>
      </c>
      <c r="J497" t="s">
        <v>28</v>
      </c>
      <c r="K497" t="s">
        <v>188</v>
      </c>
      <c r="L497" t="s">
        <v>35</v>
      </c>
      <c r="M497">
        <v>0</v>
      </c>
      <c r="N497">
        <v>0</v>
      </c>
      <c r="O497" s="17">
        <v>50530</v>
      </c>
      <c r="P497" s="17">
        <v>50529</v>
      </c>
      <c r="Q497">
        <f>27-9.5</f>
        <v>17.5</v>
      </c>
      <c r="R497" t="s">
        <v>63</v>
      </c>
      <c r="T497">
        <v>18</v>
      </c>
      <c r="V497">
        <v>17</v>
      </c>
      <c r="W497">
        <v>12.6</v>
      </c>
      <c r="X497">
        <v>27.7</v>
      </c>
      <c r="Y497" t="s">
        <v>608</v>
      </c>
      <c r="Z497" t="s">
        <v>32</v>
      </c>
      <c r="AB497" t="s">
        <v>44</v>
      </c>
      <c r="AC497" t="s">
        <v>59</v>
      </c>
    </row>
    <row r="498" spans="1:30" x14ac:dyDescent="0.2">
      <c r="A498" s="3">
        <v>42572</v>
      </c>
      <c r="B498" t="s">
        <v>23</v>
      </c>
      <c r="C498">
        <v>111</v>
      </c>
      <c r="D498">
        <v>5</v>
      </c>
      <c r="E498">
        <v>2</v>
      </c>
      <c r="F498" t="s">
        <v>24</v>
      </c>
      <c r="G498" t="s">
        <v>25</v>
      </c>
      <c r="H498" t="s">
        <v>26</v>
      </c>
      <c r="I498" t="s">
        <v>27</v>
      </c>
      <c r="J498" t="s">
        <v>28</v>
      </c>
      <c r="K498" t="s">
        <v>188</v>
      </c>
      <c r="L498" t="s">
        <v>35</v>
      </c>
      <c r="M498">
        <v>0</v>
      </c>
      <c r="N498">
        <v>0</v>
      </c>
      <c r="O498" s="17">
        <v>50530</v>
      </c>
      <c r="P498" s="17">
        <v>50529</v>
      </c>
      <c r="Q498">
        <f>28-9.5</f>
        <v>18.5</v>
      </c>
      <c r="R498" t="s">
        <v>63</v>
      </c>
      <c r="T498">
        <v>18</v>
      </c>
      <c r="V498">
        <v>15.5</v>
      </c>
      <c r="W498">
        <v>13</v>
      </c>
      <c r="X498">
        <v>27.8</v>
      </c>
      <c r="Z498" t="s">
        <v>32</v>
      </c>
      <c r="AB498" t="s">
        <v>149</v>
      </c>
      <c r="AC498" t="s">
        <v>122</v>
      </c>
    </row>
    <row r="499" spans="1:30" x14ac:dyDescent="0.2">
      <c r="A499" s="3">
        <v>42584</v>
      </c>
      <c r="B499" t="s">
        <v>23</v>
      </c>
      <c r="C499">
        <v>111</v>
      </c>
      <c r="D499">
        <v>8</v>
      </c>
      <c r="E499">
        <v>1</v>
      </c>
      <c r="F499" t="s">
        <v>33</v>
      </c>
      <c r="G499" t="s">
        <v>25</v>
      </c>
      <c r="H499" t="s">
        <v>26</v>
      </c>
      <c r="I499" t="s">
        <v>27</v>
      </c>
      <c r="J499" t="s">
        <v>28</v>
      </c>
      <c r="K499" t="s">
        <v>188</v>
      </c>
      <c r="L499" t="s">
        <v>35</v>
      </c>
      <c r="M499">
        <v>0</v>
      </c>
      <c r="N499">
        <v>0</v>
      </c>
      <c r="O499" s="17">
        <v>50530</v>
      </c>
      <c r="P499" s="17">
        <v>50529</v>
      </c>
      <c r="Q499">
        <f>35-16</f>
        <v>19</v>
      </c>
      <c r="R499" t="s">
        <v>63</v>
      </c>
      <c r="T499">
        <v>19</v>
      </c>
      <c r="V499">
        <v>17</v>
      </c>
      <c r="W499">
        <v>12.8</v>
      </c>
      <c r="X499">
        <v>28.9</v>
      </c>
      <c r="Z499" t="s">
        <v>145</v>
      </c>
      <c r="AA499" t="s">
        <v>260</v>
      </c>
      <c r="AB499" t="s">
        <v>121</v>
      </c>
      <c r="AC499" t="s">
        <v>59</v>
      </c>
    </row>
    <row r="500" spans="1:30" x14ac:dyDescent="0.2">
      <c r="A500" s="3">
        <v>42557</v>
      </c>
      <c r="B500" t="s">
        <v>23</v>
      </c>
      <c r="C500">
        <v>202</v>
      </c>
      <c r="D500">
        <v>8</v>
      </c>
      <c r="E500">
        <v>1</v>
      </c>
      <c r="F500" t="s">
        <v>24</v>
      </c>
      <c r="G500" t="s">
        <v>25</v>
      </c>
      <c r="H500" t="s">
        <v>26</v>
      </c>
      <c r="I500" t="s">
        <v>27</v>
      </c>
      <c r="J500" t="s">
        <v>45</v>
      </c>
      <c r="K500" t="s">
        <v>29</v>
      </c>
      <c r="L500" t="s">
        <v>30</v>
      </c>
      <c r="M500">
        <v>1</v>
      </c>
      <c r="N500">
        <v>0</v>
      </c>
      <c r="O500" s="17">
        <v>50545</v>
      </c>
      <c r="P500" s="17">
        <v>50652</v>
      </c>
      <c r="Q500">
        <f>32-13.5</f>
        <v>18.5</v>
      </c>
      <c r="R500" t="s">
        <v>75</v>
      </c>
      <c r="S500" t="s">
        <v>145</v>
      </c>
      <c r="T500">
        <v>17</v>
      </c>
      <c r="U500">
        <v>92</v>
      </c>
      <c r="V500">
        <v>15</v>
      </c>
      <c r="W500">
        <v>12.4</v>
      </c>
      <c r="X500">
        <v>28.2</v>
      </c>
      <c r="Z500" t="s">
        <v>32</v>
      </c>
      <c r="AB500" t="s">
        <v>44</v>
      </c>
      <c r="AC500" t="s">
        <v>122</v>
      </c>
    </row>
    <row r="501" spans="1:30" x14ac:dyDescent="0.2">
      <c r="A501" s="3">
        <v>42572</v>
      </c>
      <c r="B501" t="s">
        <v>23</v>
      </c>
      <c r="C501">
        <v>112</v>
      </c>
      <c r="D501">
        <v>4</v>
      </c>
      <c r="E501">
        <v>2</v>
      </c>
      <c r="F501" t="s">
        <v>24</v>
      </c>
      <c r="G501" t="s">
        <v>25</v>
      </c>
      <c r="H501" t="s">
        <v>26</v>
      </c>
      <c r="I501" t="s">
        <v>27</v>
      </c>
      <c r="J501" t="s">
        <v>28</v>
      </c>
      <c r="K501" t="s">
        <v>29</v>
      </c>
      <c r="L501" t="s">
        <v>35</v>
      </c>
      <c r="M501">
        <v>0</v>
      </c>
      <c r="N501">
        <v>0</v>
      </c>
      <c r="O501" s="17">
        <v>50545</v>
      </c>
      <c r="P501" s="17">
        <v>50544</v>
      </c>
      <c r="Q501">
        <f>33.5-11.5</f>
        <v>22</v>
      </c>
      <c r="R501" t="s">
        <v>39</v>
      </c>
      <c r="T501">
        <v>18</v>
      </c>
      <c r="U501">
        <v>81</v>
      </c>
      <c r="V501">
        <v>15.5</v>
      </c>
      <c r="Z501" t="s">
        <v>32</v>
      </c>
      <c r="AB501" t="s">
        <v>121</v>
      </c>
      <c r="AC501" t="s">
        <v>122</v>
      </c>
    </row>
    <row r="502" spans="1:30" x14ac:dyDescent="0.2">
      <c r="A502" s="3">
        <v>42551</v>
      </c>
      <c r="B502" t="s">
        <v>23</v>
      </c>
      <c r="C502">
        <v>503</v>
      </c>
      <c r="D502">
        <v>5</v>
      </c>
      <c r="E502">
        <v>2</v>
      </c>
      <c r="F502" t="s">
        <v>33</v>
      </c>
      <c r="G502" t="s">
        <v>25</v>
      </c>
      <c r="H502" t="s">
        <v>26</v>
      </c>
      <c r="I502" t="s">
        <v>27</v>
      </c>
      <c r="J502" t="s">
        <v>34</v>
      </c>
      <c r="K502" t="s">
        <v>123</v>
      </c>
      <c r="L502" t="s">
        <v>30</v>
      </c>
      <c r="M502">
        <v>0</v>
      </c>
      <c r="N502">
        <v>1</v>
      </c>
      <c r="O502" s="17">
        <v>50550</v>
      </c>
      <c r="P502" s="17">
        <v>50549</v>
      </c>
      <c r="Q502">
        <f>24-12</f>
        <v>12</v>
      </c>
      <c r="R502" t="s">
        <v>31</v>
      </c>
      <c r="S502" t="s">
        <v>32</v>
      </c>
      <c r="T502">
        <v>18</v>
      </c>
      <c r="U502">
        <v>69</v>
      </c>
      <c r="V502">
        <v>13</v>
      </c>
      <c r="W502">
        <v>12.7</v>
      </c>
      <c r="X502">
        <v>26.9</v>
      </c>
      <c r="Z502" t="s">
        <v>32</v>
      </c>
      <c r="AB502" t="s">
        <v>44</v>
      </c>
      <c r="AC502" t="s">
        <v>59</v>
      </c>
    </row>
    <row r="503" spans="1:30" x14ac:dyDescent="0.2">
      <c r="A503" s="3">
        <v>42563</v>
      </c>
      <c r="B503" t="s">
        <v>23</v>
      </c>
      <c r="C503">
        <v>503</v>
      </c>
      <c r="D503">
        <v>8</v>
      </c>
      <c r="E503">
        <v>2</v>
      </c>
      <c r="F503" t="s">
        <v>24</v>
      </c>
      <c r="G503" t="s">
        <v>25</v>
      </c>
      <c r="H503" t="s">
        <v>26</v>
      </c>
      <c r="I503" t="s">
        <v>27</v>
      </c>
      <c r="J503" t="s">
        <v>28</v>
      </c>
      <c r="K503" t="s">
        <v>188</v>
      </c>
      <c r="L503" t="s">
        <v>30</v>
      </c>
      <c r="M503">
        <v>0</v>
      </c>
      <c r="N503">
        <v>0</v>
      </c>
      <c r="O503" s="17">
        <v>50550</v>
      </c>
      <c r="P503" s="17">
        <v>50549</v>
      </c>
      <c r="Q503">
        <f>26-12</f>
        <v>14</v>
      </c>
      <c r="R503" t="s">
        <v>31</v>
      </c>
      <c r="S503" t="s">
        <v>32</v>
      </c>
      <c r="T503">
        <v>17</v>
      </c>
      <c r="U503">
        <v>80</v>
      </c>
      <c r="V503">
        <v>16</v>
      </c>
      <c r="W503">
        <v>12.9</v>
      </c>
      <c r="X503">
        <v>24.8</v>
      </c>
      <c r="Z503" t="s">
        <v>32</v>
      </c>
      <c r="AB503" t="s">
        <v>53</v>
      </c>
      <c r="AC503" t="s">
        <v>122</v>
      </c>
    </row>
    <row r="504" spans="1:30" x14ac:dyDescent="0.2">
      <c r="A504" s="3">
        <v>42564</v>
      </c>
      <c r="B504" t="s">
        <v>23</v>
      </c>
      <c r="C504">
        <v>503</v>
      </c>
      <c r="D504">
        <v>10</v>
      </c>
      <c r="E504">
        <v>2</v>
      </c>
      <c r="F504" t="s">
        <v>24</v>
      </c>
      <c r="G504" t="s">
        <v>25</v>
      </c>
      <c r="H504" t="s">
        <v>26</v>
      </c>
      <c r="I504" t="s">
        <v>27</v>
      </c>
      <c r="J504" t="s">
        <v>28</v>
      </c>
      <c r="K504" t="s">
        <v>188</v>
      </c>
      <c r="L504" t="s">
        <v>30</v>
      </c>
      <c r="M504">
        <v>0</v>
      </c>
      <c r="N504">
        <v>0</v>
      </c>
      <c r="O504" s="17">
        <v>50550</v>
      </c>
      <c r="P504" s="17">
        <v>50549</v>
      </c>
      <c r="Q504">
        <v>12</v>
      </c>
      <c r="R504" t="s">
        <v>31</v>
      </c>
      <c r="S504" t="s">
        <v>32</v>
      </c>
      <c r="T504">
        <v>18</v>
      </c>
      <c r="U504">
        <v>76</v>
      </c>
      <c r="V504">
        <v>15</v>
      </c>
      <c r="W504">
        <v>12.5</v>
      </c>
      <c r="X504">
        <v>26.8</v>
      </c>
      <c r="Z504" t="s">
        <v>32</v>
      </c>
    </row>
    <row r="505" spans="1:30" x14ac:dyDescent="0.2">
      <c r="A505" s="3">
        <v>42565</v>
      </c>
      <c r="B505" t="s">
        <v>23</v>
      </c>
      <c r="C505">
        <v>503</v>
      </c>
      <c r="D505">
        <v>2</v>
      </c>
      <c r="E505">
        <v>1</v>
      </c>
      <c r="F505" t="s">
        <v>24</v>
      </c>
      <c r="G505" t="s">
        <v>25</v>
      </c>
      <c r="H505" t="s">
        <v>26</v>
      </c>
      <c r="I505" t="s">
        <v>27</v>
      </c>
      <c r="J505" t="s">
        <v>28</v>
      </c>
      <c r="K505" t="s">
        <v>188</v>
      </c>
      <c r="L505" t="s">
        <v>30</v>
      </c>
      <c r="M505">
        <v>0</v>
      </c>
      <c r="N505">
        <v>0</v>
      </c>
      <c r="O505" s="17">
        <v>50550</v>
      </c>
      <c r="P505" s="17">
        <v>50549</v>
      </c>
      <c r="Q505">
        <v>14</v>
      </c>
      <c r="R505" t="s">
        <v>31</v>
      </c>
      <c r="S505" t="s">
        <v>32</v>
      </c>
      <c r="T505">
        <v>16</v>
      </c>
      <c r="U505">
        <v>75</v>
      </c>
      <c r="V505">
        <v>15</v>
      </c>
      <c r="W505">
        <v>12.6</v>
      </c>
      <c r="X505">
        <v>28.2</v>
      </c>
      <c r="Z505" t="s">
        <v>32</v>
      </c>
      <c r="AB505" t="s">
        <v>489</v>
      </c>
      <c r="AC505" t="s">
        <v>254</v>
      </c>
    </row>
    <row r="506" spans="1:30" x14ac:dyDescent="0.2">
      <c r="A506" s="3">
        <v>42556</v>
      </c>
      <c r="B506" t="s">
        <v>23</v>
      </c>
      <c r="C506">
        <v>402</v>
      </c>
      <c r="D506">
        <v>7</v>
      </c>
      <c r="E506">
        <v>2</v>
      </c>
      <c r="F506" t="s">
        <v>33</v>
      </c>
      <c r="G506" t="s">
        <v>25</v>
      </c>
      <c r="H506" t="s">
        <v>26</v>
      </c>
      <c r="I506" t="s">
        <v>27</v>
      </c>
      <c r="J506" t="s">
        <v>34</v>
      </c>
      <c r="K506" t="s">
        <v>123</v>
      </c>
      <c r="L506" t="s">
        <v>35</v>
      </c>
      <c r="M506">
        <v>0</v>
      </c>
      <c r="N506">
        <v>1</v>
      </c>
      <c r="O506" s="17">
        <v>50553</v>
      </c>
      <c r="P506" s="17">
        <v>50551</v>
      </c>
      <c r="Q506">
        <f>25-11</f>
        <v>14</v>
      </c>
      <c r="R506" t="s">
        <v>63</v>
      </c>
      <c r="T506">
        <v>19</v>
      </c>
      <c r="U506">
        <v>74</v>
      </c>
      <c r="V506">
        <v>12</v>
      </c>
      <c r="W506">
        <v>12.8</v>
      </c>
      <c r="X506">
        <v>24.8</v>
      </c>
      <c r="Y506" t="s">
        <v>423</v>
      </c>
      <c r="Z506" t="s">
        <v>32</v>
      </c>
      <c r="AB506" t="s">
        <v>53</v>
      </c>
      <c r="AC506" t="s">
        <v>59</v>
      </c>
    </row>
    <row r="507" spans="1:30" x14ac:dyDescent="0.2">
      <c r="A507" s="3">
        <v>42557</v>
      </c>
      <c r="B507" t="s">
        <v>23</v>
      </c>
      <c r="C507">
        <v>402</v>
      </c>
      <c r="D507">
        <v>7</v>
      </c>
      <c r="E507">
        <v>2</v>
      </c>
      <c r="F507" t="s">
        <v>33</v>
      </c>
      <c r="G507" t="s">
        <v>25</v>
      </c>
      <c r="H507" t="s">
        <v>26</v>
      </c>
      <c r="I507" t="s">
        <v>27</v>
      </c>
      <c r="J507" t="s">
        <v>28</v>
      </c>
      <c r="K507" t="s">
        <v>123</v>
      </c>
      <c r="L507" t="s">
        <v>35</v>
      </c>
      <c r="M507">
        <v>0</v>
      </c>
      <c r="N507">
        <v>0</v>
      </c>
      <c r="O507" s="17">
        <v>50553</v>
      </c>
      <c r="P507" s="17">
        <v>50552</v>
      </c>
      <c r="Q507">
        <f>26-11.5</f>
        <v>14.5</v>
      </c>
      <c r="R507" t="s">
        <v>63</v>
      </c>
      <c r="T507">
        <v>19</v>
      </c>
      <c r="U507">
        <v>73</v>
      </c>
      <c r="V507">
        <v>10</v>
      </c>
      <c r="W507">
        <v>12.3</v>
      </c>
      <c r="X507">
        <v>25.9</v>
      </c>
      <c r="Y507" t="s">
        <v>429</v>
      </c>
      <c r="Z507" t="s">
        <v>32</v>
      </c>
      <c r="AB507" t="s">
        <v>44</v>
      </c>
      <c r="AC507" t="s">
        <v>122</v>
      </c>
    </row>
    <row r="508" spans="1:30" x14ac:dyDescent="0.2">
      <c r="A508" s="3">
        <v>42557</v>
      </c>
      <c r="B508" t="s">
        <v>23</v>
      </c>
      <c r="C508">
        <v>111</v>
      </c>
      <c r="D508">
        <v>9</v>
      </c>
      <c r="E508">
        <v>1</v>
      </c>
      <c r="F508" t="s">
        <v>33</v>
      </c>
      <c r="G508" t="s">
        <v>25</v>
      </c>
      <c r="H508" t="s">
        <v>26</v>
      </c>
      <c r="I508" t="s">
        <v>27</v>
      </c>
      <c r="J508" t="s">
        <v>34</v>
      </c>
      <c r="K508" t="s">
        <v>123</v>
      </c>
      <c r="L508" t="s">
        <v>35</v>
      </c>
      <c r="M508">
        <v>0</v>
      </c>
      <c r="N508">
        <v>1</v>
      </c>
      <c r="O508" s="17">
        <v>50557</v>
      </c>
      <c r="P508" s="17">
        <v>50556</v>
      </c>
      <c r="Q508">
        <v>13.5</v>
      </c>
      <c r="R508" t="s">
        <v>63</v>
      </c>
      <c r="T508">
        <v>19</v>
      </c>
      <c r="U508">
        <v>70</v>
      </c>
      <c r="V508">
        <v>13</v>
      </c>
      <c r="W508">
        <v>12.7</v>
      </c>
      <c r="X508">
        <v>24.5</v>
      </c>
      <c r="Z508" t="s">
        <v>32</v>
      </c>
      <c r="AB508" t="s">
        <v>44</v>
      </c>
      <c r="AC508" t="s">
        <v>122</v>
      </c>
    </row>
    <row r="509" spans="1:30" x14ac:dyDescent="0.2">
      <c r="A509" s="3">
        <v>42557</v>
      </c>
      <c r="B509" t="s">
        <v>23</v>
      </c>
      <c r="C509">
        <v>113</v>
      </c>
      <c r="D509">
        <v>10</v>
      </c>
      <c r="E509">
        <v>1</v>
      </c>
      <c r="F509" t="s">
        <v>33</v>
      </c>
      <c r="G509" t="s">
        <v>25</v>
      </c>
      <c r="H509" t="s">
        <v>26</v>
      </c>
      <c r="I509" t="s">
        <v>27</v>
      </c>
      <c r="J509" t="s">
        <v>34</v>
      </c>
      <c r="K509" t="s">
        <v>29</v>
      </c>
      <c r="L509" t="s">
        <v>35</v>
      </c>
      <c r="M509">
        <v>0</v>
      </c>
      <c r="N509">
        <v>1</v>
      </c>
      <c r="O509" s="17">
        <v>50559</v>
      </c>
      <c r="P509" s="17">
        <v>50558</v>
      </c>
      <c r="Q509">
        <f>31-10</f>
        <v>21</v>
      </c>
      <c r="R509" t="s">
        <v>39</v>
      </c>
      <c r="T509">
        <v>21</v>
      </c>
      <c r="U509">
        <v>79</v>
      </c>
      <c r="V509">
        <v>16</v>
      </c>
      <c r="W509">
        <v>13.1</v>
      </c>
      <c r="X509">
        <v>28.4</v>
      </c>
      <c r="Y509" t="s">
        <v>428</v>
      </c>
      <c r="Z509" t="s">
        <v>32</v>
      </c>
      <c r="AB509" t="s">
        <v>44</v>
      </c>
      <c r="AC509" t="s">
        <v>122</v>
      </c>
      <c r="AD509" t="s">
        <v>430</v>
      </c>
    </row>
    <row r="510" spans="1:30" x14ac:dyDescent="0.2">
      <c r="A510" s="3">
        <v>42558</v>
      </c>
      <c r="B510" t="s">
        <v>23</v>
      </c>
      <c r="C510">
        <v>113</v>
      </c>
      <c r="D510">
        <v>1</v>
      </c>
      <c r="E510">
        <v>1</v>
      </c>
      <c r="F510" t="s">
        <v>33</v>
      </c>
      <c r="G510" t="s">
        <v>25</v>
      </c>
      <c r="H510" t="s">
        <v>26</v>
      </c>
      <c r="I510" t="s">
        <v>27</v>
      </c>
      <c r="J510" t="s">
        <v>28</v>
      </c>
      <c r="K510" t="s">
        <v>29</v>
      </c>
      <c r="L510" t="s">
        <v>35</v>
      </c>
      <c r="M510">
        <v>0</v>
      </c>
      <c r="N510">
        <v>0</v>
      </c>
      <c r="O510" s="17">
        <v>50559</v>
      </c>
      <c r="P510" s="17">
        <v>50558</v>
      </c>
      <c r="Q510">
        <f>21.5</f>
        <v>21.5</v>
      </c>
      <c r="R510" t="s">
        <v>39</v>
      </c>
      <c r="T510">
        <v>21</v>
      </c>
      <c r="U510">
        <v>81</v>
      </c>
      <c r="V510">
        <v>16</v>
      </c>
      <c r="W510">
        <v>13.1</v>
      </c>
      <c r="X510">
        <v>27.2</v>
      </c>
      <c r="Z510" t="s">
        <v>32</v>
      </c>
      <c r="AB510" t="s">
        <v>121</v>
      </c>
      <c r="AC510" t="s">
        <v>254</v>
      </c>
    </row>
    <row r="511" spans="1:30" x14ac:dyDescent="0.2">
      <c r="A511" s="3">
        <v>42570</v>
      </c>
      <c r="B511" t="s">
        <v>23</v>
      </c>
      <c r="C511">
        <v>113</v>
      </c>
      <c r="D511">
        <v>9</v>
      </c>
      <c r="E511">
        <v>2</v>
      </c>
      <c r="F511" t="s">
        <v>24</v>
      </c>
      <c r="G511" t="s">
        <v>25</v>
      </c>
      <c r="H511" t="s">
        <v>26</v>
      </c>
      <c r="I511" t="s">
        <v>27</v>
      </c>
      <c r="J511" t="s">
        <v>28</v>
      </c>
      <c r="K511" t="s">
        <v>29</v>
      </c>
      <c r="L511" t="s">
        <v>35</v>
      </c>
      <c r="M511">
        <v>0</v>
      </c>
      <c r="N511">
        <v>0</v>
      </c>
      <c r="O511" s="17">
        <v>50559</v>
      </c>
      <c r="P511" s="17">
        <v>50558</v>
      </c>
      <c r="Q511">
        <v>21</v>
      </c>
      <c r="R511" t="s">
        <v>39</v>
      </c>
      <c r="T511">
        <v>19</v>
      </c>
      <c r="U511">
        <v>84.5</v>
      </c>
      <c r="V511">
        <v>17</v>
      </c>
      <c r="W511">
        <v>13.5</v>
      </c>
      <c r="X511">
        <v>29</v>
      </c>
      <c r="Z511" t="s">
        <v>32</v>
      </c>
      <c r="AB511" t="s">
        <v>582</v>
      </c>
      <c r="AC511" t="s">
        <v>59</v>
      </c>
    </row>
    <row r="512" spans="1:30" x14ac:dyDescent="0.2">
      <c r="A512" s="3">
        <v>42571</v>
      </c>
      <c r="B512" t="s">
        <v>23</v>
      </c>
      <c r="C512">
        <v>113</v>
      </c>
      <c r="D512">
        <v>9</v>
      </c>
      <c r="E512">
        <v>1</v>
      </c>
      <c r="F512" t="s">
        <v>24</v>
      </c>
      <c r="G512" t="s">
        <v>25</v>
      </c>
      <c r="H512" t="s">
        <v>26</v>
      </c>
      <c r="I512" t="s">
        <v>27</v>
      </c>
      <c r="J512" t="s">
        <v>28</v>
      </c>
      <c r="K512" t="s">
        <v>29</v>
      </c>
      <c r="L512" t="s">
        <v>35</v>
      </c>
      <c r="M512">
        <v>0</v>
      </c>
      <c r="N512">
        <v>0</v>
      </c>
      <c r="O512" s="17">
        <v>50559</v>
      </c>
      <c r="P512" s="17">
        <v>50558</v>
      </c>
      <c r="Q512">
        <v>20</v>
      </c>
      <c r="R512" t="s">
        <v>39</v>
      </c>
      <c r="T512">
        <v>20</v>
      </c>
      <c r="U512">
        <v>82</v>
      </c>
      <c r="V512">
        <v>18.5</v>
      </c>
      <c r="W512">
        <v>13.4</v>
      </c>
      <c r="X512">
        <v>29.2</v>
      </c>
      <c r="Z512" t="s">
        <v>32</v>
      </c>
      <c r="AB512" t="s">
        <v>44</v>
      </c>
      <c r="AC512" t="s">
        <v>59</v>
      </c>
    </row>
    <row r="513" spans="1:29" x14ac:dyDescent="0.2">
      <c r="A513" s="3">
        <v>42570</v>
      </c>
      <c r="B513" t="s">
        <v>23</v>
      </c>
      <c r="C513">
        <v>304</v>
      </c>
      <c r="D513">
        <v>4</v>
      </c>
      <c r="E513">
        <v>2</v>
      </c>
      <c r="F513" t="s">
        <v>33</v>
      </c>
      <c r="G513" t="s">
        <v>25</v>
      </c>
      <c r="H513" t="s">
        <v>26</v>
      </c>
      <c r="I513" t="s">
        <v>27</v>
      </c>
      <c r="J513" t="s">
        <v>28</v>
      </c>
      <c r="K513" t="s">
        <v>188</v>
      </c>
      <c r="L513" t="s">
        <v>35</v>
      </c>
      <c r="M513">
        <v>0</v>
      </c>
      <c r="N513">
        <v>0</v>
      </c>
      <c r="O513" s="17">
        <v>50560</v>
      </c>
      <c r="P513" s="17">
        <v>50565</v>
      </c>
      <c r="Q513">
        <f>29-13.5</f>
        <v>15.5</v>
      </c>
      <c r="R513" t="s">
        <v>63</v>
      </c>
      <c r="T513">
        <v>20</v>
      </c>
      <c r="U513">
        <v>81</v>
      </c>
      <c r="V513">
        <v>14</v>
      </c>
      <c r="W513">
        <v>12.8</v>
      </c>
      <c r="X513" t="s">
        <v>556</v>
      </c>
      <c r="Z513" t="s">
        <v>32</v>
      </c>
      <c r="AB513" t="s">
        <v>121</v>
      </c>
      <c r="AC513" t="s">
        <v>59</v>
      </c>
    </row>
    <row r="514" spans="1:29" x14ac:dyDescent="0.2">
      <c r="A514" s="3">
        <v>42557</v>
      </c>
      <c r="B514" t="s">
        <v>23</v>
      </c>
      <c r="C514">
        <v>304</v>
      </c>
      <c r="D514">
        <v>10</v>
      </c>
      <c r="E514">
        <v>1</v>
      </c>
      <c r="F514" t="s">
        <v>33</v>
      </c>
      <c r="G514" t="s">
        <v>25</v>
      </c>
      <c r="H514" t="s">
        <v>26</v>
      </c>
      <c r="I514" t="s">
        <v>27</v>
      </c>
      <c r="J514" t="s">
        <v>34</v>
      </c>
      <c r="K514" t="s">
        <v>123</v>
      </c>
      <c r="L514" t="s">
        <v>30</v>
      </c>
      <c r="M514">
        <v>0</v>
      </c>
      <c r="N514">
        <v>1</v>
      </c>
      <c r="O514" s="17">
        <v>50562</v>
      </c>
      <c r="P514" s="17">
        <v>50561</v>
      </c>
      <c r="Q514">
        <f>28-14</f>
        <v>14</v>
      </c>
      <c r="R514" t="s">
        <v>31</v>
      </c>
      <c r="S514" t="s">
        <v>32</v>
      </c>
      <c r="T514">
        <v>18</v>
      </c>
      <c r="U514">
        <v>80</v>
      </c>
      <c r="V514">
        <v>14</v>
      </c>
      <c r="W514">
        <v>12.6</v>
      </c>
      <c r="X514">
        <v>26</v>
      </c>
      <c r="Z514" t="s">
        <v>32</v>
      </c>
      <c r="AB514" t="s">
        <v>44</v>
      </c>
      <c r="AC514" t="s">
        <v>122</v>
      </c>
    </row>
    <row r="515" spans="1:29" x14ac:dyDescent="0.2">
      <c r="A515" s="3">
        <v>42558</v>
      </c>
      <c r="B515" t="s">
        <v>23</v>
      </c>
      <c r="C515">
        <v>304</v>
      </c>
      <c r="D515">
        <v>7</v>
      </c>
      <c r="E515">
        <v>2</v>
      </c>
      <c r="F515" t="s">
        <v>24</v>
      </c>
      <c r="G515" t="s">
        <v>25</v>
      </c>
      <c r="H515" t="s">
        <v>26</v>
      </c>
      <c r="I515" t="s">
        <v>27</v>
      </c>
      <c r="J515" t="s">
        <v>28</v>
      </c>
      <c r="K515" t="s">
        <v>123</v>
      </c>
      <c r="L515" t="s">
        <v>35</v>
      </c>
      <c r="M515">
        <v>0</v>
      </c>
      <c r="N515">
        <v>0</v>
      </c>
      <c r="O515" s="17">
        <v>50562</v>
      </c>
      <c r="P515" s="17">
        <v>50561</v>
      </c>
      <c r="Q515">
        <f>28-16</f>
        <v>12</v>
      </c>
      <c r="R515" t="s">
        <v>63</v>
      </c>
      <c r="T515">
        <v>18</v>
      </c>
      <c r="U515">
        <v>88</v>
      </c>
      <c r="V515">
        <v>15</v>
      </c>
      <c r="W515">
        <v>13.2</v>
      </c>
      <c r="X515">
        <v>27.1</v>
      </c>
      <c r="Z515" t="s">
        <v>32</v>
      </c>
      <c r="AB515" t="s">
        <v>121</v>
      </c>
      <c r="AC515" t="s">
        <v>254</v>
      </c>
    </row>
    <row r="516" spans="1:29" x14ac:dyDescent="0.2">
      <c r="A516" s="3">
        <v>42557</v>
      </c>
      <c r="B516" t="s">
        <v>23</v>
      </c>
      <c r="C516">
        <v>304</v>
      </c>
      <c r="D516">
        <v>5</v>
      </c>
      <c r="E516">
        <v>1</v>
      </c>
      <c r="F516" t="s">
        <v>33</v>
      </c>
      <c r="G516" t="s">
        <v>25</v>
      </c>
      <c r="H516" t="s">
        <v>26</v>
      </c>
      <c r="I516" t="s">
        <v>27</v>
      </c>
      <c r="J516" t="s">
        <v>34</v>
      </c>
      <c r="K516" t="s">
        <v>123</v>
      </c>
      <c r="L516" t="s">
        <v>30</v>
      </c>
      <c r="M516">
        <v>0</v>
      </c>
      <c r="N516">
        <v>1</v>
      </c>
      <c r="O516" s="17">
        <v>50566</v>
      </c>
      <c r="P516" s="17">
        <v>50565</v>
      </c>
      <c r="Q516">
        <f>23-12</f>
        <v>11</v>
      </c>
      <c r="R516" t="s">
        <v>31</v>
      </c>
      <c r="S516" t="s">
        <v>32</v>
      </c>
      <c r="T516">
        <v>19</v>
      </c>
      <c r="U516">
        <v>70</v>
      </c>
      <c r="V516">
        <v>14</v>
      </c>
      <c r="W516">
        <v>12.1</v>
      </c>
      <c r="X516">
        <v>25.8</v>
      </c>
      <c r="Z516" t="s">
        <v>32</v>
      </c>
      <c r="AB516" t="s">
        <v>44</v>
      </c>
      <c r="AC516" t="s">
        <v>122</v>
      </c>
    </row>
    <row r="517" spans="1:29" x14ac:dyDescent="0.2">
      <c r="A517" s="3">
        <v>42557</v>
      </c>
      <c r="B517" t="s">
        <v>23</v>
      </c>
      <c r="C517">
        <v>304</v>
      </c>
      <c r="D517">
        <v>4</v>
      </c>
      <c r="E517">
        <v>2</v>
      </c>
      <c r="F517" t="s">
        <v>33</v>
      </c>
      <c r="G517" t="s">
        <v>25</v>
      </c>
      <c r="H517" t="s">
        <v>26</v>
      </c>
      <c r="I517" t="s">
        <v>27</v>
      </c>
      <c r="J517" t="s">
        <v>34</v>
      </c>
      <c r="K517" t="s">
        <v>123</v>
      </c>
      <c r="L517" t="s">
        <v>30</v>
      </c>
      <c r="M517">
        <v>0</v>
      </c>
      <c r="N517">
        <v>1</v>
      </c>
      <c r="O517" s="17">
        <v>50568</v>
      </c>
      <c r="P517" s="17">
        <v>50567</v>
      </c>
      <c r="Q517">
        <f>23-9</f>
        <v>14</v>
      </c>
      <c r="R517" t="s">
        <v>31</v>
      </c>
      <c r="S517" t="s">
        <v>32</v>
      </c>
      <c r="T517">
        <v>21</v>
      </c>
      <c r="U517">
        <v>79</v>
      </c>
      <c r="V517">
        <v>15</v>
      </c>
      <c r="W517">
        <v>12.4</v>
      </c>
      <c r="X517">
        <v>26.9</v>
      </c>
      <c r="Z517" t="s">
        <v>32</v>
      </c>
      <c r="AB517" t="s">
        <v>44</v>
      </c>
      <c r="AC517" t="s">
        <v>122</v>
      </c>
    </row>
    <row r="518" spans="1:29" x14ac:dyDescent="0.2">
      <c r="A518" s="3">
        <v>42558</v>
      </c>
      <c r="B518" t="s">
        <v>23</v>
      </c>
      <c r="C518">
        <v>304</v>
      </c>
      <c r="D518">
        <v>9</v>
      </c>
      <c r="E518">
        <v>2</v>
      </c>
      <c r="F518" t="s">
        <v>24</v>
      </c>
      <c r="G518" t="s">
        <v>25</v>
      </c>
      <c r="H518" t="s">
        <v>26</v>
      </c>
      <c r="I518" t="s">
        <v>27</v>
      </c>
      <c r="J518" t="s">
        <v>28</v>
      </c>
      <c r="K518" t="s">
        <v>123</v>
      </c>
      <c r="L518" t="s">
        <v>30</v>
      </c>
      <c r="M518">
        <v>0</v>
      </c>
      <c r="N518">
        <v>0</v>
      </c>
      <c r="O518" s="17">
        <v>50568</v>
      </c>
      <c r="P518" s="17">
        <v>50567</v>
      </c>
      <c r="Q518">
        <v>16</v>
      </c>
      <c r="R518" t="s">
        <v>31</v>
      </c>
      <c r="S518" t="s">
        <v>32</v>
      </c>
      <c r="T518">
        <v>19</v>
      </c>
      <c r="U518">
        <v>88</v>
      </c>
      <c r="V518">
        <v>17</v>
      </c>
      <c r="W518">
        <v>13</v>
      </c>
      <c r="X518">
        <v>27.7</v>
      </c>
      <c r="Z518" t="s">
        <v>32</v>
      </c>
      <c r="AB518" t="s">
        <v>121</v>
      </c>
      <c r="AC518" t="s">
        <v>254</v>
      </c>
    </row>
    <row r="519" spans="1:29" x14ac:dyDescent="0.2">
      <c r="A519" s="3">
        <v>42557</v>
      </c>
      <c r="B519" t="s">
        <v>23</v>
      </c>
      <c r="C519">
        <v>304</v>
      </c>
      <c r="D519">
        <v>1</v>
      </c>
      <c r="E519">
        <v>1</v>
      </c>
      <c r="F519" t="s">
        <v>33</v>
      </c>
      <c r="G519" t="s">
        <v>25</v>
      </c>
      <c r="H519" t="s">
        <v>26</v>
      </c>
      <c r="I519" t="s">
        <v>27</v>
      </c>
      <c r="J519" t="s">
        <v>34</v>
      </c>
      <c r="K519" t="s">
        <v>29</v>
      </c>
      <c r="L519" t="s">
        <v>35</v>
      </c>
      <c r="M519">
        <v>0</v>
      </c>
      <c r="N519">
        <v>1</v>
      </c>
      <c r="O519" s="17">
        <v>50570</v>
      </c>
      <c r="P519" s="17">
        <v>50569</v>
      </c>
      <c r="R519" t="s">
        <v>39</v>
      </c>
      <c r="T519">
        <v>20.5</v>
      </c>
      <c r="U519">
        <v>87</v>
      </c>
      <c r="V519">
        <v>16</v>
      </c>
      <c r="W519">
        <v>12.6</v>
      </c>
      <c r="X519">
        <v>29.8</v>
      </c>
      <c r="Z519" t="s">
        <v>32</v>
      </c>
      <c r="AB519" t="s">
        <v>44</v>
      </c>
      <c r="AC519" t="s">
        <v>122</v>
      </c>
    </row>
    <row r="520" spans="1:29" x14ac:dyDescent="0.2">
      <c r="A520" s="3">
        <v>42558</v>
      </c>
      <c r="B520" t="s">
        <v>23</v>
      </c>
      <c r="C520">
        <v>111</v>
      </c>
      <c r="D520">
        <v>4</v>
      </c>
      <c r="E520">
        <v>1</v>
      </c>
      <c r="F520" t="s">
        <v>33</v>
      </c>
      <c r="G520" t="s">
        <v>25</v>
      </c>
      <c r="H520" t="s">
        <v>26</v>
      </c>
      <c r="I520" t="s">
        <v>27</v>
      </c>
      <c r="J520" t="s">
        <v>34</v>
      </c>
      <c r="K520" t="s">
        <v>29</v>
      </c>
      <c r="L520" t="s">
        <v>35</v>
      </c>
      <c r="M520">
        <v>0</v>
      </c>
      <c r="N520">
        <v>1</v>
      </c>
      <c r="O520" s="17">
        <v>50572</v>
      </c>
      <c r="P520" s="17">
        <v>50571</v>
      </c>
      <c r="Q520">
        <f>35-13</f>
        <v>22</v>
      </c>
      <c r="R520" t="s">
        <v>39</v>
      </c>
      <c r="T520">
        <v>23</v>
      </c>
      <c r="U520">
        <v>83</v>
      </c>
      <c r="V520">
        <v>17</v>
      </c>
      <c r="W520">
        <v>13</v>
      </c>
      <c r="X520">
        <v>28.9</v>
      </c>
      <c r="Z520" t="s">
        <v>32</v>
      </c>
      <c r="AB520" t="s">
        <v>121</v>
      </c>
      <c r="AC520" t="s">
        <v>254</v>
      </c>
    </row>
    <row r="521" spans="1:29" x14ac:dyDescent="0.2">
      <c r="A521" s="3">
        <v>42584</v>
      </c>
      <c r="B521" t="s">
        <v>23</v>
      </c>
      <c r="C521">
        <v>111</v>
      </c>
      <c r="D521">
        <v>5</v>
      </c>
      <c r="E521">
        <v>1</v>
      </c>
      <c r="F521" t="s">
        <v>33</v>
      </c>
      <c r="G521" t="s">
        <v>25</v>
      </c>
      <c r="H521" t="s">
        <v>26</v>
      </c>
      <c r="I521" t="s">
        <v>27</v>
      </c>
      <c r="J521" t="s">
        <v>28</v>
      </c>
      <c r="K521" t="s">
        <v>29</v>
      </c>
      <c r="L521" t="s">
        <v>35</v>
      </c>
      <c r="M521">
        <v>0</v>
      </c>
      <c r="N521">
        <v>0</v>
      </c>
      <c r="O521" s="17">
        <v>50572</v>
      </c>
      <c r="P521" s="17">
        <v>50571</v>
      </c>
      <c r="Q521">
        <f>32-11.5</f>
        <v>20.5</v>
      </c>
      <c r="R521" t="s">
        <v>39</v>
      </c>
      <c r="T521">
        <v>21</v>
      </c>
      <c r="U521">
        <v>91</v>
      </c>
      <c r="V521">
        <v>18</v>
      </c>
      <c r="W521">
        <v>13.1</v>
      </c>
      <c r="X521">
        <v>27.8</v>
      </c>
      <c r="Y521" t="s">
        <v>828</v>
      </c>
      <c r="Z521" t="s">
        <v>145</v>
      </c>
      <c r="AA521" t="s">
        <v>260</v>
      </c>
      <c r="AB521" t="s">
        <v>121</v>
      </c>
      <c r="AC521" t="s">
        <v>59</v>
      </c>
    </row>
    <row r="522" spans="1:29" x14ac:dyDescent="0.2">
      <c r="A522" s="3">
        <v>42586</v>
      </c>
      <c r="B522" t="s">
        <v>23</v>
      </c>
      <c r="C522">
        <v>111</v>
      </c>
      <c r="D522">
        <v>4</v>
      </c>
      <c r="E522">
        <v>1</v>
      </c>
      <c r="F522" t="s">
        <v>64</v>
      </c>
      <c r="G522" t="s">
        <v>25</v>
      </c>
      <c r="H522" t="s">
        <v>26</v>
      </c>
      <c r="I522" t="s">
        <v>27</v>
      </c>
      <c r="J522" t="s">
        <v>28</v>
      </c>
      <c r="K522" t="s">
        <v>29</v>
      </c>
      <c r="L522" t="s">
        <v>35</v>
      </c>
      <c r="M522">
        <v>0</v>
      </c>
      <c r="N522">
        <v>0</v>
      </c>
      <c r="O522" s="17" t="s">
        <v>952</v>
      </c>
      <c r="P522" s="17" t="s">
        <v>953</v>
      </c>
      <c r="Q522">
        <f>35-14</f>
        <v>21</v>
      </c>
      <c r="R522" t="s">
        <v>39</v>
      </c>
      <c r="T522">
        <v>21</v>
      </c>
      <c r="U522">
        <v>94</v>
      </c>
      <c r="V522">
        <v>16</v>
      </c>
      <c r="W522">
        <v>12.9</v>
      </c>
      <c r="X522">
        <v>27.5</v>
      </c>
      <c r="Z522" t="s">
        <v>145</v>
      </c>
      <c r="AA522" t="s">
        <v>260</v>
      </c>
      <c r="AB522" t="s">
        <v>53</v>
      </c>
      <c r="AC522" t="s">
        <v>122</v>
      </c>
    </row>
    <row r="523" spans="1:29" x14ac:dyDescent="0.2">
      <c r="A523" s="3">
        <v>42587</v>
      </c>
      <c r="B523" t="s">
        <v>23</v>
      </c>
      <c r="C523">
        <v>111</v>
      </c>
      <c r="D523">
        <v>8</v>
      </c>
      <c r="E523">
        <v>1</v>
      </c>
      <c r="F523" t="s">
        <v>64</v>
      </c>
      <c r="G523" t="s">
        <v>25</v>
      </c>
      <c r="H523" t="s">
        <v>26</v>
      </c>
      <c r="I523" t="s">
        <v>27</v>
      </c>
      <c r="J523" t="s">
        <v>28</v>
      </c>
      <c r="K523" t="s">
        <v>29</v>
      </c>
      <c r="L523" t="s">
        <v>35</v>
      </c>
      <c r="M523">
        <v>0</v>
      </c>
      <c r="N523">
        <v>0</v>
      </c>
      <c r="O523" s="17" t="s">
        <v>952</v>
      </c>
      <c r="P523" s="17" t="s">
        <v>953</v>
      </c>
      <c r="Q523">
        <f>37-16.5</f>
        <v>20.5</v>
      </c>
      <c r="R523" t="s">
        <v>39</v>
      </c>
      <c r="T523">
        <v>21</v>
      </c>
      <c r="U523">
        <v>93</v>
      </c>
      <c r="V523">
        <v>17</v>
      </c>
      <c r="W523">
        <v>13</v>
      </c>
      <c r="X523">
        <v>27.6</v>
      </c>
      <c r="Z523" t="s">
        <v>145</v>
      </c>
      <c r="AB523" t="s">
        <v>53</v>
      </c>
      <c r="AC523" t="s">
        <v>254</v>
      </c>
    </row>
    <row r="524" spans="1:29" x14ac:dyDescent="0.2">
      <c r="A524" s="3">
        <v>42588</v>
      </c>
      <c r="B524" t="s">
        <v>23</v>
      </c>
      <c r="C524">
        <v>111</v>
      </c>
      <c r="D524">
        <v>4</v>
      </c>
      <c r="E524">
        <v>1</v>
      </c>
      <c r="F524" t="s">
        <v>64</v>
      </c>
      <c r="G524" t="s">
        <v>25</v>
      </c>
      <c r="H524" t="s">
        <v>26</v>
      </c>
      <c r="I524" t="s">
        <v>27</v>
      </c>
      <c r="J524" t="s">
        <v>28</v>
      </c>
      <c r="K524" t="s">
        <v>29</v>
      </c>
      <c r="L524" t="s">
        <v>35</v>
      </c>
      <c r="M524">
        <v>0</v>
      </c>
      <c r="N524">
        <v>0</v>
      </c>
      <c r="O524" s="17" t="s">
        <v>952</v>
      </c>
      <c r="P524" s="17" t="s">
        <v>953</v>
      </c>
      <c r="Q524">
        <f>37-15.5</f>
        <v>21.5</v>
      </c>
      <c r="R524" t="s">
        <v>39</v>
      </c>
      <c r="T524">
        <v>21</v>
      </c>
      <c r="U524">
        <v>96</v>
      </c>
      <c r="V524">
        <v>16</v>
      </c>
      <c r="W524">
        <v>12.9</v>
      </c>
      <c r="X524">
        <v>28.8</v>
      </c>
      <c r="Z524" t="s">
        <v>145</v>
      </c>
      <c r="AA524" t="s">
        <v>260</v>
      </c>
      <c r="AB524" t="s">
        <v>121</v>
      </c>
      <c r="AC524" t="s">
        <v>59</v>
      </c>
    </row>
    <row r="525" spans="1:29" x14ac:dyDescent="0.2">
      <c r="A525" s="3">
        <v>42589</v>
      </c>
      <c r="B525" t="s">
        <v>23</v>
      </c>
      <c r="C525">
        <v>111</v>
      </c>
      <c r="D525">
        <v>4</v>
      </c>
      <c r="E525">
        <v>2</v>
      </c>
      <c r="F525" t="s">
        <v>64</v>
      </c>
      <c r="G525" t="s">
        <v>25</v>
      </c>
      <c r="H525" t="s">
        <v>26</v>
      </c>
      <c r="I525" t="s">
        <v>27</v>
      </c>
      <c r="J525" t="s">
        <v>28</v>
      </c>
      <c r="K525" t="s">
        <v>29</v>
      </c>
      <c r="L525" t="s">
        <v>35</v>
      </c>
      <c r="M525">
        <v>0</v>
      </c>
      <c r="N525">
        <v>0</v>
      </c>
      <c r="O525" s="17" t="s">
        <v>952</v>
      </c>
      <c r="P525" s="17" t="s">
        <v>953</v>
      </c>
      <c r="Q525">
        <f>37-15</f>
        <v>22</v>
      </c>
      <c r="R525" t="s">
        <v>39</v>
      </c>
      <c r="T525">
        <v>20</v>
      </c>
      <c r="U525">
        <v>93</v>
      </c>
      <c r="V525">
        <v>16</v>
      </c>
      <c r="W525">
        <v>13.2</v>
      </c>
      <c r="X525">
        <v>28.1</v>
      </c>
      <c r="Z525" t="s">
        <v>145</v>
      </c>
      <c r="AB525" t="s">
        <v>121</v>
      </c>
      <c r="AC525" t="s">
        <v>59</v>
      </c>
    </row>
    <row r="526" spans="1:29" x14ac:dyDescent="0.2">
      <c r="A526" s="3">
        <v>42599</v>
      </c>
      <c r="B526" t="s">
        <v>23</v>
      </c>
      <c r="C526">
        <v>111</v>
      </c>
      <c r="D526">
        <v>7</v>
      </c>
      <c r="E526">
        <v>1</v>
      </c>
      <c r="F526" t="s">
        <v>24</v>
      </c>
      <c r="G526" t="s">
        <v>25</v>
      </c>
      <c r="H526" t="s">
        <v>26</v>
      </c>
      <c r="I526" t="s">
        <v>27</v>
      </c>
      <c r="J526" t="s">
        <v>28</v>
      </c>
      <c r="K526" t="s">
        <v>29</v>
      </c>
      <c r="L526" t="s">
        <v>35</v>
      </c>
      <c r="M526">
        <v>0</v>
      </c>
      <c r="N526">
        <v>0</v>
      </c>
      <c r="O526" s="17" t="s">
        <v>952</v>
      </c>
      <c r="P526" s="17" t="s">
        <v>953</v>
      </c>
      <c r="Q526">
        <f>38.5-13</f>
        <v>25.5</v>
      </c>
      <c r="R526" t="s">
        <v>39</v>
      </c>
      <c r="T526">
        <v>20</v>
      </c>
      <c r="U526">
        <v>92</v>
      </c>
      <c r="V526">
        <v>19</v>
      </c>
      <c r="W526">
        <v>13.3</v>
      </c>
      <c r="X526">
        <v>27</v>
      </c>
      <c r="AB526" t="s">
        <v>121</v>
      </c>
      <c r="AC526" t="s">
        <v>59</v>
      </c>
    </row>
    <row r="527" spans="1:29" x14ac:dyDescent="0.2">
      <c r="A527" s="3">
        <v>42600</v>
      </c>
      <c r="B527" t="s">
        <v>23</v>
      </c>
      <c r="C527">
        <v>111</v>
      </c>
      <c r="D527">
        <v>6</v>
      </c>
      <c r="E527">
        <v>1</v>
      </c>
      <c r="F527" t="s">
        <v>66</v>
      </c>
      <c r="G527" t="s">
        <v>25</v>
      </c>
      <c r="H527" t="s">
        <v>26</v>
      </c>
      <c r="I527" t="s">
        <v>27</v>
      </c>
      <c r="J527" t="s">
        <v>28</v>
      </c>
      <c r="K527" t="s">
        <v>29</v>
      </c>
      <c r="L527" t="s">
        <v>35</v>
      </c>
      <c r="M527">
        <v>0</v>
      </c>
      <c r="N527">
        <v>0</v>
      </c>
      <c r="O527" s="17" t="s">
        <v>952</v>
      </c>
      <c r="P527" s="17" t="s">
        <v>953</v>
      </c>
      <c r="Q527">
        <v>23</v>
      </c>
      <c r="R527" t="s">
        <v>39</v>
      </c>
      <c r="T527">
        <v>21</v>
      </c>
      <c r="U527">
        <v>91</v>
      </c>
      <c r="V527">
        <v>19</v>
      </c>
      <c r="W527">
        <v>13.7</v>
      </c>
      <c r="X527">
        <v>30.5</v>
      </c>
    </row>
    <row r="528" spans="1:29" x14ac:dyDescent="0.2">
      <c r="A528" s="3">
        <v>42558</v>
      </c>
      <c r="B528" t="s">
        <v>23</v>
      </c>
      <c r="C528">
        <v>112</v>
      </c>
      <c r="D528">
        <v>3</v>
      </c>
      <c r="E528">
        <v>1</v>
      </c>
      <c r="F528" t="s">
        <v>33</v>
      </c>
      <c r="G528" t="s">
        <v>25</v>
      </c>
      <c r="H528" t="s">
        <v>26</v>
      </c>
      <c r="I528" t="s">
        <v>27</v>
      </c>
      <c r="J528" t="s">
        <v>34</v>
      </c>
      <c r="K528" t="s">
        <v>188</v>
      </c>
      <c r="L528" t="s">
        <v>35</v>
      </c>
      <c r="M528">
        <v>0</v>
      </c>
      <c r="N528">
        <v>1</v>
      </c>
      <c r="O528" s="17">
        <v>50574</v>
      </c>
      <c r="P528" s="17">
        <v>50573</v>
      </c>
      <c r="R528" t="s">
        <v>39</v>
      </c>
      <c r="T528">
        <v>19</v>
      </c>
      <c r="U528">
        <v>89</v>
      </c>
      <c r="V528">
        <v>15</v>
      </c>
      <c r="W528">
        <v>12.9</v>
      </c>
      <c r="X528">
        <v>27.8</v>
      </c>
      <c r="Z528" t="s">
        <v>32</v>
      </c>
      <c r="AB528" t="s">
        <v>121</v>
      </c>
      <c r="AC528" t="s">
        <v>254</v>
      </c>
    </row>
    <row r="529" spans="1:29" x14ac:dyDescent="0.2">
      <c r="A529" s="3">
        <v>42571</v>
      </c>
      <c r="B529" t="s">
        <v>23</v>
      </c>
      <c r="C529">
        <v>112</v>
      </c>
      <c r="D529">
        <v>4</v>
      </c>
      <c r="E529">
        <v>2</v>
      </c>
      <c r="F529" t="s">
        <v>24</v>
      </c>
      <c r="G529" t="s">
        <v>25</v>
      </c>
      <c r="H529" t="s">
        <v>26</v>
      </c>
      <c r="I529" t="s">
        <v>27</v>
      </c>
      <c r="J529" t="s">
        <v>28</v>
      </c>
      <c r="K529" t="s">
        <v>29</v>
      </c>
      <c r="L529" t="s">
        <v>35</v>
      </c>
      <c r="M529">
        <v>0</v>
      </c>
      <c r="N529">
        <v>0</v>
      </c>
      <c r="O529" s="17">
        <v>50574</v>
      </c>
      <c r="P529" s="17">
        <v>50573</v>
      </c>
      <c r="Q529">
        <f>32.5-11.5</f>
        <v>21</v>
      </c>
      <c r="R529" t="s">
        <v>39</v>
      </c>
      <c r="T529">
        <v>20</v>
      </c>
      <c r="U529">
        <v>93</v>
      </c>
      <c r="V529">
        <v>15.5</v>
      </c>
      <c r="W529">
        <v>13.3</v>
      </c>
      <c r="X529">
        <v>27.65</v>
      </c>
      <c r="Z529" t="s">
        <v>32</v>
      </c>
      <c r="AB529" t="s">
        <v>44</v>
      </c>
      <c r="AC529" t="s">
        <v>59</v>
      </c>
    </row>
    <row r="530" spans="1:29" x14ac:dyDescent="0.2">
      <c r="A530" s="3">
        <v>42572</v>
      </c>
      <c r="B530" t="s">
        <v>23</v>
      </c>
      <c r="C530">
        <v>112</v>
      </c>
      <c r="D530">
        <v>3</v>
      </c>
      <c r="E530">
        <v>2</v>
      </c>
      <c r="F530" t="s">
        <v>24</v>
      </c>
      <c r="G530" t="s">
        <v>25</v>
      </c>
      <c r="H530" t="s">
        <v>26</v>
      </c>
      <c r="I530" t="s">
        <v>27</v>
      </c>
      <c r="J530" t="s">
        <v>28</v>
      </c>
      <c r="K530" t="s">
        <v>29</v>
      </c>
      <c r="L530" t="s">
        <v>35</v>
      </c>
      <c r="M530">
        <v>0</v>
      </c>
      <c r="N530">
        <v>0</v>
      </c>
      <c r="O530" s="17">
        <v>50574</v>
      </c>
      <c r="P530" s="17">
        <v>50573</v>
      </c>
      <c r="Q530">
        <f>31-9.5</f>
        <v>21.5</v>
      </c>
      <c r="R530" t="s">
        <v>39</v>
      </c>
      <c r="T530">
        <v>18.5</v>
      </c>
      <c r="U530">
        <v>92</v>
      </c>
      <c r="V530">
        <v>17</v>
      </c>
      <c r="W530">
        <v>12.9</v>
      </c>
      <c r="X530">
        <v>27.2</v>
      </c>
      <c r="Z530" t="s">
        <v>32</v>
      </c>
      <c r="AB530" t="s">
        <v>121</v>
      </c>
      <c r="AC530" t="s">
        <v>122</v>
      </c>
    </row>
    <row r="531" spans="1:29" x14ac:dyDescent="0.2">
      <c r="A531" s="3">
        <v>42584</v>
      </c>
      <c r="B531" t="s">
        <v>23</v>
      </c>
      <c r="C531">
        <v>112</v>
      </c>
      <c r="D531">
        <v>6</v>
      </c>
      <c r="E531">
        <v>1</v>
      </c>
      <c r="F531" t="s">
        <v>33</v>
      </c>
      <c r="G531" t="s">
        <v>25</v>
      </c>
      <c r="H531" t="s">
        <v>26</v>
      </c>
      <c r="I531" t="s">
        <v>27</v>
      </c>
      <c r="J531" t="s">
        <v>28</v>
      </c>
      <c r="K531" t="s">
        <v>29</v>
      </c>
      <c r="L531" t="s">
        <v>35</v>
      </c>
      <c r="M531">
        <v>0</v>
      </c>
      <c r="N531">
        <v>0</v>
      </c>
      <c r="O531" s="17">
        <v>50574</v>
      </c>
      <c r="P531" s="17">
        <v>50573</v>
      </c>
      <c r="Q531">
        <f>30.5-12</f>
        <v>18.5</v>
      </c>
      <c r="R531" t="s">
        <v>39</v>
      </c>
      <c r="T531">
        <v>19</v>
      </c>
      <c r="U531">
        <v>94</v>
      </c>
      <c r="V531">
        <v>16</v>
      </c>
      <c r="W531">
        <v>13</v>
      </c>
      <c r="X531">
        <v>26.9</v>
      </c>
      <c r="Z531" t="s">
        <v>145</v>
      </c>
      <c r="AA531" t="s">
        <v>260</v>
      </c>
      <c r="AB531" t="s">
        <v>121</v>
      </c>
      <c r="AC531" t="s">
        <v>59</v>
      </c>
    </row>
    <row r="532" spans="1:29" x14ac:dyDescent="0.2">
      <c r="A532" s="3">
        <v>42585</v>
      </c>
      <c r="B532" t="s">
        <v>23</v>
      </c>
      <c r="C532">
        <v>112</v>
      </c>
      <c r="D532">
        <v>5</v>
      </c>
      <c r="E532">
        <v>1</v>
      </c>
      <c r="F532" t="s">
        <v>64</v>
      </c>
      <c r="G532" t="s">
        <v>25</v>
      </c>
      <c r="H532" t="s">
        <v>26</v>
      </c>
      <c r="I532" t="s">
        <v>27</v>
      </c>
      <c r="J532" t="s">
        <v>28</v>
      </c>
      <c r="K532" t="s">
        <v>29</v>
      </c>
      <c r="L532" t="s">
        <v>35</v>
      </c>
      <c r="M532">
        <v>0</v>
      </c>
      <c r="N532">
        <v>0</v>
      </c>
      <c r="O532" s="17">
        <v>50574</v>
      </c>
      <c r="P532" s="17">
        <v>50573</v>
      </c>
      <c r="Q532">
        <f>21-4</f>
        <v>17</v>
      </c>
      <c r="R532" t="s">
        <v>63</v>
      </c>
      <c r="T532">
        <v>19</v>
      </c>
      <c r="U532">
        <v>96</v>
      </c>
      <c r="V532">
        <v>14</v>
      </c>
      <c r="W532">
        <v>13</v>
      </c>
      <c r="X532">
        <v>27.3</v>
      </c>
      <c r="Z532" t="s">
        <v>145</v>
      </c>
      <c r="AA532" t="s">
        <v>260</v>
      </c>
      <c r="AB532" t="s">
        <v>53</v>
      </c>
      <c r="AC532" t="s">
        <v>122</v>
      </c>
    </row>
    <row r="533" spans="1:29" x14ac:dyDescent="0.2">
      <c r="A533" s="3">
        <v>42587</v>
      </c>
      <c r="B533" t="s">
        <v>23</v>
      </c>
      <c r="C533">
        <v>112</v>
      </c>
      <c r="D533">
        <v>2</v>
      </c>
      <c r="E533">
        <v>1</v>
      </c>
      <c r="F533" t="s">
        <v>64</v>
      </c>
      <c r="G533" t="s">
        <v>25</v>
      </c>
      <c r="H533" t="s">
        <v>26</v>
      </c>
      <c r="I533" t="s">
        <v>27</v>
      </c>
      <c r="J533" t="s">
        <v>28</v>
      </c>
      <c r="K533" t="s">
        <v>29</v>
      </c>
      <c r="L533" t="s">
        <v>35</v>
      </c>
      <c r="M533">
        <v>0</v>
      </c>
      <c r="N533">
        <v>0</v>
      </c>
      <c r="O533" s="17" t="s">
        <v>1049</v>
      </c>
      <c r="P533" s="17" t="s">
        <v>1050</v>
      </c>
      <c r="Q533">
        <f>33-13</f>
        <v>20</v>
      </c>
      <c r="R533" t="s">
        <v>39</v>
      </c>
      <c r="T533">
        <v>19</v>
      </c>
      <c r="U533">
        <v>93</v>
      </c>
      <c r="V533">
        <v>15.5</v>
      </c>
      <c r="W533">
        <v>13</v>
      </c>
      <c r="X533">
        <v>27.5</v>
      </c>
      <c r="Z533" t="s">
        <v>145</v>
      </c>
      <c r="AA533" t="s">
        <v>260</v>
      </c>
      <c r="AB533" t="s">
        <v>53</v>
      </c>
      <c r="AC533" t="s">
        <v>254</v>
      </c>
    </row>
    <row r="534" spans="1:29" x14ac:dyDescent="0.2">
      <c r="A534" s="3">
        <v>42588</v>
      </c>
      <c r="B534" t="s">
        <v>23</v>
      </c>
      <c r="C534">
        <v>112</v>
      </c>
      <c r="D534">
        <v>5</v>
      </c>
      <c r="E534">
        <v>2</v>
      </c>
      <c r="F534" t="s">
        <v>24</v>
      </c>
      <c r="G534" t="s">
        <v>25</v>
      </c>
      <c r="H534" t="s">
        <v>26</v>
      </c>
      <c r="I534" t="s">
        <v>27</v>
      </c>
      <c r="J534" t="s">
        <v>28</v>
      </c>
      <c r="K534" t="s">
        <v>29</v>
      </c>
      <c r="L534" t="s">
        <v>35</v>
      </c>
      <c r="M534">
        <v>0</v>
      </c>
      <c r="N534">
        <v>0</v>
      </c>
      <c r="O534" s="17" t="s">
        <v>1049</v>
      </c>
      <c r="P534" s="17" t="s">
        <v>1050</v>
      </c>
      <c r="Q534">
        <f>33-14</f>
        <v>19</v>
      </c>
      <c r="R534" t="s">
        <v>39</v>
      </c>
      <c r="T534">
        <v>20</v>
      </c>
      <c r="U534">
        <v>95</v>
      </c>
      <c r="V534">
        <v>14</v>
      </c>
      <c r="W534">
        <v>13.2</v>
      </c>
      <c r="X534">
        <v>26.6</v>
      </c>
      <c r="Y534" t="s">
        <v>1051</v>
      </c>
      <c r="Z534" t="s">
        <v>145</v>
      </c>
      <c r="AB534" t="s">
        <v>121</v>
      </c>
      <c r="AC534" t="s">
        <v>59</v>
      </c>
    </row>
    <row r="535" spans="1:29" x14ac:dyDescent="0.2">
      <c r="A535" s="3">
        <v>42589</v>
      </c>
      <c r="B535" t="s">
        <v>23</v>
      </c>
      <c r="C535">
        <v>112</v>
      </c>
      <c r="D535">
        <v>2</v>
      </c>
      <c r="E535">
        <v>2</v>
      </c>
      <c r="F535" t="s">
        <v>24</v>
      </c>
      <c r="G535" t="s">
        <v>25</v>
      </c>
      <c r="H535" t="s">
        <v>26</v>
      </c>
      <c r="I535" t="s">
        <v>27</v>
      </c>
      <c r="J535" t="s">
        <v>28</v>
      </c>
      <c r="K535" t="s">
        <v>29</v>
      </c>
      <c r="L535" t="s">
        <v>35</v>
      </c>
      <c r="M535">
        <v>0</v>
      </c>
      <c r="N535">
        <v>0</v>
      </c>
      <c r="O535" s="17" t="s">
        <v>1049</v>
      </c>
      <c r="P535" s="17" t="s">
        <v>1050</v>
      </c>
      <c r="Q535">
        <f>34-15</f>
        <v>19</v>
      </c>
      <c r="R535" t="s">
        <v>63</v>
      </c>
      <c r="T535">
        <v>19</v>
      </c>
      <c r="U535">
        <v>91.5</v>
      </c>
      <c r="V535">
        <v>15</v>
      </c>
      <c r="W535">
        <v>13.4</v>
      </c>
      <c r="X535">
        <v>27.4</v>
      </c>
      <c r="Z535" t="s">
        <v>145</v>
      </c>
      <c r="AB535" t="s">
        <v>121</v>
      </c>
      <c r="AC535" t="s">
        <v>59</v>
      </c>
    </row>
    <row r="536" spans="1:29" x14ac:dyDescent="0.2">
      <c r="A536" s="3">
        <v>42598</v>
      </c>
      <c r="B536" t="s">
        <v>23</v>
      </c>
      <c r="C536">
        <v>112</v>
      </c>
      <c r="D536">
        <v>2</v>
      </c>
      <c r="E536">
        <v>2</v>
      </c>
      <c r="F536" t="s">
        <v>24</v>
      </c>
      <c r="G536" t="s">
        <v>25</v>
      </c>
      <c r="H536" t="s">
        <v>26</v>
      </c>
      <c r="I536" t="s">
        <v>27</v>
      </c>
      <c r="J536" t="s">
        <v>28</v>
      </c>
      <c r="K536" t="s">
        <v>29</v>
      </c>
      <c r="L536" t="s">
        <v>35</v>
      </c>
      <c r="M536">
        <v>0</v>
      </c>
      <c r="N536">
        <v>0</v>
      </c>
      <c r="O536" s="17" t="s">
        <v>1049</v>
      </c>
      <c r="P536" s="17" t="s">
        <v>1050</v>
      </c>
      <c r="Q536">
        <f>38.5-18.5</f>
        <v>20</v>
      </c>
      <c r="R536" t="s">
        <v>39</v>
      </c>
      <c r="T536">
        <v>19</v>
      </c>
      <c r="U536">
        <v>95</v>
      </c>
      <c r="V536">
        <v>20</v>
      </c>
      <c r="W536">
        <v>13.2</v>
      </c>
      <c r="X536">
        <v>26.7</v>
      </c>
      <c r="Z536" t="s">
        <v>145</v>
      </c>
      <c r="AB536" t="s">
        <v>1589</v>
      </c>
      <c r="AC536" t="s">
        <v>122</v>
      </c>
    </row>
    <row r="537" spans="1:29" x14ac:dyDescent="0.2">
      <c r="A537" s="3">
        <v>42599</v>
      </c>
      <c r="B537" t="s">
        <v>23</v>
      </c>
      <c r="C537">
        <v>112</v>
      </c>
      <c r="D537">
        <v>2</v>
      </c>
      <c r="E537">
        <v>1</v>
      </c>
      <c r="F537" t="s">
        <v>24</v>
      </c>
      <c r="G537" t="s">
        <v>25</v>
      </c>
      <c r="H537" t="s">
        <v>26</v>
      </c>
      <c r="I537" t="s">
        <v>27</v>
      </c>
      <c r="J537" t="s">
        <v>28</v>
      </c>
      <c r="K537" t="s">
        <v>29</v>
      </c>
      <c r="L537" t="s">
        <v>35</v>
      </c>
      <c r="M537">
        <v>0</v>
      </c>
      <c r="N537">
        <v>0</v>
      </c>
      <c r="O537" s="17" t="s">
        <v>1049</v>
      </c>
      <c r="P537" s="17" t="s">
        <v>1050</v>
      </c>
      <c r="Q537">
        <f>32-13.5</f>
        <v>18.5</v>
      </c>
      <c r="R537" t="s">
        <v>39</v>
      </c>
      <c r="T537">
        <v>18</v>
      </c>
      <c r="U537">
        <v>95</v>
      </c>
      <c r="V537">
        <v>18</v>
      </c>
      <c r="W537">
        <v>13.1</v>
      </c>
      <c r="X537">
        <v>25.8</v>
      </c>
      <c r="Z537" t="s">
        <v>145</v>
      </c>
      <c r="AB537" t="s">
        <v>121</v>
      </c>
      <c r="AC537" t="s">
        <v>59</v>
      </c>
    </row>
    <row r="538" spans="1:29" x14ac:dyDescent="0.2">
      <c r="A538" s="3">
        <v>42600</v>
      </c>
      <c r="B538" t="s">
        <v>23</v>
      </c>
      <c r="C538">
        <v>112</v>
      </c>
      <c r="D538">
        <v>2</v>
      </c>
      <c r="E538">
        <v>1</v>
      </c>
      <c r="F538" t="s">
        <v>66</v>
      </c>
      <c r="G538" t="s">
        <v>25</v>
      </c>
      <c r="H538" t="s">
        <v>26</v>
      </c>
      <c r="I538" t="s">
        <v>27</v>
      </c>
      <c r="J538" t="s">
        <v>28</v>
      </c>
      <c r="K538" t="s">
        <v>29</v>
      </c>
      <c r="L538" t="s">
        <v>35</v>
      </c>
      <c r="M538">
        <v>0</v>
      </c>
      <c r="N538">
        <v>0</v>
      </c>
      <c r="O538" s="17" t="s">
        <v>1049</v>
      </c>
      <c r="P538" s="17" t="s">
        <v>1050</v>
      </c>
      <c r="Q538">
        <v>20</v>
      </c>
      <c r="R538" t="s">
        <v>39</v>
      </c>
      <c r="T538">
        <v>21</v>
      </c>
      <c r="U538">
        <v>98</v>
      </c>
      <c r="V538">
        <v>17</v>
      </c>
      <c r="W538">
        <v>12.6</v>
      </c>
      <c r="X538">
        <v>27.5</v>
      </c>
      <c r="Z538" t="s">
        <v>145</v>
      </c>
    </row>
    <row r="539" spans="1:29" x14ac:dyDescent="0.2">
      <c r="A539" s="3">
        <v>42606</v>
      </c>
      <c r="B539" t="s">
        <v>23</v>
      </c>
      <c r="C539">
        <v>703</v>
      </c>
      <c r="D539">
        <v>9</v>
      </c>
      <c r="E539">
        <v>1</v>
      </c>
      <c r="F539" t="s">
        <v>24</v>
      </c>
      <c r="G539" t="s">
        <v>25</v>
      </c>
      <c r="H539" t="s">
        <v>26</v>
      </c>
      <c r="I539" t="s">
        <v>27</v>
      </c>
      <c r="J539" t="s">
        <v>28</v>
      </c>
      <c r="K539" t="s">
        <v>188</v>
      </c>
      <c r="L539" t="s">
        <v>30</v>
      </c>
      <c r="M539">
        <v>0</v>
      </c>
      <c r="N539">
        <v>0</v>
      </c>
      <c r="O539" s="17" t="s">
        <v>1926</v>
      </c>
      <c r="P539" s="17" t="s">
        <v>1927</v>
      </c>
      <c r="Q539">
        <f>32-16</f>
        <v>16</v>
      </c>
      <c r="R539" t="s">
        <v>31</v>
      </c>
      <c r="S539" t="s">
        <v>32</v>
      </c>
      <c r="T539">
        <v>18</v>
      </c>
      <c r="U539">
        <v>74</v>
      </c>
      <c r="V539">
        <v>15</v>
      </c>
      <c r="W539">
        <v>12.9</v>
      </c>
      <c r="X539">
        <v>24.6</v>
      </c>
      <c r="AB539" t="s">
        <v>44</v>
      </c>
      <c r="AC539" t="s">
        <v>59</v>
      </c>
    </row>
    <row r="540" spans="1:29" x14ac:dyDescent="0.2">
      <c r="A540" s="3">
        <v>42536</v>
      </c>
      <c r="B540" t="s">
        <v>23</v>
      </c>
      <c r="C540">
        <v>303</v>
      </c>
      <c r="D540">
        <v>2</v>
      </c>
      <c r="E540">
        <v>2</v>
      </c>
      <c r="F540" t="s">
        <v>24</v>
      </c>
      <c r="G540" t="s">
        <v>25</v>
      </c>
      <c r="H540" t="s">
        <v>26</v>
      </c>
      <c r="I540" t="s">
        <v>27</v>
      </c>
      <c r="J540" t="s">
        <v>34</v>
      </c>
      <c r="K540" t="s">
        <v>123</v>
      </c>
      <c r="L540" t="s">
        <v>30</v>
      </c>
      <c r="M540">
        <v>0</v>
      </c>
      <c r="N540">
        <v>1</v>
      </c>
      <c r="O540" s="17">
        <v>50582</v>
      </c>
      <c r="P540" s="17">
        <v>50581</v>
      </c>
      <c r="Q540">
        <f>26.5-13</f>
        <v>13.5</v>
      </c>
      <c r="R540" t="s">
        <v>31</v>
      </c>
      <c r="S540" t="s">
        <v>32</v>
      </c>
      <c r="T540">
        <v>18</v>
      </c>
      <c r="U540">
        <v>76.5</v>
      </c>
      <c r="V540">
        <v>16</v>
      </c>
      <c r="W540">
        <v>12.1</v>
      </c>
      <c r="X540">
        <v>27.8</v>
      </c>
      <c r="Z540" t="s">
        <v>32</v>
      </c>
      <c r="AB540" t="s">
        <v>209</v>
      </c>
      <c r="AC540" t="s">
        <v>59</v>
      </c>
    </row>
    <row r="541" spans="1:29" x14ac:dyDescent="0.2">
      <c r="A541" s="3">
        <v>42537</v>
      </c>
      <c r="B541" t="s">
        <v>23</v>
      </c>
      <c r="C541">
        <v>303</v>
      </c>
      <c r="D541">
        <v>3</v>
      </c>
      <c r="E541">
        <v>1</v>
      </c>
      <c r="F541" t="s">
        <v>24</v>
      </c>
      <c r="G541" t="s">
        <v>25</v>
      </c>
      <c r="H541" t="s">
        <v>26</v>
      </c>
      <c r="I541" t="s">
        <v>27</v>
      </c>
      <c r="J541" t="s">
        <v>28</v>
      </c>
      <c r="K541" t="s">
        <v>123</v>
      </c>
      <c r="L541" t="s">
        <v>30</v>
      </c>
      <c r="M541">
        <v>0</v>
      </c>
      <c r="N541">
        <v>0</v>
      </c>
      <c r="O541" s="17">
        <v>50582</v>
      </c>
      <c r="P541" s="17">
        <v>50581</v>
      </c>
      <c r="Q541">
        <f>26-11.5</f>
        <v>14.5</v>
      </c>
      <c r="R541" t="s">
        <v>31</v>
      </c>
      <c r="T541">
        <v>18</v>
      </c>
      <c r="U541">
        <v>79</v>
      </c>
      <c r="V541">
        <v>14.5</v>
      </c>
      <c r="W541">
        <v>13</v>
      </c>
      <c r="X541">
        <v>27.1</v>
      </c>
      <c r="Z541" t="s">
        <v>32</v>
      </c>
      <c r="AB541" t="s">
        <v>44</v>
      </c>
      <c r="AC541" t="s">
        <v>122</v>
      </c>
    </row>
    <row r="542" spans="1:29" x14ac:dyDescent="0.2">
      <c r="A542" s="3">
        <v>42549</v>
      </c>
      <c r="B542" t="s">
        <v>23</v>
      </c>
      <c r="C542">
        <v>303</v>
      </c>
      <c r="D542">
        <v>6</v>
      </c>
      <c r="E542">
        <v>1</v>
      </c>
      <c r="F542" t="s">
        <v>33</v>
      </c>
      <c r="G542" t="s">
        <v>25</v>
      </c>
      <c r="H542" t="s">
        <v>26</v>
      </c>
      <c r="I542" t="s">
        <v>27</v>
      </c>
      <c r="J542" t="s">
        <v>28</v>
      </c>
      <c r="K542" t="s">
        <v>188</v>
      </c>
      <c r="L542" t="s">
        <v>30</v>
      </c>
      <c r="M542">
        <v>0</v>
      </c>
      <c r="N542">
        <v>0</v>
      </c>
      <c r="O542" s="17">
        <v>50582</v>
      </c>
      <c r="P542" s="17">
        <v>50581</v>
      </c>
      <c r="Q542">
        <f>29-12</f>
        <v>17</v>
      </c>
      <c r="R542" t="s">
        <v>61</v>
      </c>
      <c r="S542" t="s">
        <v>32</v>
      </c>
      <c r="T542">
        <v>20</v>
      </c>
      <c r="V542">
        <v>14</v>
      </c>
      <c r="W542">
        <v>12.6</v>
      </c>
      <c r="X542">
        <v>28.1</v>
      </c>
      <c r="Z542" t="s">
        <v>32</v>
      </c>
      <c r="AB542" t="s">
        <v>121</v>
      </c>
      <c r="AC542" t="s">
        <v>122</v>
      </c>
    </row>
    <row r="543" spans="1:29" x14ac:dyDescent="0.2">
      <c r="A543" s="3">
        <v>42550</v>
      </c>
      <c r="B543" t="s">
        <v>23</v>
      </c>
      <c r="C543">
        <v>303</v>
      </c>
      <c r="D543">
        <v>2</v>
      </c>
      <c r="E543">
        <v>1</v>
      </c>
      <c r="F543" t="s">
        <v>33</v>
      </c>
      <c r="G543" t="s">
        <v>25</v>
      </c>
      <c r="H543" t="s">
        <v>26</v>
      </c>
      <c r="I543" t="s">
        <v>27</v>
      </c>
      <c r="J543" t="s">
        <v>28</v>
      </c>
      <c r="K543" t="s">
        <v>188</v>
      </c>
      <c r="L543" t="s">
        <v>30</v>
      </c>
      <c r="M543">
        <v>0</v>
      </c>
      <c r="N543">
        <v>0</v>
      </c>
      <c r="O543" s="17">
        <v>50582</v>
      </c>
      <c r="P543" s="17">
        <v>50581</v>
      </c>
      <c r="Q543">
        <f>27-12</f>
        <v>15</v>
      </c>
      <c r="R543" t="s">
        <v>31</v>
      </c>
      <c r="S543" t="s">
        <v>32</v>
      </c>
      <c r="T543">
        <v>20</v>
      </c>
      <c r="U543">
        <v>79</v>
      </c>
      <c r="V543">
        <v>13</v>
      </c>
      <c r="Z543" t="s">
        <v>32</v>
      </c>
      <c r="AB543" t="s">
        <v>121</v>
      </c>
      <c r="AC543" t="s">
        <v>59</v>
      </c>
    </row>
    <row r="544" spans="1:29" x14ac:dyDescent="0.2">
      <c r="A544" s="3">
        <v>42551</v>
      </c>
      <c r="B544" t="s">
        <v>23</v>
      </c>
      <c r="C544">
        <v>303</v>
      </c>
      <c r="D544">
        <v>1</v>
      </c>
      <c r="E544">
        <v>1</v>
      </c>
      <c r="F544" t="s">
        <v>33</v>
      </c>
      <c r="G544" t="s">
        <v>25</v>
      </c>
      <c r="H544" t="s">
        <v>26</v>
      </c>
      <c r="I544" t="s">
        <v>27</v>
      </c>
      <c r="J544" t="s">
        <v>28</v>
      </c>
      <c r="K544" t="s">
        <v>188</v>
      </c>
      <c r="L544" t="s">
        <v>30</v>
      </c>
      <c r="M544">
        <v>0</v>
      </c>
      <c r="N544">
        <v>0</v>
      </c>
      <c r="O544" s="17">
        <v>50582</v>
      </c>
      <c r="P544" s="17">
        <v>50581</v>
      </c>
      <c r="Q544">
        <f>26.5-12</f>
        <v>14.5</v>
      </c>
      <c r="R544" t="s">
        <v>61</v>
      </c>
      <c r="S544" t="s">
        <v>32</v>
      </c>
      <c r="T544">
        <v>20</v>
      </c>
      <c r="U544">
        <v>88</v>
      </c>
      <c r="V544">
        <v>14</v>
      </c>
      <c r="W544">
        <v>12.4</v>
      </c>
      <c r="X544">
        <v>27.2</v>
      </c>
      <c r="Z544" t="s">
        <v>32</v>
      </c>
      <c r="AB544" t="s">
        <v>44</v>
      </c>
      <c r="AC544" t="s">
        <v>59</v>
      </c>
    </row>
    <row r="545" spans="1:30" x14ac:dyDescent="0.2">
      <c r="A545" s="3">
        <v>42563</v>
      </c>
      <c r="B545" t="s">
        <v>23</v>
      </c>
      <c r="C545">
        <v>303</v>
      </c>
      <c r="D545">
        <v>3</v>
      </c>
      <c r="E545">
        <v>2</v>
      </c>
      <c r="F545" t="s">
        <v>24</v>
      </c>
      <c r="G545" t="s">
        <v>25</v>
      </c>
      <c r="H545" t="s">
        <v>26</v>
      </c>
      <c r="I545" t="s">
        <v>27</v>
      </c>
      <c r="J545" t="s">
        <v>28</v>
      </c>
      <c r="K545" t="s">
        <v>29</v>
      </c>
      <c r="L545" t="s">
        <v>30</v>
      </c>
      <c r="M545">
        <v>0</v>
      </c>
      <c r="N545">
        <v>0</v>
      </c>
      <c r="O545" s="17">
        <v>50582</v>
      </c>
      <c r="P545" s="17">
        <v>50581</v>
      </c>
      <c r="Q545">
        <v>22</v>
      </c>
      <c r="R545" t="s">
        <v>91</v>
      </c>
      <c r="S545" t="s">
        <v>32</v>
      </c>
      <c r="W545">
        <v>13.6</v>
      </c>
      <c r="X545">
        <v>29.1</v>
      </c>
      <c r="Z545" t="s">
        <v>32</v>
      </c>
      <c r="AB545" t="s">
        <v>53</v>
      </c>
      <c r="AC545" t="s">
        <v>122</v>
      </c>
    </row>
    <row r="546" spans="1:30" x14ac:dyDescent="0.2">
      <c r="A546" s="3">
        <v>42564</v>
      </c>
      <c r="B546" t="s">
        <v>23</v>
      </c>
      <c r="C546">
        <v>303</v>
      </c>
      <c r="D546">
        <v>1</v>
      </c>
      <c r="E546">
        <v>2</v>
      </c>
      <c r="F546" t="s">
        <v>24</v>
      </c>
      <c r="G546" t="s">
        <v>25</v>
      </c>
      <c r="H546" t="s">
        <v>26</v>
      </c>
      <c r="I546" t="s">
        <v>27</v>
      </c>
      <c r="J546" t="s">
        <v>28</v>
      </c>
      <c r="K546" t="s">
        <v>29</v>
      </c>
      <c r="L546" t="s">
        <v>30</v>
      </c>
      <c r="M546">
        <v>0</v>
      </c>
      <c r="N546">
        <v>0</v>
      </c>
      <c r="O546" s="17">
        <v>50582</v>
      </c>
      <c r="P546" s="17" t="s">
        <v>2209</v>
      </c>
      <c r="Q546">
        <v>22</v>
      </c>
      <c r="R546" t="s">
        <v>94</v>
      </c>
      <c r="S546" t="s">
        <v>32</v>
      </c>
      <c r="T546">
        <v>19</v>
      </c>
      <c r="U546">
        <v>81</v>
      </c>
      <c r="V546">
        <v>17</v>
      </c>
      <c r="W546">
        <v>13.7</v>
      </c>
      <c r="X546">
        <v>28.1</v>
      </c>
      <c r="Z546" t="s">
        <v>32</v>
      </c>
    </row>
    <row r="547" spans="1:30" x14ac:dyDescent="0.2">
      <c r="A547" s="3">
        <v>42565</v>
      </c>
      <c r="B547" t="s">
        <v>23</v>
      </c>
      <c r="C547">
        <v>303</v>
      </c>
      <c r="D547">
        <v>6</v>
      </c>
      <c r="E547">
        <v>1</v>
      </c>
      <c r="F547" t="s">
        <v>24</v>
      </c>
      <c r="G547" t="s">
        <v>25</v>
      </c>
      <c r="H547" t="s">
        <v>26</v>
      </c>
      <c r="I547" t="s">
        <v>27</v>
      </c>
      <c r="J547" t="s">
        <v>28</v>
      </c>
      <c r="K547" t="s">
        <v>29</v>
      </c>
      <c r="L547" t="s">
        <v>30</v>
      </c>
      <c r="M547">
        <v>0</v>
      </c>
      <c r="N547">
        <v>0</v>
      </c>
      <c r="O547" s="17">
        <v>50582</v>
      </c>
      <c r="P547" s="17">
        <v>50581</v>
      </c>
      <c r="Q547">
        <v>22</v>
      </c>
      <c r="R547" t="s">
        <v>94</v>
      </c>
      <c r="S547" t="s">
        <v>32</v>
      </c>
      <c r="T547">
        <v>19</v>
      </c>
      <c r="U547">
        <v>85</v>
      </c>
      <c r="V547">
        <v>16</v>
      </c>
      <c r="W547">
        <v>11.9</v>
      </c>
      <c r="X547">
        <v>28</v>
      </c>
      <c r="Z547" t="s">
        <v>32</v>
      </c>
      <c r="AB547" t="s">
        <v>489</v>
      </c>
      <c r="AC547" t="s">
        <v>254</v>
      </c>
    </row>
    <row r="548" spans="1:30" x14ac:dyDescent="0.2">
      <c r="A548" s="3">
        <v>42575</v>
      </c>
      <c r="B548" t="s">
        <v>23</v>
      </c>
      <c r="C548">
        <v>303</v>
      </c>
      <c r="D548">
        <v>4</v>
      </c>
      <c r="E548">
        <v>1</v>
      </c>
      <c r="F548" t="s">
        <v>33</v>
      </c>
      <c r="G548" t="s">
        <v>25</v>
      </c>
      <c r="H548" t="s">
        <v>26</v>
      </c>
      <c r="I548" t="s">
        <v>27</v>
      </c>
      <c r="J548" t="s">
        <v>28</v>
      </c>
      <c r="K548" t="s">
        <v>29</v>
      </c>
      <c r="L548" t="s">
        <v>30</v>
      </c>
      <c r="M548">
        <v>0</v>
      </c>
      <c r="N548">
        <v>0</v>
      </c>
      <c r="O548" s="17">
        <v>50582</v>
      </c>
      <c r="P548" s="17">
        <v>50581</v>
      </c>
      <c r="Q548">
        <f>31.5-12.5</f>
        <v>19</v>
      </c>
      <c r="R548" t="s">
        <v>273</v>
      </c>
      <c r="S548" t="s">
        <v>145</v>
      </c>
      <c r="T548">
        <v>20</v>
      </c>
      <c r="U548">
        <v>85</v>
      </c>
      <c r="V548">
        <v>15</v>
      </c>
      <c r="W548">
        <v>12.9</v>
      </c>
      <c r="X548">
        <v>27.2</v>
      </c>
      <c r="Z548" t="s">
        <v>145</v>
      </c>
      <c r="AA548" t="s">
        <v>260</v>
      </c>
      <c r="AB548" t="s">
        <v>711</v>
      </c>
      <c r="AC548" t="s">
        <v>59</v>
      </c>
    </row>
    <row r="549" spans="1:30" x14ac:dyDescent="0.2">
      <c r="A549" s="3">
        <v>42576</v>
      </c>
      <c r="B549" t="s">
        <v>23</v>
      </c>
      <c r="C549">
        <v>303</v>
      </c>
      <c r="D549">
        <v>7</v>
      </c>
      <c r="E549">
        <v>2</v>
      </c>
      <c r="F549" t="s">
        <v>33</v>
      </c>
      <c r="G549" t="s">
        <v>25</v>
      </c>
      <c r="H549" t="s">
        <v>26</v>
      </c>
      <c r="I549" t="s">
        <v>27</v>
      </c>
      <c r="J549" t="s">
        <v>28</v>
      </c>
      <c r="K549" t="s">
        <v>29</v>
      </c>
      <c r="L549" t="s">
        <v>30</v>
      </c>
      <c r="M549">
        <v>0</v>
      </c>
      <c r="N549">
        <v>0</v>
      </c>
      <c r="O549" s="17">
        <v>50582</v>
      </c>
      <c r="P549" s="17">
        <v>50581</v>
      </c>
      <c r="Q549">
        <f>32-11.5</f>
        <v>20.5</v>
      </c>
      <c r="R549" t="s">
        <v>83</v>
      </c>
      <c r="S549" t="s">
        <v>145</v>
      </c>
      <c r="T549">
        <v>19</v>
      </c>
      <c r="U549">
        <v>83</v>
      </c>
      <c r="V549">
        <v>14</v>
      </c>
      <c r="W549">
        <v>12.9</v>
      </c>
      <c r="X549">
        <v>27.6</v>
      </c>
      <c r="Z549" t="s">
        <v>145</v>
      </c>
      <c r="AA549" t="s">
        <v>260</v>
      </c>
      <c r="AB549" t="s">
        <v>121</v>
      </c>
      <c r="AC549" t="s">
        <v>122</v>
      </c>
    </row>
    <row r="550" spans="1:30" x14ac:dyDescent="0.2">
      <c r="A550" s="3">
        <v>42537</v>
      </c>
      <c r="B550" t="s">
        <v>23</v>
      </c>
      <c r="C550">
        <v>501</v>
      </c>
      <c r="D550">
        <v>4</v>
      </c>
      <c r="E550">
        <v>1</v>
      </c>
      <c r="F550" t="s">
        <v>24</v>
      </c>
      <c r="G550" t="s">
        <v>25</v>
      </c>
      <c r="H550" t="s">
        <v>26</v>
      </c>
      <c r="I550" t="s">
        <v>27</v>
      </c>
      <c r="J550" t="s">
        <v>34</v>
      </c>
      <c r="K550" t="s">
        <v>188</v>
      </c>
      <c r="L550" t="s">
        <v>35</v>
      </c>
      <c r="M550">
        <v>0</v>
      </c>
      <c r="N550">
        <v>1</v>
      </c>
      <c r="O550" s="17">
        <v>50584</v>
      </c>
      <c r="P550" s="17">
        <v>50583</v>
      </c>
      <c r="Q550">
        <f>26.5-12.5</f>
        <v>14</v>
      </c>
      <c r="R550" t="s">
        <v>39</v>
      </c>
      <c r="T550">
        <v>17</v>
      </c>
      <c r="U550">
        <v>72</v>
      </c>
      <c r="V550">
        <v>14</v>
      </c>
      <c r="W550">
        <v>11.9</v>
      </c>
      <c r="X550">
        <v>25.6</v>
      </c>
      <c r="Z550" t="s">
        <v>32</v>
      </c>
      <c r="AB550" t="s">
        <v>44</v>
      </c>
      <c r="AC550" t="s">
        <v>122</v>
      </c>
    </row>
    <row r="551" spans="1:30" x14ac:dyDescent="0.2">
      <c r="A551" s="3">
        <v>42565</v>
      </c>
      <c r="B551" t="s">
        <v>23</v>
      </c>
      <c r="C551">
        <v>701</v>
      </c>
      <c r="D551">
        <v>9</v>
      </c>
      <c r="E551">
        <v>2</v>
      </c>
      <c r="F551" t="s">
        <v>33</v>
      </c>
      <c r="G551" t="s">
        <v>25</v>
      </c>
      <c r="H551" t="s">
        <v>26</v>
      </c>
      <c r="I551" t="s">
        <v>27</v>
      </c>
      <c r="J551" t="s">
        <v>28</v>
      </c>
      <c r="K551" t="s">
        <v>188</v>
      </c>
      <c r="L551" t="s">
        <v>35</v>
      </c>
      <c r="M551">
        <v>0</v>
      </c>
      <c r="N551">
        <v>0</v>
      </c>
      <c r="O551" s="17">
        <v>50584</v>
      </c>
      <c r="P551" s="17">
        <v>50583</v>
      </c>
      <c r="Q551">
        <v>18</v>
      </c>
      <c r="R551" t="s">
        <v>39</v>
      </c>
      <c r="T551">
        <v>19</v>
      </c>
      <c r="U551">
        <v>80</v>
      </c>
      <c r="V551">
        <v>16</v>
      </c>
      <c r="W551">
        <v>13.1</v>
      </c>
      <c r="X551">
        <v>26.8</v>
      </c>
      <c r="Z551" t="s">
        <v>32</v>
      </c>
      <c r="AB551" t="s">
        <v>121</v>
      </c>
      <c r="AC551" t="s">
        <v>254</v>
      </c>
    </row>
    <row r="552" spans="1:30" x14ac:dyDescent="0.2">
      <c r="A552" s="3">
        <v>42537</v>
      </c>
      <c r="B552" t="s">
        <v>23</v>
      </c>
      <c r="C552">
        <v>503</v>
      </c>
      <c r="D552">
        <v>8</v>
      </c>
      <c r="E552">
        <v>2</v>
      </c>
      <c r="F552" t="s">
        <v>24</v>
      </c>
      <c r="G552" t="s">
        <v>25</v>
      </c>
      <c r="H552" t="s">
        <v>26</v>
      </c>
      <c r="I552" t="s">
        <v>27</v>
      </c>
      <c r="J552" t="s">
        <v>34</v>
      </c>
      <c r="K552" t="s">
        <v>123</v>
      </c>
      <c r="L552" t="s">
        <v>35</v>
      </c>
      <c r="M552">
        <v>0</v>
      </c>
      <c r="N552">
        <v>1</v>
      </c>
      <c r="O552" s="17">
        <v>50588</v>
      </c>
      <c r="P552" s="17">
        <v>50587</v>
      </c>
      <c r="Q552">
        <f>26-12</f>
        <v>14</v>
      </c>
      <c r="R552" t="s">
        <v>63</v>
      </c>
      <c r="T552">
        <v>19</v>
      </c>
      <c r="U552">
        <v>84</v>
      </c>
      <c r="V552">
        <v>16</v>
      </c>
      <c r="W552">
        <v>12.1</v>
      </c>
      <c r="X552">
        <v>27</v>
      </c>
      <c r="Z552" t="s">
        <v>32</v>
      </c>
      <c r="AB552" t="s">
        <v>44</v>
      </c>
      <c r="AC552" t="s">
        <v>122</v>
      </c>
    </row>
    <row r="553" spans="1:30" x14ac:dyDescent="0.2">
      <c r="A553" s="3">
        <v>42537</v>
      </c>
      <c r="B553" t="s">
        <v>23</v>
      </c>
      <c r="C553">
        <v>401</v>
      </c>
      <c r="D553">
        <v>5</v>
      </c>
      <c r="E553">
        <v>1</v>
      </c>
      <c r="F553" t="s">
        <v>24</v>
      </c>
      <c r="G553" t="s">
        <v>25</v>
      </c>
      <c r="H553" t="s">
        <v>26</v>
      </c>
      <c r="I553" t="s">
        <v>27</v>
      </c>
      <c r="J553" t="s">
        <v>34</v>
      </c>
      <c r="K553" t="s">
        <v>188</v>
      </c>
      <c r="L553" t="s">
        <v>35</v>
      </c>
      <c r="M553">
        <v>0</v>
      </c>
      <c r="N553">
        <v>1</v>
      </c>
      <c r="O553" s="17">
        <v>50590</v>
      </c>
      <c r="P553" s="17">
        <v>50589</v>
      </c>
      <c r="Q553">
        <f>30-14</f>
        <v>16</v>
      </c>
      <c r="R553" t="s">
        <v>39</v>
      </c>
      <c r="T553">
        <v>17</v>
      </c>
      <c r="U553">
        <v>75</v>
      </c>
      <c r="V553">
        <v>14</v>
      </c>
      <c r="W553">
        <v>11.9</v>
      </c>
      <c r="X553">
        <v>27.2</v>
      </c>
      <c r="Z553" t="s">
        <v>32</v>
      </c>
      <c r="AB553" t="s">
        <v>44</v>
      </c>
      <c r="AC553" t="s">
        <v>122</v>
      </c>
    </row>
    <row r="554" spans="1:30" x14ac:dyDescent="0.2">
      <c r="A554" s="3">
        <v>42549</v>
      </c>
      <c r="B554" t="s">
        <v>23</v>
      </c>
      <c r="C554">
        <v>401</v>
      </c>
      <c r="D554">
        <v>6</v>
      </c>
      <c r="E554">
        <v>1</v>
      </c>
      <c r="F554" t="s">
        <v>33</v>
      </c>
      <c r="G554" t="s">
        <v>25</v>
      </c>
      <c r="H554" t="s">
        <v>26</v>
      </c>
      <c r="I554" t="s">
        <v>27</v>
      </c>
      <c r="J554" t="s">
        <v>28</v>
      </c>
      <c r="K554" t="s">
        <v>188</v>
      </c>
      <c r="L554" t="s">
        <v>35</v>
      </c>
      <c r="M554">
        <v>0</v>
      </c>
      <c r="N554">
        <v>0</v>
      </c>
      <c r="O554" s="17">
        <v>50590</v>
      </c>
      <c r="P554" s="17">
        <v>50589</v>
      </c>
      <c r="Q554">
        <f>31-13</f>
        <v>18</v>
      </c>
      <c r="R554" t="s">
        <v>39</v>
      </c>
      <c r="T554">
        <v>20</v>
      </c>
      <c r="V554">
        <v>13</v>
      </c>
      <c r="W554">
        <v>12.5</v>
      </c>
      <c r="X554">
        <v>27.1</v>
      </c>
      <c r="Y554" t="s">
        <v>304</v>
      </c>
      <c r="Z554" t="s">
        <v>32</v>
      </c>
      <c r="AB554" t="s">
        <v>121</v>
      </c>
      <c r="AC554" t="s">
        <v>122</v>
      </c>
    </row>
    <row r="555" spans="1:30" x14ac:dyDescent="0.2">
      <c r="A555" s="3">
        <v>42550</v>
      </c>
      <c r="B555" t="s">
        <v>23</v>
      </c>
      <c r="C555">
        <v>401</v>
      </c>
      <c r="D555">
        <v>3</v>
      </c>
      <c r="E555">
        <v>1</v>
      </c>
      <c r="F555" t="s">
        <v>33</v>
      </c>
      <c r="G555" t="s">
        <v>25</v>
      </c>
      <c r="H555" t="s">
        <v>26</v>
      </c>
      <c r="I555" t="s">
        <v>27</v>
      </c>
      <c r="J555" t="s">
        <v>28</v>
      </c>
      <c r="K555" t="s">
        <v>188</v>
      </c>
      <c r="L555" t="s">
        <v>35</v>
      </c>
      <c r="M555">
        <v>0</v>
      </c>
      <c r="N555">
        <v>0</v>
      </c>
      <c r="O555" s="17">
        <v>50590</v>
      </c>
      <c r="P555" s="17">
        <v>50589</v>
      </c>
      <c r="Q555">
        <f>33-16</f>
        <v>17</v>
      </c>
      <c r="R555" t="s">
        <v>39</v>
      </c>
      <c r="T555">
        <v>20</v>
      </c>
      <c r="U555">
        <v>76</v>
      </c>
      <c r="V555">
        <v>16</v>
      </c>
      <c r="W555">
        <v>13.5</v>
      </c>
      <c r="X555">
        <v>27.5</v>
      </c>
      <c r="Z555" t="s">
        <v>32</v>
      </c>
      <c r="AB555" t="s">
        <v>121</v>
      </c>
      <c r="AC555" t="s">
        <v>59</v>
      </c>
    </row>
    <row r="556" spans="1:30" x14ac:dyDescent="0.2">
      <c r="A556" s="3">
        <v>42551</v>
      </c>
      <c r="B556" t="s">
        <v>23</v>
      </c>
      <c r="C556">
        <v>401</v>
      </c>
      <c r="D556">
        <v>3</v>
      </c>
      <c r="E556">
        <v>1</v>
      </c>
      <c r="F556" t="s">
        <v>33</v>
      </c>
      <c r="G556" t="s">
        <v>25</v>
      </c>
      <c r="H556" t="s">
        <v>26</v>
      </c>
      <c r="I556" t="s">
        <v>27</v>
      </c>
      <c r="J556" t="s">
        <v>28</v>
      </c>
      <c r="K556" t="s">
        <v>188</v>
      </c>
      <c r="L556" t="s">
        <v>35</v>
      </c>
      <c r="M556">
        <v>0</v>
      </c>
      <c r="N556">
        <v>0</v>
      </c>
      <c r="O556" s="17">
        <v>50590</v>
      </c>
      <c r="P556" s="17">
        <v>50589</v>
      </c>
      <c r="Q556">
        <f>28-12</f>
        <v>16</v>
      </c>
      <c r="R556" t="s">
        <v>39</v>
      </c>
      <c r="T556">
        <v>19</v>
      </c>
      <c r="U556">
        <v>74</v>
      </c>
      <c r="V556">
        <v>14</v>
      </c>
      <c r="W556">
        <v>12.6</v>
      </c>
      <c r="X556">
        <v>27.8</v>
      </c>
      <c r="Z556" t="s">
        <v>32</v>
      </c>
      <c r="AB556" t="s">
        <v>44</v>
      </c>
      <c r="AC556" t="s">
        <v>59</v>
      </c>
    </row>
    <row r="557" spans="1:30" x14ac:dyDescent="0.2">
      <c r="A557" s="3">
        <v>42563</v>
      </c>
      <c r="B557" t="s">
        <v>23</v>
      </c>
      <c r="C557">
        <v>401</v>
      </c>
      <c r="D557">
        <v>3</v>
      </c>
      <c r="E557">
        <v>2</v>
      </c>
      <c r="F557" t="s">
        <v>24</v>
      </c>
      <c r="G557" t="s">
        <v>25</v>
      </c>
      <c r="H557" t="s">
        <v>26</v>
      </c>
      <c r="I557" t="s">
        <v>27</v>
      </c>
      <c r="J557" t="s">
        <v>28</v>
      </c>
      <c r="K557" t="s">
        <v>188</v>
      </c>
      <c r="L557" t="s">
        <v>35</v>
      </c>
      <c r="M557">
        <v>0</v>
      </c>
      <c r="N557">
        <v>0</v>
      </c>
      <c r="O557" s="17">
        <v>50590</v>
      </c>
      <c r="P557" s="17">
        <v>50589</v>
      </c>
      <c r="Q557">
        <v>20</v>
      </c>
      <c r="R557" t="s">
        <v>39</v>
      </c>
      <c r="W557">
        <v>12.9</v>
      </c>
      <c r="X557">
        <v>28.4</v>
      </c>
      <c r="Z557" t="s">
        <v>32</v>
      </c>
      <c r="AB557" t="s">
        <v>53</v>
      </c>
      <c r="AC557" t="s">
        <v>122</v>
      </c>
    </row>
    <row r="558" spans="1:30" x14ac:dyDescent="0.2">
      <c r="A558" s="3">
        <v>42564</v>
      </c>
      <c r="B558" t="s">
        <v>23</v>
      </c>
      <c r="C558">
        <v>401</v>
      </c>
      <c r="D558">
        <v>3</v>
      </c>
      <c r="E558">
        <v>1</v>
      </c>
      <c r="F558" t="s">
        <v>24</v>
      </c>
      <c r="G558" t="s">
        <v>25</v>
      </c>
      <c r="H558" t="s">
        <v>26</v>
      </c>
      <c r="I558" t="s">
        <v>27</v>
      </c>
      <c r="J558" t="s">
        <v>28</v>
      </c>
      <c r="K558" t="s">
        <v>188</v>
      </c>
      <c r="L558" t="s">
        <v>35</v>
      </c>
      <c r="M558">
        <v>0</v>
      </c>
      <c r="N558">
        <v>0</v>
      </c>
      <c r="O558" s="17">
        <v>50590</v>
      </c>
      <c r="P558" s="17">
        <v>50589</v>
      </c>
      <c r="Q558">
        <f>35-19</f>
        <v>16</v>
      </c>
      <c r="R558" t="s">
        <v>39</v>
      </c>
      <c r="T558">
        <v>19</v>
      </c>
      <c r="U558">
        <v>76</v>
      </c>
      <c r="V558">
        <v>17</v>
      </c>
      <c r="W558">
        <v>12.7</v>
      </c>
      <c r="X558">
        <v>26.1</v>
      </c>
      <c r="Z558" t="s">
        <v>32</v>
      </c>
    </row>
    <row r="559" spans="1:30" x14ac:dyDescent="0.2">
      <c r="A559" s="3">
        <v>42565</v>
      </c>
      <c r="B559" t="s">
        <v>23</v>
      </c>
      <c r="C559">
        <v>401</v>
      </c>
      <c r="D559">
        <v>3</v>
      </c>
      <c r="E559">
        <v>1</v>
      </c>
      <c r="F559" t="s">
        <v>24</v>
      </c>
      <c r="G559" t="s">
        <v>25</v>
      </c>
      <c r="H559" t="s">
        <v>26</v>
      </c>
      <c r="I559" t="s">
        <v>27</v>
      </c>
      <c r="J559" t="s">
        <v>28</v>
      </c>
      <c r="K559" t="s">
        <v>188</v>
      </c>
      <c r="L559" t="s">
        <v>35</v>
      </c>
      <c r="M559">
        <v>0</v>
      </c>
      <c r="N559">
        <v>0</v>
      </c>
      <c r="O559" s="17">
        <v>50590</v>
      </c>
      <c r="P559" s="17">
        <v>50589</v>
      </c>
      <c r="Q559">
        <f>29-12</f>
        <v>17</v>
      </c>
      <c r="R559" t="s">
        <v>39</v>
      </c>
      <c r="T559">
        <v>17</v>
      </c>
      <c r="U559">
        <v>77</v>
      </c>
      <c r="V559">
        <v>16.5</v>
      </c>
      <c r="W559">
        <v>13</v>
      </c>
      <c r="X559">
        <v>25.8</v>
      </c>
      <c r="Z559" t="s">
        <v>32</v>
      </c>
      <c r="AB559" t="s">
        <v>489</v>
      </c>
    </row>
    <row r="560" spans="1:30" x14ac:dyDescent="0.2">
      <c r="A560" s="3">
        <v>42574</v>
      </c>
      <c r="B560" t="s">
        <v>23</v>
      </c>
      <c r="C560">
        <v>303</v>
      </c>
      <c r="D560">
        <v>9</v>
      </c>
      <c r="E560">
        <v>2</v>
      </c>
      <c r="F560" t="s">
        <v>33</v>
      </c>
      <c r="G560" t="s">
        <v>25</v>
      </c>
      <c r="H560" t="s">
        <v>26</v>
      </c>
      <c r="I560" t="s">
        <v>27</v>
      </c>
      <c r="J560" t="s">
        <v>28</v>
      </c>
      <c r="K560" t="s">
        <v>188</v>
      </c>
      <c r="L560" t="s">
        <v>35</v>
      </c>
      <c r="M560">
        <v>0</v>
      </c>
      <c r="N560">
        <v>0</v>
      </c>
      <c r="O560" s="17">
        <v>50590</v>
      </c>
      <c r="P560" s="17">
        <v>50589</v>
      </c>
      <c r="Q560">
        <f>30-11.5</f>
        <v>18.5</v>
      </c>
      <c r="R560" t="s">
        <v>39</v>
      </c>
      <c r="T560">
        <v>18</v>
      </c>
      <c r="U560">
        <v>83</v>
      </c>
      <c r="V560">
        <v>15</v>
      </c>
      <c r="W560">
        <v>12.9</v>
      </c>
      <c r="X560">
        <v>26.9</v>
      </c>
      <c r="Z560" t="s">
        <v>145</v>
      </c>
      <c r="AA560" t="s">
        <v>260</v>
      </c>
      <c r="AB560" t="s">
        <v>122</v>
      </c>
      <c r="AC560" t="s">
        <v>121</v>
      </c>
      <c r="AD560" t="s">
        <v>541</v>
      </c>
    </row>
    <row r="561" spans="1:30" x14ac:dyDescent="0.2">
      <c r="A561" s="3">
        <v>42575</v>
      </c>
      <c r="B561" t="s">
        <v>23</v>
      </c>
      <c r="C561">
        <v>401</v>
      </c>
      <c r="D561">
        <v>3</v>
      </c>
      <c r="E561">
        <v>1</v>
      </c>
      <c r="F561" t="s">
        <v>33</v>
      </c>
      <c r="G561" t="s">
        <v>25</v>
      </c>
      <c r="H561" t="s">
        <v>26</v>
      </c>
      <c r="I561" t="s">
        <v>27</v>
      </c>
      <c r="J561" t="s">
        <v>28</v>
      </c>
      <c r="K561" t="s">
        <v>188</v>
      </c>
      <c r="L561" t="s">
        <v>35</v>
      </c>
      <c r="M561">
        <v>0</v>
      </c>
      <c r="N561">
        <v>0</v>
      </c>
      <c r="O561" s="17">
        <v>50590</v>
      </c>
      <c r="P561" s="17">
        <v>50589</v>
      </c>
      <c r="Q561">
        <f>34.5-18</f>
        <v>16.5</v>
      </c>
      <c r="R561" t="s">
        <v>39</v>
      </c>
      <c r="T561">
        <v>20</v>
      </c>
      <c r="U561">
        <v>80</v>
      </c>
      <c r="V561">
        <v>15</v>
      </c>
      <c r="W561">
        <v>12.9</v>
      </c>
      <c r="X561">
        <v>27.5</v>
      </c>
      <c r="Z561" t="s">
        <v>145</v>
      </c>
      <c r="AA561" t="s">
        <v>260</v>
      </c>
      <c r="AB561" t="s">
        <v>716</v>
      </c>
      <c r="AC561" t="s">
        <v>59</v>
      </c>
      <c r="AD561" t="s">
        <v>717</v>
      </c>
    </row>
    <row r="562" spans="1:30" x14ac:dyDescent="0.2">
      <c r="A562" s="3">
        <v>42576</v>
      </c>
      <c r="B562" t="s">
        <v>23</v>
      </c>
      <c r="C562">
        <v>401</v>
      </c>
      <c r="D562">
        <v>3</v>
      </c>
      <c r="E562">
        <v>2</v>
      </c>
      <c r="F562" t="s">
        <v>33</v>
      </c>
      <c r="G562" t="s">
        <v>25</v>
      </c>
      <c r="H562" t="s">
        <v>26</v>
      </c>
      <c r="I562" t="s">
        <v>27</v>
      </c>
      <c r="J562" t="s">
        <v>28</v>
      </c>
      <c r="K562" t="s">
        <v>188</v>
      </c>
      <c r="L562" t="s">
        <v>35</v>
      </c>
      <c r="M562">
        <v>0</v>
      </c>
      <c r="N562">
        <v>0</v>
      </c>
      <c r="O562" s="17">
        <v>50590</v>
      </c>
      <c r="P562" s="17">
        <v>50589</v>
      </c>
      <c r="Q562">
        <f>32-15</f>
        <v>17</v>
      </c>
      <c r="R562" t="s">
        <v>39</v>
      </c>
      <c r="T562">
        <v>19</v>
      </c>
      <c r="U562">
        <v>78</v>
      </c>
      <c r="V562">
        <v>13</v>
      </c>
      <c r="W562">
        <v>12.9</v>
      </c>
      <c r="X562">
        <v>26.8</v>
      </c>
      <c r="Z562" t="s">
        <v>145</v>
      </c>
      <c r="AA562" t="s">
        <v>260</v>
      </c>
      <c r="AB562" t="s">
        <v>121</v>
      </c>
      <c r="AC562" t="s">
        <v>122</v>
      </c>
      <c r="AD562" t="s">
        <v>717</v>
      </c>
    </row>
    <row r="563" spans="1:30" x14ac:dyDescent="0.2">
      <c r="A563" s="3">
        <v>42591</v>
      </c>
      <c r="B563" t="s">
        <v>23</v>
      </c>
      <c r="C563">
        <v>303</v>
      </c>
      <c r="D563">
        <v>9</v>
      </c>
      <c r="E563">
        <v>1</v>
      </c>
      <c r="F563" t="s">
        <v>24</v>
      </c>
      <c r="G563" t="s">
        <v>25</v>
      </c>
      <c r="H563" t="s">
        <v>26</v>
      </c>
      <c r="I563" t="s">
        <v>27</v>
      </c>
      <c r="J563" t="s">
        <v>28</v>
      </c>
      <c r="K563" t="s">
        <v>188</v>
      </c>
      <c r="L563" t="s">
        <v>35</v>
      </c>
      <c r="M563">
        <v>0</v>
      </c>
      <c r="N563">
        <v>0</v>
      </c>
      <c r="O563" s="17" t="s">
        <v>1134</v>
      </c>
      <c r="P563" s="17" t="s">
        <v>1135</v>
      </c>
      <c r="Q563">
        <f>34.5-17</f>
        <v>17.5</v>
      </c>
      <c r="R563" t="s">
        <v>63</v>
      </c>
      <c r="T563">
        <v>18.5</v>
      </c>
      <c r="U563">
        <v>79</v>
      </c>
      <c r="V563">
        <v>18</v>
      </c>
      <c r="W563">
        <v>13.2</v>
      </c>
      <c r="X563">
        <v>26</v>
      </c>
      <c r="Z563" t="s">
        <v>145</v>
      </c>
      <c r="AB563" t="s">
        <v>44</v>
      </c>
      <c r="AC563" t="s">
        <v>59</v>
      </c>
    </row>
    <row r="564" spans="1:30" x14ac:dyDescent="0.2">
      <c r="A564" s="3">
        <v>42593</v>
      </c>
      <c r="B564" t="s">
        <v>23</v>
      </c>
      <c r="C564">
        <v>303</v>
      </c>
      <c r="D564">
        <v>10</v>
      </c>
      <c r="E564">
        <v>2</v>
      </c>
      <c r="F564" t="s">
        <v>24</v>
      </c>
      <c r="G564" t="s">
        <v>25</v>
      </c>
      <c r="H564" t="s">
        <v>26</v>
      </c>
      <c r="I564" t="s">
        <v>27</v>
      </c>
      <c r="J564" t="s">
        <v>28</v>
      </c>
      <c r="K564" t="s">
        <v>188</v>
      </c>
      <c r="L564" t="s">
        <v>35</v>
      </c>
      <c r="M564">
        <v>0</v>
      </c>
      <c r="N564">
        <v>0</v>
      </c>
      <c r="O564" s="17" t="s">
        <v>1134</v>
      </c>
      <c r="P564" s="17" t="s">
        <v>1135</v>
      </c>
      <c r="Q564">
        <f>30-13</f>
        <v>17</v>
      </c>
      <c r="R564" t="s">
        <v>63</v>
      </c>
      <c r="T564">
        <v>18</v>
      </c>
      <c r="U564">
        <v>78</v>
      </c>
      <c r="V564">
        <v>15</v>
      </c>
      <c r="W564">
        <v>13</v>
      </c>
      <c r="X564">
        <v>27.1</v>
      </c>
      <c r="Z564" t="s">
        <v>145</v>
      </c>
      <c r="AB564" t="s">
        <v>44</v>
      </c>
      <c r="AC564" t="s">
        <v>122</v>
      </c>
    </row>
    <row r="565" spans="1:30" x14ac:dyDescent="0.2">
      <c r="A565" s="3">
        <v>42604</v>
      </c>
      <c r="B565" t="s">
        <v>23</v>
      </c>
      <c r="C565">
        <v>303</v>
      </c>
      <c r="D565">
        <v>7</v>
      </c>
      <c r="E565">
        <v>1</v>
      </c>
      <c r="F565" t="s">
        <v>64</v>
      </c>
      <c r="G565" t="s">
        <v>25</v>
      </c>
      <c r="H565" t="s">
        <v>26</v>
      </c>
      <c r="I565" t="s">
        <v>27</v>
      </c>
      <c r="J565" t="s">
        <v>28</v>
      </c>
      <c r="K565" t="s">
        <v>188</v>
      </c>
      <c r="L565" t="s">
        <v>35</v>
      </c>
      <c r="M565">
        <v>0</v>
      </c>
      <c r="N565">
        <v>0</v>
      </c>
      <c r="O565" s="17" t="s">
        <v>1134</v>
      </c>
      <c r="P565" s="17" t="s">
        <v>1135</v>
      </c>
      <c r="Q565">
        <f>43-24.5</f>
        <v>18.5</v>
      </c>
      <c r="R565" t="s">
        <v>39</v>
      </c>
      <c r="T565">
        <v>19</v>
      </c>
      <c r="U565">
        <v>79</v>
      </c>
      <c r="V565">
        <v>17</v>
      </c>
      <c r="W565">
        <v>13</v>
      </c>
      <c r="X565">
        <v>27.4</v>
      </c>
      <c r="Z565" t="s">
        <v>145</v>
      </c>
      <c r="AA565" t="s">
        <v>260</v>
      </c>
      <c r="AB565" t="s">
        <v>121</v>
      </c>
      <c r="AC565" t="s">
        <v>59</v>
      </c>
    </row>
    <row r="566" spans="1:30" x14ac:dyDescent="0.2">
      <c r="A566" s="3">
        <v>42606</v>
      </c>
      <c r="B566" t="s">
        <v>23</v>
      </c>
      <c r="C566">
        <v>303</v>
      </c>
      <c r="D566">
        <v>7</v>
      </c>
      <c r="E566" t="s">
        <v>1747</v>
      </c>
      <c r="F566" t="s">
        <v>64</v>
      </c>
      <c r="G566" t="s">
        <v>25</v>
      </c>
      <c r="H566" t="s">
        <v>26</v>
      </c>
      <c r="I566" t="s">
        <v>27</v>
      </c>
      <c r="J566" t="s">
        <v>28</v>
      </c>
      <c r="K566" t="s">
        <v>188</v>
      </c>
      <c r="L566" t="s">
        <v>35</v>
      </c>
      <c r="M566">
        <v>0</v>
      </c>
      <c r="N566">
        <v>0</v>
      </c>
      <c r="O566" s="17" t="s">
        <v>1134</v>
      </c>
      <c r="P566" s="17" t="s">
        <v>1135</v>
      </c>
      <c r="Q566">
        <f>31.5-16</f>
        <v>15.5</v>
      </c>
      <c r="R566" t="s">
        <v>63</v>
      </c>
      <c r="T566">
        <v>19</v>
      </c>
      <c r="U566">
        <v>78</v>
      </c>
      <c r="V566">
        <v>18</v>
      </c>
      <c r="W566">
        <v>13.1</v>
      </c>
      <c r="X566">
        <v>26.5</v>
      </c>
      <c r="Z566" t="s">
        <v>145</v>
      </c>
      <c r="AA566" t="s">
        <v>260</v>
      </c>
      <c r="AB566" t="s">
        <v>53</v>
      </c>
      <c r="AC566" t="s">
        <v>122</v>
      </c>
    </row>
    <row r="567" spans="1:30" x14ac:dyDescent="0.2">
      <c r="A567" s="3">
        <v>42541</v>
      </c>
      <c r="B567" t="s">
        <v>23</v>
      </c>
      <c r="C567">
        <v>112</v>
      </c>
      <c r="D567">
        <v>4</v>
      </c>
      <c r="E567">
        <v>2</v>
      </c>
      <c r="F567" t="s">
        <v>24</v>
      </c>
      <c r="G567" t="s">
        <v>25</v>
      </c>
      <c r="H567" t="s">
        <v>26</v>
      </c>
      <c r="I567" t="s">
        <v>27</v>
      </c>
      <c r="J567" t="s">
        <v>34</v>
      </c>
      <c r="K567" t="s">
        <v>188</v>
      </c>
      <c r="L567" t="s">
        <v>35</v>
      </c>
      <c r="M567">
        <v>0</v>
      </c>
      <c r="N567">
        <v>1</v>
      </c>
      <c r="O567" s="17">
        <v>50595</v>
      </c>
      <c r="P567" s="17">
        <v>50594</v>
      </c>
      <c r="Q567">
        <f>31-13</f>
        <v>18</v>
      </c>
      <c r="R567" t="s">
        <v>39</v>
      </c>
      <c r="S567" t="s">
        <v>32</v>
      </c>
      <c r="T567">
        <v>19.5</v>
      </c>
      <c r="U567">
        <v>86</v>
      </c>
      <c r="V567">
        <v>16</v>
      </c>
      <c r="W567">
        <v>12.8</v>
      </c>
      <c r="X567">
        <v>27.2</v>
      </c>
      <c r="Z567" t="s">
        <v>32</v>
      </c>
      <c r="AB567" t="s">
        <v>53</v>
      </c>
      <c r="AC567" t="s">
        <v>254</v>
      </c>
    </row>
    <row r="568" spans="1:30" x14ac:dyDescent="0.2">
      <c r="A568" s="3">
        <v>42542</v>
      </c>
      <c r="B568" t="s">
        <v>23</v>
      </c>
      <c r="C568">
        <v>112</v>
      </c>
      <c r="D568">
        <v>7</v>
      </c>
      <c r="E568">
        <v>1</v>
      </c>
      <c r="F568" t="s">
        <v>24</v>
      </c>
      <c r="G568" t="s">
        <v>25</v>
      </c>
      <c r="H568" t="s">
        <v>26</v>
      </c>
      <c r="I568" t="s">
        <v>27</v>
      </c>
      <c r="J568" t="s">
        <v>45</v>
      </c>
      <c r="K568" t="s">
        <v>188</v>
      </c>
      <c r="L568" t="s">
        <v>35</v>
      </c>
      <c r="M568">
        <v>0</v>
      </c>
      <c r="N568">
        <v>0</v>
      </c>
      <c r="O568" s="17">
        <v>50595</v>
      </c>
      <c r="P568" s="17">
        <v>50594</v>
      </c>
      <c r="Q568">
        <f>32.5-13.5</f>
        <v>19</v>
      </c>
      <c r="R568" t="s">
        <v>39</v>
      </c>
      <c r="S568" t="s">
        <v>32</v>
      </c>
      <c r="T568">
        <v>20</v>
      </c>
      <c r="U568">
        <v>85</v>
      </c>
      <c r="V568">
        <v>17</v>
      </c>
      <c r="W568">
        <v>12.7</v>
      </c>
      <c r="X568">
        <v>25.5</v>
      </c>
      <c r="Z568" t="s">
        <v>32</v>
      </c>
      <c r="AB568" t="s">
        <v>44</v>
      </c>
      <c r="AC568" t="s">
        <v>122</v>
      </c>
      <c r="AD568" t="s">
        <v>276</v>
      </c>
    </row>
    <row r="569" spans="1:30" x14ac:dyDescent="0.2">
      <c r="A569" s="3">
        <v>42556</v>
      </c>
      <c r="B569" t="s">
        <v>23</v>
      </c>
      <c r="C569">
        <v>112</v>
      </c>
      <c r="D569">
        <v>4</v>
      </c>
      <c r="E569">
        <v>2</v>
      </c>
      <c r="F569" t="s">
        <v>33</v>
      </c>
      <c r="G569" t="s">
        <v>25</v>
      </c>
      <c r="H569" t="s">
        <v>26</v>
      </c>
      <c r="I569" t="s">
        <v>27</v>
      </c>
      <c r="J569" t="s">
        <v>28</v>
      </c>
      <c r="K569" t="s">
        <v>29</v>
      </c>
      <c r="L569" t="s">
        <v>35</v>
      </c>
      <c r="M569">
        <v>0</v>
      </c>
      <c r="N569">
        <v>0</v>
      </c>
      <c r="O569" s="17">
        <v>50595</v>
      </c>
      <c r="P569" s="17">
        <v>50594</v>
      </c>
      <c r="Q569">
        <v>20</v>
      </c>
      <c r="R569" t="s">
        <v>39</v>
      </c>
      <c r="T569">
        <v>20</v>
      </c>
      <c r="U569">
        <v>80</v>
      </c>
      <c r="V569">
        <v>12</v>
      </c>
      <c r="Z569" t="s">
        <v>32</v>
      </c>
      <c r="AB569" t="s">
        <v>53</v>
      </c>
      <c r="AC569" t="s">
        <v>59</v>
      </c>
    </row>
    <row r="570" spans="1:30" x14ac:dyDescent="0.2">
      <c r="A570" s="3">
        <v>42558</v>
      </c>
      <c r="B570" t="s">
        <v>23</v>
      </c>
      <c r="C570">
        <v>112</v>
      </c>
      <c r="D570">
        <v>9</v>
      </c>
      <c r="E570">
        <v>2</v>
      </c>
      <c r="F570" t="s">
        <v>33</v>
      </c>
      <c r="G570" t="s">
        <v>25</v>
      </c>
      <c r="H570" t="s">
        <v>26</v>
      </c>
      <c r="I570" t="s">
        <v>27</v>
      </c>
      <c r="J570" t="s">
        <v>28</v>
      </c>
      <c r="K570" t="s">
        <v>29</v>
      </c>
      <c r="L570" t="s">
        <v>35</v>
      </c>
      <c r="M570">
        <v>0</v>
      </c>
      <c r="N570">
        <v>0</v>
      </c>
      <c r="O570" s="17">
        <v>50595</v>
      </c>
      <c r="P570" s="17">
        <v>50594</v>
      </c>
      <c r="Q570">
        <f>32-12</f>
        <v>20</v>
      </c>
      <c r="R570" t="s">
        <v>39</v>
      </c>
      <c r="T570">
        <v>21</v>
      </c>
      <c r="U570">
        <v>82</v>
      </c>
      <c r="V570">
        <v>16</v>
      </c>
      <c r="W570">
        <v>12.7</v>
      </c>
      <c r="X570">
        <v>27.5</v>
      </c>
      <c r="Z570" t="s">
        <v>32</v>
      </c>
      <c r="AB570" t="s">
        <v>121</v>
      </c>
      <c r="AC570" t="s">
        <v>254</v>
      </c>
    </row>
    <row r="571" spans="1:30" x14ac:dyDescent="0.2">
      <c r="A571" s="3">
        <v>42570</v>
      </c>
      <c r="B571" t="s">
        <v>23</v>
      </c>
      <c r="C571">
        <v>112</v>
      </c>
      <c r="D571">
        <v>10</v>
      </c>
      <c r="E571">
        <v>2</v>
      </c>
      <c r="F571" t="s">
        <v>24</v>
      </c>
      <c r="G571" t="s">
        <v>25</v>
      </c>
      <c r="H571" t="s">
        <v>26</v>
      </c>
      <c r="I571" t="s">
        <v>27</v>
      </c>
      <c r="J571" t="s">
        <v>28</v>
      </c>
      <c r="K571" t="s">
        <v>29</v>
      </c>
      <c r="L571" t="s">
        <v>35</v>
      </c>
      <c r="M571">
        <v>0</v>
      </c>
      <c r="N571">
        <v>0</v>
      </c>
      <c r="O571" s="17">
        <v>50595</v>
      </c>
      <c r="P571" s="17">
        <v>50594</v>
      </c>
      <c r="Q571">
        <v>22</v>
      </c>
      <c r="R571" t="s">
        <v>39</v>
      </c>
      <c r="T571">
        <v>19</v>
      </c>
      <c r="U571">
        <v>82</v>
      </c>
      <c r="V571">
        <v>13</v>
      </c>
      <c r="Z571" t="s">
        <v>32</v>
      </c>
      <c r="AB571" t="s">
        <v>582</v>
      </c>
      <c r="AC571" t="s">
        <v>59</v>
      </c>
    </row>
    <row r="572" spans="1:30" x14ac:dyDescent="0.2">
      <c r="A572" s="3">
        <v>42571</v>
      </c>
      <c r="B572" t="s">
        <v>23</v>
      </c>
      <c r="C572">
        <v>112</v>
      </c>
      <c r="D572">
        <v>5</v>
      </c>
      <c r="E572">
        <v>1</v>
      </c>
      <c r="F572" t="s">
        <v>24</v>
      </c>
      <c r="G572" t="s">
        <v>25</v>
      </c>
      <c r="H572" t="s">
        <v>26</v>
      </c>
      <c r="I572" t="s">
        <v>27</v>
      </c>
      <c r="J572" t="s">
        <v>28</v>
      </c>
      <c r="K572" t="s">
        <v>29</v>
      </c>
      <c r="L572" t="s">
        <v>35</v>
      </c>
      <c r="M572">
        <v>0</v>
      </c>
      <c r="N572">
        <v>0</v>
      </c>
      <c r="O572" s="17">
        <v>50595</v>
      </c>
      <c r="P572" s="17">
        <v>50594</v>
      </c>
      <c r="Q572">
        <f>34.5-13</f>
        <v>21.5</v>
      </c>
      <c r="R572" t="s">
        <v>39</v>
      </c>
      <c r="T572">
        <v>20</v>
      </c>
      <c r="U572">
        <v>86</v>
      </c>
      <c r="V572">
        <v>17</v>
      </c>
      <c r="Y572" t="s">
        <v>607</v>
      </c>
      <c r="Z572" t="s">
        <v>32</v>
      </c>
      <c r="AB572" t="s">
        <v>44</v>
      </c>
      <c r="AC572" t="s">
        <v>59</v>
      </c>
    </row>
    <row r="573" spans="1:30" x14ac:dyDescent="0.2">
      <c r="A573" s="3">
        <v>42584</v>
      </c>
      <c r="B573" t="s">
        <v>23</v>
      </c>
      <c r="C573">
        <v>112</v>
      </c>
      <c r="D573">
        <v>9</v>
      </c>
      <c r="E573">
        <v>1</v>
      </c>
      <c r="F573" t="s">
        <v>33</v>
      </c>
      <c r="G573" t="s">
        <v>25</v>
      </c>
      <c r="H573" t="s">
        <v>26</v>
      </c>
      <c r="I573" t="s">
        <v>27</v>
      </c>
      <c r="J573" t="s">
        <v>28</v>
      </c>
      <c r="K573" t="s">
        <v>29</v>
      </c>
      <c r="L573" t="s">
        <v>35</v>
      </c>
      <c r="M573">
        <v>0</v>
      </c>
      <c r="N573">
        <v>0</v>
      </c>
      <c r="O573" s="17">
        <v>50595</v>
      </c>
      <c r="P573" s="17">
        <v>50594</v>
      </c>
      <c r="Q573">
        <v>21</v>
      </c>
      <c r="R573" t="s">
        <v>39</v>
      </c>
      <c r="T573">
        <v>20</v>
      </c>
      <c r="U573">
        <v>89</v>
      </c>
      <c r="V573">
        <v>16</v>
      </c>
      <c r="W573">
        <v>12.8</v>
      </c>
      <c r="X573">
        <v>27.6</v>
      </c>
      <c r="Z573" t="s">
        <v>145</v>
      </c>
      <c r="AA573" t="s">
        <v>260</v>
      </c>
      <c r="AB573" t="s">
        <v>121</v>
      </c>
      <c r="AC573" t="s">
        <v>59</v>
      </c>
    </row>
    <row r="574" spans="1:30" x14ac:dyDescent="0.2">
      <c r="A574" s="3">
        <v>42585</v>
      </c>
      <c r="B574" t="s">
        <v>23</v>
      </c>
      <c r="C574">
        <v>112</v>
      </c>
      <c r="D574">
        <v>10</v>
      </c>
      <c r="E574">
        <v>1</v>
      </c>
      <c r="F574" t="s">
        <v>64</v>
      </c>
      <c r="G574" t="s">
        <v>25</v>
      </c>
      <c r="H574" t="s">
        <v>26</v>
      </c>
      <c r="I574" t="s">
        <v>27</v>
      </c>
      <c r="J574" t="s">
        <v>28</v>
      </c>
      <c r="K574" t="s">
        <v>29</v>
      </c>
      <c r="L574" t="s">
        <v>35</v>
      </c>
      <c r="M574">
        <v>0</v>
      </c>
      <c r="N574">
        <v>0</v>
      </c>
      <c r="O574" s="17">
        <v>50595</v>
      </c>
      <c r="P574" s="17">
        <v>50594</v>
      </c>
      <c r="Q574">
        <f>23.5-4</f>
        <v>19.5</v>
      </c>
      <c r="R574" t="s">
        <v>39</v>
      </c>
      <c r="T574">
        <v>19</v>
      </c>
      <c r="U574">
        <v>88</v>
      </c>
      <c r="V574">
        <v>15</v>
      </c>
      <c r="W574">
        <v>12.7</v>
      </c>
      <c r="X574">
        <v>26.6</v>
      </c>
      <c r="Z574" t="s">
        <v>145</v>
      </c>
      <c r="AA574" t="s">
        <v>260</v>
      </c>
      <c r="AB574" t="s">
        <v>53</v>
      </c>
      <c r="AC574" t="s">
        <v>122</v>
      </c>
    </row>
    <row r="575" spans="1:30" x14ac:dyDescent="0.2">
      <c r="A575" s="3">
        <v>42586</v>
      </c>
      <c r="B575" t="s">
        <v>23</v>
      </c>
      <c r="C575">
        <v>112</v>
      </c>
      <c r="D575">
        <v>10</v>
      </c>
      <c r="E575">
        <v>1</v>
      </c>
      <c r="F575" t="s">
        <v>64</v>
      </c>
      <c r="G575" t="s">
        <v>25</v>
      </c>
      <c r="H575" t="s">
        <v>26</v>
      </c>
      <c r="I575" t="s">
        <v>27</v>
      </c>
      <c r="J575" t="s">
        <v>28</v>
      </c>
      <c r="K575" t="s">
        <v>29</v>
      </c>
      <c r="L575" t="s">
        <v>35</v>
      </c>
      <c r="M575">
        <v>0</v>
      </c>
      <c r="N575">
        <v>0</v>
      </c>
      <c r="O575" s="17" t="s">
        <v>971</v>
      </c>
      <c r="P575" s="17" t="s">
        <v>972</v>
      </c>
      <c r="Q575">
        <f>35-16</f>
        <v>19</v>
      </c>
      <c r="R575" t="s">
        <v>39</v>
      </c>
      <c r="T575">
        <v>19.5</v>
      </c>
      <c r="U575">
        <v>88</v>
      </c>
      <c r="V575">
        <v>16</v>
      </c>
      <c r="W575">
        <v>12.9</v>
      </c>
      <c r="X575">
        <v>26.8</v>
      </c>
      <c r="Z575" t="s">
        <v>145</v>
      </c>
      <c r="AB575" t="s">
        <v>53</v>
      </c>
      <c r="AC575" t="s">
        <v>122</v>
      </c>
    </row>
    <row r="576" spans="1:30" x14ac:dyDescent="0.2">
      <c r="A576" s="3">
        <v>42587</v>
      </c>
      <c r="B576" t="s">
        <v>23</v>
      </c>
      <c r="C576">
        <v>112</v>
      </c>
      <c r="D576">
        <v>10</v>
      </c>
      <c r="E576">
        <v>2</v>
      </c>
      <c r="F576" t="s">
        <v>64</v>
      </c>
      <c r="G576" t="s">
        <v>25</v>
      </c>
      <c r="H576" t="s">
        <v>26</v>
      </c>
      <c r="I576" t="s">
        <v>27</v>
      </c>
      <c r="J576" t="s">
        <v>28</v>
      </c>
      <c r="K576" t="s">
        <v>29</v>
      </c>
      <c r="L576" t="s">
        <v>35</v>
      </c>
      <c r="M576">
        <v>0</v>
      </c>
      <c r="N576">
        <v>0</v>
      </c>
      <c r="O576" s="17" t="s">
        <v>971</v>
      </c>
      <c r="P576" s="17" t="s">
        <v>972</v>
      </c>
      <c r="Q576">
        <f>34-15</f>
        <v>19</v>
      </c>
      <c r="R576" t="s">
        <v>39</v>
      </c>
      <c r="T576">
        <v>19</v>
      </c>
      <c r="U576">
        <v>87</v>
      </c>
      <c r="V576">
        <v>16</v>
      </c>
      <c r="W576">
        <v>13</v>
      </c>
      <c r="X576">
        <v>27.2</v>
      </c>
      <c r="Z576" t="s">
        <v>145</v>
      </c>
      <c r="AA576" t="s">
        <v>260</v>
      </c>
      <c r="AB576" t="s">
        <v>53</v>
      </c>
      <c r="AC576" t="s">
        <v>254</v>
      </c>
    </row>
    <row r="577" spans="1:30" x14ac:dyDescent="0.2">
      <c r="A577" s="3">
        <v>42588</v>
      </c>
      <c r="B577" t="s">
        <v>23</v>
      </c>
      <c r="C577">
        <v>112</v>
      </c>
      <c r="D577">
        <v>9</v>
      </c>
      <c r="E577">
        <v>2</v>
      </c>
      <c r="F577" t="s">
        <v>24</v>
      </c>
      <c r="G577" t="s">
        <v>25</v>
      </c>
      <c r="H577" t="s">
        <v>26</v>
      </c>
      <c r="I577" t="s">
        <v>27</v>
      </c>
      <c r="J577" t="s">
        <v>28</v>
      </c>
      <c r="K577" t="s">
        <v>29</v>
      </c>
      <c r="L577" t="s">
        <v>35</v>
      </c>
      <c r="M577">
        <v>0</v>
      </c>
      <c r="N577">
        <v>0</v>
      </c>
      <c r="O577" s="17" t="s">
        <v>971</v>
      </c>
      <c r="P577" s="17" t="s">
        <v>972</v>
      </c>
      <c r="Q577">
        <f>35-13</f>
        <v>22</v>
      </c>
      <c r="R577" t="s">
        <v>39</v>
      </c>
      <c r="T577">
        <v>19</v>
      </c>
      <c r="U577">
        <v>85</v>
      </c>
      <c r="V577">
        <v>14</v>
      </c>
      <c r="W577">
        <v>12.6</v>
      </c>
      <c r="X577">
        <v>25.5</v>
      </c>
      <c r="Z577" t="s">
        <v>145</v>
      </c>
      <c r="AB577" t="s">
        <v>121</v>
      </c>
      <c r="AC577" t="s">
        <v>59</v>
      </c>
    </row>
    <row r="578" spans="1:30" x14ac:dyDescent="0.2">
      <c r="A578" s="3">
        <v>42589</v>
      </c>
      <c r="B578" t="s">
        <v>23</v>
      </c>
      <c r="C578">
        <v>112</v>
      </c>
      <c r="D578">
        <v>9</v>
      </c>
      <c r="E578">
        <v>1</v>
      </c>
      <c r="F578" t="s">
        <v>64</v>
      </c>
      <c r="G578" t="s">
        <v>25</v>
      </c>
      <c r="H578" t="s">
        <v>26</v>
      </c>
      <c r="I578" t="s">
        <v>27</v>
      </c>
      <c r="J578" t="s">
        <v>28</v>
      </c>
      <c r="K578" t="s">
        <v>29</v>
      </c>
      <c r="L578" t="s">
        <v>35</v>
      </c>
      <c r="M578">
        <v>0</v>
      </c>
      <c r="N578">
        <v>0</v>
      </c>
      <c r="O578" s="17" t="s">
        <v>971</v>
      </c>
      <c r="P578" s="17" t="s">
        <v>972</v>
      </c>
      <c r="Q578">
        <f>39-19</f>
        <v>20</v>
      </c>
      <c r="R578" t="s">
        <v>39</v>
      </c>
      <c r="T578">
        <v>19</v>
      </c>
      <c r="U578">
        <v>90</v>
      </c>
      <c r="V578">
        <v>16</v>
      </c>
      <c r="W578">
        <v>13.1</v>
      </c>
      <c r="X578">
        <v>27.2</v>
      </c>
      <c r="Z578" t="s">
        <v>145</v>
      </c>
      <c r="AA578" t="s">
        <v>260</v>
      </c>
      <c r="AB578" t="s">
        <v>121</v>
      </c>
      <c r="AC578" t="s">
        <v>59</v>
      </c>
    </row>
    <row r="579" spans="1:30" x14ac:dyDescent="0.2">
      <c r="A579" s="3">
        <v>42598</v>
      </c>
      <c r="B579" t="s">
        <v>23</v>
      </c>
      <c r="C579">
        <v>112</v>
      </c>
      <c r="D579">
        <v>10</v>
      </c>
      <c r="E579">
        <v>2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29</v>
      </c>
      <c r="L579" t="s">
        <v>35</v>
      </c>
      <c r="M579">
        <v>0</v>
      </c>
      <c r="N579">
        <v>0</v>
      </c>
      <c r="O579" s="17" t="s">
        <v>971</v>
      </c>
      <c r="P579" s="17" t="s">
        <v>972</v>
      </c>
      <c r="Q579">
        <f>35.5-14</f>
        <v>21.5</v>
      </c>
      <c r="R579" t="s">
        <v>63</v>
      </c>
      <c r="T579">
        <v>20</v>
      </c>
      <c r="U579">
        <v>88</v>
      </c>
      <c r="V579">
        <v>18</v>
      </c>
      <c r="W579">
        <v>13.4</v>
      </c>
      <c r="X579">
        <v>25.9</v>
      </c>
      <c r="AB579" t="s">
        <v>1589</v>
      </c>
      <c r="AC579" t="s">
        <v>122</v>
      </c>
    </row>
    <row r="580" spans="1:30" x14ac:dyDescent="0.2">
      <c r="A580" s="3">
        <v>42599</v>
      </c>
      <c r="B580" t="s">
        <v>23</v>
      </c>
      <c r="C580">
        <v>112</v>
      </c>
      <c r="D580">
        <v>10</v>
      </c>
      <c r="E580">
        <v>2</v>
      </c>
      <c r="F580" t="s">
        <v>24</v>
      </c>
      <c r="G580" t="s">
        <v>25</v>
      </c>
      <c r="H580" t="s">
        <v>26</v>
      </c>
      <c r="I580" t="s">
        <v>27</v>
      </c>
      <c r="J580" t="s">
        <v>28</v>
      </c>
      <c r="K580" t="s">
        <v>29</v>
      </c>
      <c r="L580" t="s">
        <v>35</v>
      </c>
      <c r="M580">
        <v>0</v>
      </c>
      <c r="N580">
        <v>0</v>
      </c>
      <c r="O580" s="17" t="s">
        <v>971</v>
      </c>
      <c r="P580" s="17" t="s">
        <v>972</v>
      </c>
      <c r="Q580">
        <f>32.5-14</f>
        <v>18.5</v>
      </c>
      <c r="R580" t="s">
        <v>39</v>
      </c>
      <c r="T580">
        <v>20</v>
      </c>
      <c r="U580">
        <v>86</v>
      </c>
      <c r="V580">
        <v>16</v>
      </c>
      <c r="W580">
        <v>13.1</v>
      </c>
      <c r="X580">
        <v>25.6</v>
      </c>
      <c r="AB580" t="s">
        <v>121</v>
      </c>
      <c r="AC580" t="s">
        <v>59</v>
      </c>
    </row>
    <row r="581" spans="1:30" x14ac:dyDescent="0.2">
      <c r="A581" s="3">
        <v>42600</v>
      </c>
      <c r="B581" t="s">
        <v>23</v>
      </c>
      <c r="C581">
        <v>112</v>
      </c>
      <c r="D581">
        <v>8</v>
      </c>
      <c r="E581">
        <v>1</v>
      </c>
      <c r="F581" t="s">
        <v>24</v>
      </c>
      <c r="G581" t="s">
        <v>25</v>
      </c>
      <c r="H581" t="s">
        <v>26</v>
      </c>
      <c r="I581" t="s">
        <v>27</v>
      </c>
      <c r="J581" t="s">
        <v>28</v>
      </c>
      <c r="K581" t="s">
        <v>29</v>
      </c>
      <c r="L581" t="s">
        <v>35</v>
      </c>
      <c r="M581">
        <v>0</v>
      </c>
      <c r="N581">
        <v>0</v>
      </c>
      <c r="O581" s="17" t="s">
        <v>971</v>
      </c>
      <c r="P581" s="17" t="s">
        <v>972</v>
      </c>
      <c r="Q581">
        <f>34.5-14</f>
        <v>20.5</v>
      </c>
      <c r="R581" t="s">
        <v>39</v>
      </c>
      <c r="T581">
        <v>19</v>
      </c>
      <c r="U581">
        <v>86</v>
      </c>
      <c r="V581">
        <v>17</v>
      </c>
      <c r="W581">
        <v>13.4</v>
      </c>
      <c r="X581">
        <v>25</v>
      </c>
      <c r="AB581" t="s">
        <v>121</v>
      </c>
      <c r="AC581" t="s">
        <v>59</v>
      </c>
    </row>
    <row r="582" spans="1:30" x14ac:dyDescent="0.2">
      <c r="A582" s="3">
        <v>42541</v>
      </c>
      <c r="B582" t="s">
        <v>23</v>
      </c>
      <c r="C582">
        <v>112</v>
      </c>
      <c r="D582">
        <v>3</v>
      </c>
      <c r="E582">
        <v>1</v>
      </c>
      <c r="F582" t="s">
        <v>24</v>
      </c>
      <c r="G582" t="s">
        <v>25</v>
      </c>
      <c r="H582" t="s">
        <v>26</v>
      </c>
      <c r="I582" t="s">
        <v>27</v>
      </c>
      <c r="J582" t="s">
        <v>34</v>
      </c>
      <c r="K582" t="s">
        <v>29</v>
      </c>
      <c r="L582" t="s">
        <v>35</v>
      </c>
      <c r="M582">
        <v>0</v>
      </c>
      <c r="N582">
        <v>1</v>
      </c>
      <c r="O582" s="17">
        <v>50597</v>
      </c>
      <c r="P582" s="17">
        <v>50596</v>
      </c>
      <c r="Q582">
        <f>35.5-12.5</f>
        <v>23</v>
      </c>
      <c r="R582" t="s">
        <v>39</v>
      </c>
      <c r="S582" t="s">
        <v>32</v>
      </c>
      <c r="T582">
        <v>19</v>
      </c>
      <c r="U582">
        <v>90</v>
      </c>
      <c r="V582">
        <v>17</v>
      </c>
      <c r="W582">
        <v>12.8</v>
      </c>
      <c r="X582">
        <v>29.3</v>
      </c>
      <c r="Z582" t="s">
        <v>32</v>
      </c>
      <c r="AB582" t="s">
        <v>256</v>
      </c>
      <c r="AC582" t="s">
        <v>254</v>
      </c>
    </row>
    <row r="583" spans="1:30" x14ac:dyDescent="0.2">
      <c r="A583" s="3">
        <v>42543</v>
      </c>
      <c r="B583" t="s">
        <v>23</v>
      </c>
      <c r="C583">
        <v>112</v>
      </c>
      <c r="D583">
        <v>9</v>
      </c>
      <c r="E583">
        <v>2</v>
      </c>
      <c r="F583" t="s">
        <v>24</v>
      </c>
      <c r="G583" t="s">
        <v>25</v>
      </c>
      <c r="H583" t="s">
        <v>26</v>
      </c>
      <c r="I583" t="s">
        <v>27</v>
      </c>
      <c r="J583" t="s">
        <v>28</v>
      </c>
      <c r="K583" t="s">
        <v>29</v>
      </c>
      <c r="L583" t="s">
        <v>35</v>
      </c>
      <c r="M583">
        <v>0</v>
      </c>
      <c r="N583">
        <v>0</v>
      </c>
      <c r="O583" s="17">
        <v>50597</v>
      </c>
      <c r="P583" s="17">
        <v>50596</v>
      </c>
      <c r="Q583">
        <f>34.5-12.5</f>
        <v>22</v>
      </c>
      <c r="R583" t="s">
        <v>39</v>
      </c>
      <c r="S583" t="s">
        <v>32</v>
      </c>
      <c r="T583">
        <v>18</v>
      </c>
      <c r="U583">
        <v>90</v>
      </c>
      <c r="V583">
        <v>15.5</v>
      </c>
      <c r="W583">
        <v>12.5</v>
      </c>
      <c r="X583">
        <v>27.55</v>
      </c>
      <c r="Z583" t="s">
        <v>32</v>
      </c>
      <c r="AB583" t="s">
        <v>53</v>
      </c>
      <c r="AC583" t="s">
        <v>59</v>
      </c>
    </row>
    <row r="584" spans="1:30" x14ac:dyDescent="0.2">
      <c r="A584" s="3">
        <v>42556</v>
      </c>
      <c r="B584" t="s">
        <v>23</v>
      </c>
      <c r="C584">
        <v>112</v>
      </c>
      <c r="D584">
        <v>10</v>
      </c>
      <c r="E584">
        <v>1</v>
      </c>
      <c r="F584" t="s">
        <v>33</v>
      </c>
      <c r="G584" t="s">
        <v>25</v>
      </c>
      <c r="H584" t="s">
        <v>26</v>
      </c>
      <c r="I584" t="s">
        <v>27</v>
      </c>
      <c r="J584" t="s">
        <v>28</v>
      </c>
      <c r="K584" t="s">
        <v>29</v>
      </c>
      <c r="L584" t="s">
        <v>35</v>
      </c>
      <c r="M584">
        <v>0</v>
      </c>
      <c r="N584">
        <v>0</v>
      </c>
      <c r="O584" s="17">
        <v>50597</v>
      </c>
      <c r="P584" s="17">
        <v>50596</v>
      </c>
      <c r="Q584">
        <v>20</v>
      </c>
      <c r="R584" t="s">
        <v>39</v>
      </c>
      <c r="T584">
        <v>20</v>
      </c>
      <c r="U584">
        <v>81</v>
      </c>
      <c r="V584">
        <v>15</v>
      </c>
      <c r="W584">
        <v>12.5</v>
      </c>
      <c r="X584">
        <v>27</v>
      </c>
      <c r="Z584" t="s">
        <v>32</v>
      </c>
      <c r="AB584" t="s">
        <v>53</v>
      </c>
      <c r="AC584" t="s">
        <v>59</v>
      </c>
      <c r="AD584" t="s">
        <v>421</v>
      </c>
    </row>
    <row r="585" spans="1:30" x14ac:dyDescent="0.2">
      <c r="A585" s="3">
        <v>42543</v>
      </c>
      <c r="B585" t="s">
        <v>23</v>
      </c>
      <c r="C585">
        <v>111</v>
      </c>
      <c r="D585">
        <v>3</v>
      </c>
      <c r="E585">
        <v>1</v>
      </c>
      <c r="F585" t="s">
        <v>24</v>
      </c>
      <c r="G585" t="s">
        <v>25</v>
      </c>
      <c r="H585" t="s">
        <v>26</v>
      </c>
      <c r="I585" t="s">
        <v>27</v>
      </c>
      <c r="J585" t="s">
        <v>34</v>
      </c>
      <c r="K585" t="s">
        <v>29</v>
      </c>
      <c r="L585" t="s">
        <v>35</v>
      </c>
      <c r="M585">
        <v>0</v>
      </c>
      <c r="N585">
        <v>1</v>
      </c>
      <c r="O585" s="17">
        <v>50602</v>
      </c>
      <c r="P585" s="17">
        <v>50601</v>
      </c>
      <c r="Q585">
        <f>35.5-13</f>
        <v>22.5</v>
      </c>
      <c r="R585" t="s">
        <v>39</v>
      </c>
      <c r="S585" t="s">
        <v>32</v>
      </c>
      <c r="T585">
        <v>18</v>
      </c>
      <c r="U585">
        <v>90</v>
      </c>
      <c r="V585">
        <v>13</v>
      </c>
      <c r="W585">
        <v>12.7</v>
      </c>
      <c r="X585">
        <v>27.5</v>
      </c>
      <c r="Z585" t="s">
        <v>32</v>
      </c>
      <c r="AB585" t="s">
        <v>53</v>
      </c>
      <c r="AC585" t="s">
        <v>59</v>
      </c>
    </row>
    <row r="586" spans="1:30" x14ac:dyDescent="0.2">
      <c r="A586" s="3">
        <v>42557</v>
      </c>
      <c r="B586" t="s">
        <v>23</v>
      </c>
      <c r="C586">
        <v>111</v>
      </c>
      <c r="D586">
        <v>3</v>
      </c>
      <c r="E586">
        <v>1</v>
      </c>
      <c r="F586" t="s">
        <v>33</v>
      </c>
      <c r="G586" t="s">
        <v>25</v>
      </c>
      <c r="H586" t="s">
        <v>26</v>
      </c>
      <c r="I586" t="s">
        <v>27</v>
      </c>
      <c r="J586" t="s">
        <v>28</v>
      </c>
      <c r="K586" t="s">
        <v>29</v>
      </c>
      <c r="L586" t="s">
        <v>35</v>
      </c>
      <c r="M586">
        <v>0</v>
      </c>
      <c r="N586">
        <v>0</v>
      </c>
      <c r="O586" s="17">
        <v>50602</v>
      </c>
      <c r="P586" s="17">
        <v>50601</v>
      </c>
      <c r="Q586">
        <v>23</v>
      </c>
      <c r="R586" t="s">
        <v>39</v>
      </c>
      <c r="T586">
        <v>19</v>
      </c>
      <c r="U586">
        <v>79</v>
      </c>
      <c r="V586">
        <v>15</v>
      </c>
      <c r="W586">
        <v>12.8</v>
      </c>
      <c r="X586">
        <v>26.2</v>
      </c>
      <c r="Z586" t="s">
        <v>32</v>
      </c>
      <c r="AB586" t="s">
        <v>44</v>
      </c>
      <c r="AC586" t="s">
        <v>122</v>
      </c>
    </row>
    <row r="587" spans="1:30" x14ac:dyDescent="0.2">
      <c r="A587" s="3">
        <v>42558</v>
      </c>
      <c r="B587" t="s">
        <v>23</v>
      </c>
      <c r="C587">
        <v>111</v>
      </c>
      <c r="D587">
        <v>2</v>
      </c>
      <c r="E587">
        <v>1</v>
      </c>
      <c r="F587" t="s">
        <v>33</v>
      </c>
      <c r="G587" t="s">
        <v>25</v>
      </c>
      <c r="H587" t="s">
        <v>26</v>
      </c>
      <c r="I587" t="s">
        <v>27</v>
      </c>
      <c r="J587" t="s">
        <v>28</v>
      </c>
      <c r="K587" t="s">
        <v>29</v>
      </c>
      <c r="L587" t="s">
        <v>35</v>
      </c>
      <c r="M587">
        <v>0</v>
      </c>
      <c r="N587">
        <v>0</v>
      </c>
      <c r="O587" s="17">
        <v>50602</v>
      </c>
      <c r="P587" s="17">
        <v>50601</v>
      </c>
      <c r="Q587">
        <f>30-9</f>
        <v>21</v>
      </c>
      <c r="R587" t="s">
        <v>39</v>
      </c>
      <c r="T587">
        <v>19</v>
      </c>
      <c r="U587">
        <v>83</v>
      </c>
      <c r="V587">
        <v>16</v>
      </c>
      <c r="W587">
        <v>12.9</v>
      </c>
      <c r="X587">
        <v>28.7</v>
      </c>
      <c r="Z587" t="s">
        <v>32</v>
      </c>
      <c r="AB587" t="s">
        <v>149</v>
      </c>
      <c r="AC587" t="s">
        <v>254</v>
      </c>
    </row>
    <row r="588" spans="1:30" x14ac:dyDescent="0.2">
      <c r="A588" s="3">
        <v>42570</v>
      </c>
      <c r="B588" t="s">
        <v>23</v>
      </c>
      <c r="C588">
        <v>111</v>
      </c>
      <c r="D588">
        <v>2</v>
      </c>
      <c r="E588">
        <v>2</v>
      </c>
      <c r="F588" t="s">
        <v>24</v>
      </c>
      <c r="G588" t="s">
        <v>25</v>
      </c>
      <c r="H588" t="s">
        <v>26</v>
      </c>
      <c r="I588" t="s">
        <v>27</v>
      </c>
      <c r="J588" t="s">
        <v>28</v>
      </c>
      <c r="K588" t="s">
        <v>29</v>
      </c>
      <c r="L588" t="s">
        <v>35</v>
      </c>
      <c r="M588">
        <v>0</v>
      </c>
      <c r="N588">
        <v>0</v>
      </c>
      <c r="O588" s="17">
        <v>50602</v>
      </c>
      <c r="P588" s="17">
        <v>50601</v>
      </c>
      <c r="Q588">
        <v>22</v>
      </c>
      <c r="R588" t="s">
        <v>39</v>
      </c>
      <c r="T588">
        <v>18</v>
      </c>
      <c r="U588">
        <v>90.5</v>
      </c>
      <c r="V588">
        <v>16</v>
      </c>
      <c r="W588">
        <v>13.3</v>
      </c>
      <c r="X588">
        <v>27.4</v>
      </c>
      <c r="Z588" t="s">
        <v>32</v>
      </c>
      <c r="AB588" t="s">
        <v>580</v>
      </c>
      <c r="AC588" t="s">
        <v>59</v>
      </c>
    </row>
    <row r="589" spans="1:30" x14ac:dyDescent="0.2">
      <c r="A589" s="3">
        <v>42571</v>
      </c>
      <c r="B589" t="s">
        <v>23</v>
      </c>
      <c r="C589">
        <v>111</v>
      </c>
      <c r="D589">
        <v>3</v>
      </c>
      <c r="E589">
        <v>2</v>
      </c>
      <c r="F589" t="s">
        <v>24</v>
      </c>
      <c r="G589" t="s">
        <v>25</v>
      </c>
      <c r="H589" t="s">
        <v>26</v>
      </c>
      <c r="I589" t="s">
        <v>27</v>
      </c>
      <c r="J589" t="s">
        <v>28</v>
      </c>
      <c r="K589" t="s">
        <v>29</v>
      </c>
      <c r="L589" t="s">
        <v>35</v>
      </c>
      <c r="M589">
        <v>0</v>
      </c>
      <c r="N589">
        <v>0</v>
      </c>
      <c r="O589" s="17">
        <v>50602</v>
      </c>
      <c r="P589" s="17">
        <v>50601</v>
      </c>
      <c r="Q589">
        <v>22</v>
      </c>
      <c r="R589" t="s">
        <v>39</v>
      </c>
      <c r="T589">
        <v>18</v>
      </c>
      <c r="U589">
        <v>91</v>
      </c>
      <c r="V589">
        <v>17</v>
      </c>
      <c r="W589">
        <v>13.3</v>
      </c>
      <c r="X589">
        <v>27.5</v>
      </c>
      <c r="Z589" t="s">
        <v>32</v>
      </c>
      <c r="AB589" t="s">
        <v>44</v>
      </c>
      <c r="AC589" t="s">
        <v>59</v>
      </c>
    </row>
    <row r="590" spans="1:30" x14ac:dyDescent="0.2">
      <c r="A590" s="3">
        <v>42572</v>
      </c>
      <c r="B590" t="s">
        <v>23</v>
      </c>
      <c r="C590">
        <v>111</v>
      </c>
      <c r="D590">
        <v>6</v>
      </c>
      <c r="E590">
        <v>1</v>
      </c>
      <c r="F590" t="s">
        <v>24</v>
      </c>
      <c r="G590" t="s">
        <v>25</v>
      </c>
      <c r="H590" t="s">
        <v>26</v>
      </c>
      <c r="I590" t="s">
        <v>27</v>
      </c>
      <c r="J590" t="s">
        <v>28</v>
      </c>
      <c r="K590" t="s">
        <v>29</v>
      </c>
      <c r="L590" t="s">
        <v>35</v>
      </c>
      <c r="M590">
        <v>0</v>
      </c>
      <c r="N590">
        <v>0</v>
      </c>
      <c r="O590" s="17">
        <v>50602</v>
      </c>
      <c r="P590" s="17">
        <v>50601</v>
      </c>
      <c r="Q590">
        <v>22</v>
      </c>
      <c r="R590" t="s">
        <v>39</v>
      </c>
      <c r="T590">
        <v>18</v>
      </c>
      <c r="U590">
        <v>91</v>
      </c>
      <c r="V590">
        <v>17</v>
      </c>
      <c r="W590">
        <v>12.6</v>
      </c>
      <c r="X590">
        <v>25.3</v>
      </c>
      <c r="Z590" t="s">
        <v>32</v>
      </c>
      <c r="AB590" t="s">
        <v>121</v>
      </c>
      <c r="AC590" t="s">
        <v>122</v>
      </c>
    </row>
    <row r="591" spans="1:30" x14ac:dyDescent="0.2">
      <c r="A591" s="3">
        <v>42584</v>
      </c>
      <c r="B591" t="s">
        <v>23</v>
      </c>
      <c r="C591">
        <v>111</v>
      </c>
      <c r="D591">
        <v>3</v>
      </c>
      <c r="E591">
        <v>2</v>
      </c>
      <c r="F591" t="s">
        <v>33</v>
      </c>
      <c r="G591" t="s">
        <v>25</v>
      </c>
      <c r="H591" t="s">
        <v>26</v>
      </c>
      <c r="I591" t="s">
        <v>27</v>
      </c>
      <c r="J591" t="s">
        <v>28</v>
      </c>
      <c r="K591" t="s">
        <v>29</v>
      </c>
      <c r="L591" t="s">
        <v>35</v>
      </c>
      <c r="M591">
        <v>0</v>
      </c>
      <c r="N591">
        <v>0</v>
      </c>
      <c r="O591" s="17">
        <v>50602</v>
      </c>
      <c r="P591" s="17">
        <v>50601</v>
      </c>
      <c r="Q591">
        <f>31.5-10.5</f>
        <v>21</v>
      </c>
      <c r="R591" t="s">
        <v>39</v>
      </c>
      <c r="T591">
        <v>18.5</v>
      </c>
      <c r="U591">
        <v>93</v>
      </c>
      <c r="V591">
        <v>16</v>
      </c>
      <c r="W591">
        <v>12.9</v>
      </c>
      <c r="X591">
        <v>27.5</v>
      </c>
      <c r="Z591" t="s">
        <v>145</v>
      </c>
      <c r="AA591" t="s">
        <v>260</v>
      </c>
      <c r="AB591" t="s">
        <v>121</v>
      </c>
      <c r="AC591" t="s">
        <v>59</v>
      </c>
      <c r="AD591" t="s">
        <v>826</v>
      </c>
    </row>
    <row r="592" spans="1:30" x14ac:dyDescent="0.2">
      <c r="A592" s="3">
        <v>42549</v>
      </c>
      <c r="B592" t="s">
        <v>23</v>
      </c>
      <c r="C592">
        <v>703</v>
      </c>
      <c r="D592">
        <v>9</v>
      </c>
      <c r="E592">
        <v>2</v>
      </c>
      <c r="F592" t="s">
        <v>24</v>
      </c>
      <c r="G592" t="s">
        <v>25</v>
      </c>
      <c r="H592" t="s">
        <v>26</v>
      </c>
      <c r="I592" t="s">
        <v>27</v>
      </c>
      <c r="J592" t="s">
        <v>34</v>
      </c>
      <c r="K592" t="s">
        <v>123</v>
      </c>
      <c r="L592" t="s">
        <v>30</v>
      </c>
      <c r="M592">
        <v>0</v>
      </c>
      <c r="N592">
        <v>1</v>
      </c>
      <c r="O592" s="17">
        <v>50610</v>
      </c>
      <c r="P592" s="17">
        <v>50609</v>
      </c>
      <c r="Q592">
        <f>23-12</f>
        <v>11</v>
      </c>
      <c r="R592" t="s">
        <v>31</v>
      </c>
      <c r="S592" t="s">
        <v>32</v>
      </c>
      <c r="T592">
        <v>17.5</v>
      </c>
      <c r="U592">
        <v>68</v>
      </c>
      <c r="V592">
        <v>14</v>
      </c>
      <c r="W592">
        <v>11.7</v>
      </c>
      <c r="X592">
        <v>25.5</v>
      </c>
      <c r="Z592" t="s">
        <v>32</v>
      </c>
      <c r="AB592" t="s">
        <v>121</v>
      </c>
      <c r="AC592" t="s">
        <v>122</v>
      </c>
    </row>
    <row r="593" spans="1:30" x14ac:dyDescent="0.2">
      <c r="A593" s="3">
        <v>42551</v>
      </c>
      <c r="B593" t="s">
        <v>23</v>
      </c>
      <c r="C593">
        <v>701</v>
      </c>
      <c r="D593">
        <v>10</v>
      </c>
      <c r="E593">
        <v>2</v>
      </c>
      <c r="F593" t="s">
        <v>24</v>
      </c>
      <c r="G593" t="s">
        <v>25</v>
      </c>
      <c r="H593" t="s">
        <v>26</v>
      </c>
      <c r="I593" t="s">
        <v>27</v>
      </c>
      <c r="J593" t="s">
        <v>28</v>
      </c>
      <c r="K593" t="s">
        <v>123</v>
      </c>
      <c r="L593" t="s">
        <v>30</v>
      </c>
      <c r="M593">
        <v>0</v>
      </c>
      <c r="N593">
        <v>0</v>
      </c>
      <c r="O593" s="17">
        <v>50610</v>
      </c>
      <c r="P593" s="17">
        <v>50609</v>
      </c>
      <c r="Q593">
        <f>26.5-14</f>
        <v>12.5</v>
      </c>
      <c r="R593" t="s">
        <v>31</v>
      </c>
      <c r="S593" t="s">
        <v>32</v>
      </c>
      <c r="T593">
        <v>18</v>
      </c>
      <c r="U593">
        <v>65</v>
      </c>
      <c r="V593">
        <v>15</v>
      </c>
      <c r="W593">
        <v>12.2</v>
      </c>
      <c r="X593">
        <v>25.9</v>
      </c>
      <c r="Z593" t="s">
        <v>32</v>
      </c>
      <c r="AB593" t="s">
        <v>44</v>
      </c>
      <c r="AC593" t="s">
        <v>116</v>
      </c>
    </row>
    <row r="594" spans="1:30" x14ac:dyDescent="0.2">
      <c r="A594" s="3">
        <v>42563</v>
      </c>
      <c r="B594" t="s">
        <v>23</v>
      </c>
      <c r="C594">
        <v>701</v>
      </c>
      <c r="D594">
        <v>9</v>
      </c>
      <c r="E594">
        <v>1</v>
      </c>
      <c r="F594" t="s">
        <v>33</v>
      </c>
      <c r="G594" t="s">
        <v>25</v>
      </c>
      <c r="H594" t="s">
        <v>26</v>
      </c>
      <c r="I594" t="s">
        <v>27</v>
      </c>
      <c r="J594" t="s">
        <v>28</v>
      </c>
      <c r="K594" t="s">
        <v>123</v>
      </c>
      <c r="L594" t="s">
        <v>30</v>
      </c>
      <c r="M594">
        <v>0</v>
      </c>
      <c r="N594">
        <v>0</v>
      </c>
      <c r="O594" s="17">
        <v>50610</v>
      </c>
      <c r="P594" s="17">
        <v>50609</v>
      </c>
      <c r="Q594">
        <f>22-9</f>
        <v>13</v>
      </c>
      <c r="R594" t="s">
        <v>31</v>
      </c>
      <c r="S594" t="s">
        <v>32</v>
      </c>
      <c r="T594">
        <v>19</v>
      </c>
      <c r="U594">
        <v>64</v>
      </c>
      <c r="V594">
        <v>13</v>
      </c>
      <c r="W594">
        <v>12.7</v>
      </c>
      <c r="X594">
        <v>26.6</v>
      </c>
      <c r="Z594" t="s">
        <v>32</v>
      </c>
      <c r="AB594" t="s">
        <v>53</v>
      </c>
      <c r="AC594" t="s">
        <v>122</v>
      </c>
    </row>
    <row r="595" spans="1:30" x14ac:dyDescent="0.2">
      <c r="A595" s="3">
        <v>42564</v>
      </c>
      <c r="B595" t="s">
        <v>23</v>
      </c>
      <c r="C595">
        <v>703</v>
      </c>
      <c r="D595">
        <v>9</v>
      </c>
      <c r="E595">
        <v>2</v>
      </c>
      <c r="F595" t="s">
        <v>33</v>
      </c>
      <c r="G595" t="s">
        <v>25</v>
      </c>
      <c r="H595" t="s">
        <v>26</v>
      </c>
      <c r="I595" t="s">
        <v>27</v>
      </c>
      <c r="J595" t="s">
        <v>28</v>
      </c>
      <c r="K595" t="s">
        <v>123</v>
      </c>
      <c r="L595" t="s">
        <v>30</v>
      </c>
      <c r="M595">
        <v>0</v>
      </c>
      <c r="N595">
        <v>0</v>
      </c>
      <c r="O595" s="17">
        <v>50610</v>
      </c>
      <c r="P595" s="17">
        <v>50609</v>
      </c>
      <c r="Q595">
        <v>12.5</v>
      </c>
      <c r="R595" t="s">
        <v>31</v>
      </c>
      <c r="S595" t="s">
        <v>32</v>
      </c>
      <c r="T595">
        <v>19</v>
      </c>
      <c r="U595">
        <v>65</v>
      </c>
      <c r="V595">
        <v>13</v>
      </c>
      <c r="W595">
        <v>12.8</v>
      </c>
      <c r="X595">
        <v>27.4</v>
      </c>
      <c r="Z595" t="s">
        <v>32</v>
      </c>
      <c r="AB595" t="s">
        <v>121</v>
      </c>
      <c r="AC595" t="s">
        <v>122</v>
      </c>
    </row>
    <row r="596" spans="1:30" x14ac:dyDescent="0.2">
      <c r="A596" s="3">
        <v>42565</v>
      </c>
      <c r="B596" t="s">
        <v>23</v>
      </c>
      <c r="C596">
        <v>701</v>
      </c>
      <c r="D596">
        <v>9</v>
      </c>
      <c r="E596">
        <v>1</v>
      </c>
      <c r="F596" t="s">
        <v>33</v>
      </c>
      <c r="G596" t="s">
        <v>25</v>
      </c>
      <c r="H596" t="s">
        <v>26</v>
      </c>
      <c r="I596" t="s">
        <v>27</v>
      </c>
      <c r="J596" t="s">
        <v>28</v>
      </c>
      <c r="K596" t="s">
        <v>123</v>
      </c>
      <c r="L596" t="s">
        <v>30</v>
      </c>
      <c r="M596">
        <v>0</v>
      </c>
      <c r="N596">
        <v>0</v>
      </c>
      <c r="O596" s="17">
        <v>50610</v>
      </c>
      <c r="P596" s="17">
        <v>50609</v>
      </c>
      <c r="Q596">
        <v>13</v>
      </c>
      <c r="R596" t="s">
        <v>31</v>
      </c>
      <c r="S596" t="s">
        <v>32</v>
      </c>
      <c r="T596">
        <v>18</v>
      </c>
      <c r="U596">
        <v>65</v>
      </c>
      <c r="V596">
        <v>13</v>
      </c>
      <c r="W596">
        <v>12.9</v>
      </c>
      <c r="X596">
        <v>26.8</v>
      </c>
      <c r="Z596" t="s">
        <v>32</v>
      </c>
      <c r="AB596" t="s">
        <v>121</v>
      </c>
      <c r="AC596" t="s">
        <v>254</v>
      </c>
    </row>
    <row r="597" spans="1:30" x14ac:dyDescent="0.2">
      <c r="A597" s="3">
        <v>42574</v>
      </c>
      <c r="B597" t="s">
        <v>23</v>
      </c>
      <c r="C597">
        <v>701</v>
      </c>
      <c r="D597">
        <v>9</v>
      </c>
      <c r="E597">
        <v>2</v>
      </c>
      <c r="F597" t="s">
        <v>24</v>
      </c>
      <c r="G597" t="s">
        <v>25</v>
      </c>
      <c r="H597" t="s">
        <v>26</v>
      </c>
      <c r="I597" t="s">
        <v>27</v>
      </c>
      <c r="J597" t="s">
        <v>28</v>
      </c>
      <c r="K597" t="s">
        <v>123</v>
      </c>
      <c r="L597" t="s">
        <v>30</v>
      </c>
      <c r="M597">
        <v>0</v>
      </c>
      <c r="N597">
        <v>0</v>
      </c>
      <c r="O597" s="17">
        <v>50610</v>
      </c>
      <c r="P597" s="17">
        <v>50609</v>
      </c>
      <c r="Q597">
        <f>28-13.5</f>
        <v>14.5</v>
      </c>
      <c r="R597" t="s">
        <v>31</v>
      </c>
      <c r="S597" t="s">
        <v>32</v>
      </c>
      <c r="T597">
        <v>17</v>
      </c>
      <c r="U597">
        <v>69</v>
      </c>
      <c r="V597">
        <v>17</v>
      </c>
      <c r="W597">
        <v>12.6</v>
      </c>
      <c r="X597">
        <v>24.9</v>
      </c>
      <c r="Z597" t="s">
        <v>32</v>
      </c>
      <c r="AB597" t="s">
        <v>582</v>
      </c>
      <c r="AC597" t="s">
        <v>59</v>
      </c>
    </row>
    <row r="598" spans="1:30" x14ac:dyDescent="0.2">
      <c r="A598" s="3">
        <v>42575</v>
      </c>
      <c r="B598" t="s">
        <v>23</v>
      </c>
      <c r="C598">
        <v>701</v>
      </c>
      <c r="D598">
        <v>9</v>
      </c>
      <c r="E598">
        <v>2</v>
      </c>
      <c r="F598" t="s">
        <v>24</v>
      </c>
      <c r="G598" t="s">
        <v>25</v>
      </c>
      <c r="H598" t="s">
        <v>26</v>
      </c>
      <c r="I598" t="s">
        <v>27</v>
      </c>
      <c r="J598" t="s">
        <v>28</v>
      </c>
      <c r="K598" t="s">
        <v>123</v>
      </c>
      <c r="L598" t="s">
        <v>30</v>
      </c>
      <c r="M598">
        <v>0</v>
      </c>
      <c r="N598">
        <v>0</v>
      </c>
      <c r="O598" s="17">
        <v>50610</v>
      </c>
      <c r="P598" s="17">
        <v>50609</v>
      </c>
      <c r="Q598">
        <v>13.5</v>
      </c>
      <c r="R598" t="s">
        <v>31</v>
      </c>
      <c r="S598" t="s">
        <v>32</v>
      </c>
      <c r="T598">
        <v>18</v>
      </c>
      <c r="U598">
        <v>70</v>
      </c>
      <c r="V598">
        <v>16</v>
      </c>
      <c r="W598">
        <v>12.5</v>
      </c>
      <c r="X598">
        <v>25</v>
      </c>
      <c r="Z598" t="s">
        <v>32</v>
      </c>
      <c r="AB598" t="s">
        <v>582</v>
      </c>
      <c r="AC598" t="s">
        <v>59</v>
      </c>
    </row>
    <row r="599" spans="1:30" x14ac:dyDescent="0.2">
      <c r="A599" s="3">
        <v>42576</v>
      </c>
      <c r="B599" t="s">
        <v>23</v>
      </c>
      <c r="C599">
        <v>701</v>
      </c>
      <c r="D599">
        <v>10</v>
      </c>
      <c r="E599">
        <v>1</v>
      </c>
      <c r="F599" t="s">
        <v>24</v>
      </c>
      <c r="G599" t="s">
        <v>25</v>
      </c>
      <c r="H599" t="s">
        <v>26</v>
      </c>
      <c r="I599" t="s">
        <v>27</v>
      </c>
      <c r="J599" t="s">
        <v>28</v>
      </c>
      <c r="K599" t="s">
        <v>123</v>
      </c>
      <c r="L599" t="s">
        <v>30</v>
      </c>
      <c r="M599">
        <v>0</v>
      </c>
      <c r="N599">
        <v>0</v>
      </c>
      <c r="O599" s="17">
        <v>50610</v>
      </c>
      <c r="P599" s="17">
        <v>50609</v>
      </c>
      <c r="Q599">
        <f>24-10.5</f>
        <v>13.5</v>
      </c>
      <c r="R599" t="s">
        <v>31</v>
      </c>
      <c r="S599" t="s">
        <v>32</v>
      </c>
      <c r="T599">
        <v>18</v>
      </c>
      <c r="U599">
        <v>79.5</v>
      </c>
      <c r="V599">
        <v>21</v>
      </c>
      <c r="W599">
        <v>12.5</v>
      </c>
      <c r="X599">
        <v>25</v>
      </c>
      <c r="Z599" t="s">
        <v>32</v>
      </c>
      <c r="AB599" t="s">
        <v>121</v>
      </c>
      <c r="AC599" t="s">
        <v>122</v>
      </c>
    </row>
    <row r="600" spans="1:30" x14ac:dyDescent="0.2">
      <c r="A600" s="3">
        <v>42591</v>
      </c>
      <c r="B600" t="s">
        <v>23</v>
      </c>
      <c r="C600">
        <v>703</v>
      </c>
      <c r="D600">
        <v>3</v>
      </c>
      <c r="E600">
        <v>2</v>
      </c>
      <c r="F600" t="s">
        <v>64</v>
      </c>
      <c r="G600" t="s">
        <v>25</v>
      </c>
      <c r="H600" t="s">
        <v>26</v>
      </c>
      <c r="I600" t="s">
        <v>27</v>
      </c>
      <c r="J600" t="s">
        <v>28</v>
      </c>
      <c r="K600" t="s">
        <v>123</v>
      </c>
      <c r="L600" t="s">
        <v>30</v>
      </c>
      <c r="M600">
        <v>0</v>
      </c>
      <c r="N600">
        <v>0</v>
      </c>
      <c r="O600" s="17" t="s">
        <v>1341</v>
      </c>
      <c r="P600" s="17" t="s">
        <v>1342</v>
      </c>
      <c r="Q600">
        <f>31-16</f>
        <v>15</v>
      </c>
      <c r="R600" t="s">
        <v>31</v>
      </c>
      <c r="S600" t="s">
        <v>32</v>
      </c>
      <c r="T600">
        <v>18</v>
      </c>
      <c r="U600">
        <v>71</v>
      </c>
      <c r="V600">
        <v>15</v>
      </c>
      <c r="W600">
        <v>13</v>
      </c>
      <c r="X600">
        <v>27.5</v>
      </c>
      <c r="Z600" t="s">
        <v>145</v>
      </c>
      <c r="AA600" t="s">
        <v>260</v>
      </c>
      <c r="AB600" t="s">
        <v>44</v>
      </c>
      <c r="AC600" t="s">
        <v>59</v>
      </c>
    </row>
    <row r="601" spans="1:30" x14ac:dyDescent="0.2">
      <c r="A601" s="3">
        <v>42592</v>
      </c>
      <c r="B601" t="s">
        <v>23</v>
      </c>
      <c r="C601">
        <v>701</v>
      </c>
      <c r="D601">
        <v>9</v>
      </c>
      <c r="E601">
        <v>2</v>
      </c>
      <c r="F601" t="s">
        <v>64</v>
      </c>
      <c r="G601" t="s">
        <v>25</v>
      </c>
      <c r="H601" t="s">
        <v>26</v>
      </c>
      <c r="I601" t="s">
        <v>27</v>
      </c>
      <c r="J601" t="s">
        <v>28</v>
      </c>
      <c r="K601" t="s">
        <v>123</v>
      </c>
      <c r="L601" t="s">
        <v>30</v>
      </c>
      <c r="M601">
        <v>0</v>
      </c>
      <c r="N601">
        <v>0</v>
      </c>
      <c r="O601" s="17" t="s">
        <v>1341</v>
      </c>
      <c r="P601" s="17" t="s">
        <v>1342</v>
      </c>
      <c r="Q601">
        <f>29-14</f>
        <v>15</v>
      </c>
      <c r="R601" t="s">
        <v>31</v>
      </c>
      <c r="S601" t="s">
        <v>32</v>
      </c>
      <c r="T601">
        <v>19</v>
      </c>
      <c r="U601">
        <v>70</v>
      </c>
      <c r="V601">
        <v>16</v>
      </c>
      <c r="W601">
        <v>12.9</v>
      </c>
      <c r="X601">
        <v>25.9</v>
      </c>
      <c r="Z601" t="s">
        <v>145</v>
      </c>
      <c r="AB601" t="s">
        <v>53</v>
      </c>
      <c r="AC601" t="s">
        <v>59</v>
      </c>
      <c r="AD601" t="s">
        <v>1068</v>
      </c>
    </row>
    <row r="602" spans="1:30" x14ac:dyDescent="0.2">
      <c r="A602" s="3">
        <v>42593</v>
      </c>
      <c r="B602" t="s">
        <v>23</v>
      </c>
      <c r="C602">
        <v>701</v>
      </c>
      <c r="D602">
        <v>10</v>
      </c>
      <c r="E602">
        <v>1</v>
      </c>
      <c r="F602" t="s">
        <v>64</v>
      </c>
      <c r="G602" t="s">
        <v>25</v>
      </c>
      <c r="H602" t="s">
        <v>26</v>
      </c>
      <c r="I602" t="s">
        <v>27</v>
      </c>
      <c r="J602" t="s">
        <v>28</v>
      </c>
      <c r="K602" t="s">
        <v>123</v>
      </c>
      <c r="L602" t="s">
        <v>30</v>
      </c>
      <c r="M602">
        <v>0</v>
      </c>
      <c r="N602">
        <v>0</v>
      </c>
      <c r="O602" s="17" t="s">
        <v>1341</v>
      </c>
      <c r="P602" s="17" t="s">
        <v>1342</v>
      </c>
      <c r="Q602">
        <f>32-17</f>
        <v>15</v>
      </c>
      <c r="R602" t="s">
        <v>31</v>
      </c>
      <c r="S602" t="s">
        <v>32</v>
      </c>
      <c r="T602">
        <v>17</v>
      </c>
      <c r="U602">
        <v>70</v>
      </c>
      <c r="V602">
        <v>14</v>
      </c>
      <c r="W602">
        <v>12.7</v>
      </c>
      <c r="X602">
        <v>26.6</v>
      </c>
      <c r="Y602" t="s">
        <v>1386</v>
      </c>
      <c r="Z602" t="s">
        <v>145</v>
      </c>
      <c r="AA602" t="s">
        <v>260</v>
      </c>
      <c r="AB602" t="s">
        <v>44</v>
      </c>
      <c r="AC602" t="s">
        <v>122</v>
      </c>
      <c r="AD602" t="s">
        <v>1498</v>
      </c>
    </row>
    <row r="603" spans="1:30" x14ac:dyDescent="0.2">
      <c r="A603" s="3">
        <v>42549</v>
      </c>
      <c r="B603" t="s">
        <v>23</v>
      </c>
      <c r="C603">
        <v>703</v>
      </c>
      <c r="D603">
        <v>10</v>
      </c>
      <c r="E603">
        <v>2</v>
      </c>
      <c r="F603" t="s">
        <v>24</v>
      </c>
      <c r="G603" t="s">
        <v>25</v>
      </c>
      <c r="H603" t="s">
        <v>26</v>
      </c>
      <c r="I603" t="s">
        <v>27</v>
      </c>
      <c r="J603" t="s">
        <v>34</v>
      </c>
      <c r="K603" t="s">
        <v>123</v>
      </c>
      <c r="L603" t="s">
        <v>30</v>
      </c>
      <c r="M603">
        <v>0</v>
      </c>
      <c r="N603">
        <v>1</v>
      </c>
      <c r="O603" s="17">
        <v>50612</v>
      </c>
      <c r="P603" s="17">
        <v>50611</v>
      </c>
      <c r="Q603">
        <f>22.5-12</f>
        <v>10.5</v>
      </c>
      <c r="R603" t="s">
        <v>31</v>
      </c>
      <c r="S603" t="s">
        <v>32</v>
      </c>
      <c r="T603">
        <v>19</v>
      </c>
      <c r="U603">
        <v>71</v>
      </c>
      <c r="V603">
        <v>13</v>
      </c>
      <c r="W603">
        <v>11.75</v>
      </c>
      <c r="X603">
        <v>24.2</v>
      </c>
      <c r="Z603" t="s">
        <v>32</v>
      </c>
      <c r="AB603" t="s">
        <v>121</v>
      </c>
      <c r="AC603" t="s">
        <v>122</v>
      </c>
    </row>
    <row r="604" spans="1:30" x14ac:dyDescent="0.2">
      <c r="A604" s="3">
        <v>42550</v>
      </c>
      <c r="B604" t="s">
        <v>23</v>
      </c>
      <c r="C604">
        <v>703</v>
      </c>
      <c r="D604">
        <v>10</v>
      </c>
      <c r="E604">
        <v>2</v>
      </c>
      <c r="F604" t="s">
        <v>24</v>
      </c>
      <c r="G604" t="s">
        <v>25</v>
      </c>
      <c r="H604" t="s">
        <v>26</v>
      </c>
      <c r="I604" t="s">
        <v>27</v>
      </c>
      <c r="J604" t="s">
        <v>28</v>
      </c>
      <c r="K604" t="s">
        <v>123</v>
      </c>
      <c r="L604" t="s">
        <v>30</v>
      </c>
      <c r="M604">
        <v>0</v>
      </c>
      <c r="N604">
        <v>0</v>
      </c>
      <c r="O604" s="17">
        <v>50612</v>
      </c>
      <c r="P604" s="17">
        <v>50611</v>
      </c>
      <c r="Q604">
        <f>23.5-12</f>
        <v>11.5</v>
      </c>
      <c r="R604" t="s">
        <v>31</v>
      </c>
      <c r="S604" t="s">
        <v>32</v>
      </c>
      <c r="T604">
        <v>18</v>
      </c>
      <c r="U604">
        <v>72</v>
      </c>
      <c r="V604">
        <v>13.5</v>
      </c>
      <c r="W604">
        <v>11.5</v>
      </c>
      <c r="X604">
        <v>24.1</v>
      </c>
      <c r="Z604" t="s">
        <v>32</v>
      </c>
      <c r="AB604" t="s">
        <v>53</v>
      </c>
      <c r="AC604" t="s">
        <v>59</v>
      </c>
    </row>
    <row r="605" spans="1:30" x14ac:dyDescent="0.2">
      <c r="A605" s="3">
        <v>42551</v>
      </c>
      <c r="B605" t="s">
        <v>23</v>
      </c>
      <c r="C605">
        <v>703</v>
      </c>
      <c r="D605">
        <v>10</v>
      </c>
      <c r="E605">
        <v>1</v>
      </c>
      <c r="F605" t="s">
        <v>24</v>
      </c>
      <c r="G605" t="s">
        <v>25</v>
      </c>
      <c r="H605" t="s">
        <v>26</v>
      </c>
      <c r="I605" t="s">
        <v>27</v>
      </c>
      <c r="J605" t="s">
        <v>28</v>
      </c>
      <c r="K605" t="s">
        <v>123</v>
      </c>
      <c r="L605" t="s">
        <v>30</v>
      </c>
      <c r="M605">
        <v>0</v>
      </c>
      <c r="N605">
        <v>0</v>
      </c>
      <c r="O605" s="17">
        <v>50612</v>
      </c>
      <c r="P605" s="17">
        <v>50611</v>
      </c>
      <c r="Q605">
        <f>23-12</f>
        <v>11</v>
      </c>
      <c r="R605" t="s">
        <v>31</v>
      </c>
      <c r="S605" t="s">
        <v>32</v>
      </c>
      <c r="T605">
        <v>18</v>
      </c>
      <c r="U605">
        <v>72.5</v>
      </c>
      <c r="V605">
        <v>13</v>
      </c>
      <c r="W605">
        <v>11.5</v>
      </c>
      <c r="X605">
        <v>24.5</v>
      </c>
      <c r="Z605" t="s">
        <v>32</v>
      </c>
      <c r="AB605" t="s">
        <v>60</v>
      </c>
      <c r="AC605" t="s">
        <v>116</v>
      </c>
    </row>
    <row r="606" spans="1:30" x14ac:dyDescent="0.2">
      <c r="A606" s="3">
        <v>42564</v>
      </c>
      <c r="B606" t="s">
        <v>23</v>
      </c>
      <c r="C606">
        <v>703</v>
      </c>
      <c r="D606">
        <v>10</v>
      </c>
      <c r="E606">
        <v>2</v>
      </c>
      <c r="F606" t="s">
        <v>33</v>
      </c>
      <c r="G606" t="s">
        <v>25</v>
      </c>
      <c r="H606" t="s">
        <v>26</v>
      </c>
      <c r="I606" t="s">
        <v>27</v>
      </c>
      <c r="J606" t="s">
        <v>28</v>
      </c>
      <c r="K606" t="s">
        <v>123</v>
      </c>
      <c r="L606" t="s">
        <v>30</v>
      </c>
      <c r="M606">
        <v>0</v>
      </c>
      <c r="N606">
        <v>0</v>
      </c>
      <c r="O606" s="17">
        <v>50612</v>
      </c>
      <c r="P606" s="17">
        <v>50611</v>
      </c>
      <c r="Q606">
        <f>22-10</f>
        <v>12</v>
      </c>
      <c r="R606" t="s">
        <v>31</v>
      </c>
      <c r="S606" t="s">
        <v>32</v>
      </c>
      <c r="T606">
        <v>20</v>
      </c>
      <c r="U606">
        <v>71</v>
      </c>
      <c r="V606">
        <v>13</v>
      </c>
      <c r="W606">
        <v>12.6</v>
      </c>
      <c r="X606">
        <v>25.5</v>
      </c>
      <c r="Z606" t="s">
        <v>32</v>
      </c>
      <c r="AB606" t="s">
        <v>121</v>
      </c>
      <c r="AC606" t="s">
        <v>122</v>
      </c>
    </row>
    <row r="607" spans="1:30" x14ac:dyDescent="0.2">
      <c r="A607" s="3">
        <v>42565</v>
      </c>
      <c r="B607" t="s">
        <v>23</v>
      </c>
      <c r="C607">
        <v>703</v>
      </c>
      <c r="D607">
        <v>10</v>
      </c>
      <c r="E607">
        <v>1</v>
      </c>
      <c r="F607" t="s">
        <v>33</v>
      </c>
      <c r="G607" t="s">
        <v>25</v>
      </c>
      <c r="H607" t="s">
        <v>26</v>
      </c>
      <c r="I607" t="s">
        <v>27</v>
      </c>
      <c r="J607" t="s">
        <v>28</v>
      </c>
      <c r="K607" t="s">
        <v>123</v>
      </c>
      <c r="L607" t="s">
        <v>30</v>
      </c>
      <c r="M607">
        <v>0</v>
      </c>
      <c r="N607">
        <v>0</v>
      </c>
      <c r="O607" s="17">
        <v>50612</v>
      </c>
      <c r="P607" s="17">
        <v>50611</v>
      </c>
      <c r="Q607">
        <f>21-9.5</f>
        <v>11.5</v>
      </c>
      <c r="R607" t="s">
        <v>31</v>
      </c>
      <c r="S607" t="s">
        <v>32</v>
      </c>
      <c r="T607">
        <v>21</v>
      </c>
      <c r="U607">
        <v>71</v>
      </c>
      <c r="V607">
        <v>15</v>
      </c>
      <c r="W607">
        <v>12.9</v>
      </c>
      <c r="X607">
        <v>26.4</v>
      </c>
      <c r="Z607" t="s">
        <v>32</v>
      </c>
      <c r="AB607" t="s">
        <v>121</v>
      </c>
      <c r="AC607" t="s">
        <v>254</v>
      </c>
    </row>
    <row r="608" spans="1:30" x14ac:dyDescent="0.2">
      <c r="A608" s="3">
        <v>42575</v>
      </c>
      <c r="B608" t="s">
        <v>23</v>
      </c>
      <c r="C608">
        <v>703</v>
      </c>
      <c r="D608">
        <v>9</v>
      </c>
      <c r="E608">
        <v>1</v>
      </c>
      <c r="F608" t="s">
        <v>24</v>
      </c>
      <c r="G608" t="s">
        <v>25</v>
      </c>
      <c r="H608" t="s">
        <v>26</v>
      </c>
      <c r="I608" t="s">
        <v>27</v>
      </c>
      <c r="J608" t="s">
        <v>28</v>
      </c>
      <c r="K608" t="s">
        <v>188</v>
      </c>
      <c r="L608" t="s">
        <v>30</v>
      </c>
      <c r="M608">
        <v>0</v>
      </c>
      <c r="N608">
        <v>0</v>
      </c>
      <c r="O608" s="17">
        <v>50612</v>
      </c>
      <c r="P608" s="17">
        <v>50611</v>
      </c>
      <c r="Q608">
        <f>23.5-11</f>
        <v>12.5</v>
      </c>
      <c r="R608" t="s">
        <v>31</v>
      </c>
      <c r="S608" t="s">
        <v>32</v>
      </c>
      <c r="T608">
        <v>19</v>
      </c>
      <c r="U608">
        <v>76</v>
      </c>
      <c r="V608">
        <v>14</v>
      </c>
      <c r="W608">
        <v>12.4</v>
      </c>
      <c r="X608">
        <v>24.7</v>
      </c>
      <c r="Z608" t="s">
        <v>32</v>
      </c>
      <c r="AB608" t="s">
        <v>582</v>
      </c>
      <c r="AC608" t="s">
        <v>59</v>
      </c>
    </row>
    <row r="609" spans="1:30" x14ac:dyDescent="0.2">
      <c r="A609" s="3">
        <v>42592</v>
      </c>
      <c r="B609" t="s">
        <v>23</v>
      </c>
      <c r="C609">
        <v>703</v>
      </c>
      <c r="D609">
        <v>3</v>
      </c>
      <c r="E609">
        <v>1</v>
      </c>
      <c r="F609" t="s">
        <v>64</v>
      </c>
      <c r="G609" t="s">
        <v>25</v>
      </c>
      <c r="H609" t="s">
        <v>26</v>
      </c>
      <c r="I609" t="s">
        <v>27</v>
      </c>
      <c r="J609" t="s">
        <v>28</v>
      </c>
      <c r="K609" t="s">
        <v>188</v>
      </c>
      <c r="L609" t="s">
        <v>30</v>
      </c>
      <c r="M609">
        <v>0</v>
      </c>
      <c r="N609">
        <v>0</v>
      </c>
      <c r="O609" s="17" t="s">
        <v>1390</v>
      </c>
      <c r="P609" s="17" t="s">
        <v>1391</v>
      </c>
      <c r="Q609">
        <f>33-18.5</f>
        <v>14.5</v>
      </c>
      <c r="R609" t="s">
        <v>31</v>
      </c>
      <c r="S609" t="s">
        <v>32</v>
      </c>
      <c r="T609">
        <v>18</v>
      </c>
      <c r="U609">
        <v>79</v>
      </c>
      <c r="V609">
        <v>15</v>
      </c>
      <c r="W609">
        <v>12.9</v>
      </c>
      <c r="X609">
        <v>27.5</v>
      </c>
      <c r="Z609" t="s">
        <v>145</v>
      </c>
      <c r="AA609" t="s">
        <v>260</v>
      </c>
      <c r="AB609" t="s">
        <v>53</v>
      </c>
      <c r="AC609" t="s">
        <v>59</v>
      </c>
    </row>
    <row r="610" spans="1:30" x14ac:dyDescent="0.2">
      <c r="A610" s="3">
        <v>42604</v>
      </c>
      <c r="B610" t="s">
        <v>23</v>
      </c>
      <c r="C610">
        <v>703</v>
      </c>
      <c r="D610">
        <v>10</v>
      </c>
      <c r="E610">
        <v>2</v>
      </c>
      <c r="F610" t="s">
        <v>24</v>
      </c>
      <c r="G610" t="s">
        <v>25</v>
      </c>
      <c r="H610" t="s">
        <v>26</v>
      </c>
      <c r="I610" t="s">
        <v>27</v>
      </c>
      <c r="J610" t="s">
        <v>28</v>
      </c>
      <c r="K610" t="s">
        <v>188</v>
      </c>
      <c r="L610" t="s">
        <v>30</v>
      </c>
      <c r="M610">
        <v>0</v>
      </c>
      <c r="N610">
        <v>0</v>
      </c>
      <c r="O610" s="17" t="s">
        <v>1390</v>
      </c>
      <c r="P610" s="17" t="s">
        <v>1391</v>
      </c>
      <c r="Q610">
        <f>27-13</f>
        <v>14</v>
      </c>
      <c r="R610" t="s">
        <v>31</v>
      </c>
      <c r="S610" t="s">
        <v>32</v>
      </c>
      <c r="T610">
        <v>18</v>
      </c>
      <c r="U610">
        <v>74.5</v>
      </c>
      <c r="V610">
        <v>14</v>
      </c>
      <c r="W610">
        <v>12.7</v>
      </c>
      <c r="X610">
        <v>24.2</v>
      </c>
      <c r="AB610" t="s">
        <v>582</v>
      </c>
      <c r="AC610" t="s">
        <v>116</v>
      </c>
    </row>
    <row r="611" spans="1:30" x14ac:dyDescent="0.2">
      <c r="A611" s="3">
        <v>42606</v>
      </c>
      <c r="B611" t="s">
        <v>23</v>
      </c>
      <c r="C611">
        <v>703</v>
      </c>
      <c r="D611">
        <v>10</v>
      </c>
      <c r="E611">
        <v>2</v>
      </c>
      <c r="F611" t="s">
        <v>24</v>
      </c>
      <c r="G611" t="s">
        <v>25</v>
      </c>
      <c r="H611" t="s">
        <v>26</v>
      </c>
      <c r="I611" t="s">
        <v>27</v>
      </c>
      <c r="J611" t="s">
        <v>28</v>
      </c>
      <c r="K611" t="s">
        <v>188</v>
      </c>
      <c r="L611" t="s">
        <v>30</v>
      </c>
      <c r="M611">
        <v>0</v>
      </c>
      <c r="N611">
        <v>0</v>
      </c>
      <c r="O611" s="17" t="s">
        <v>1390</v>
      </c>
      <c r="P611" s="17" t="s">
        <v>1391</v>
      </c>
      <c r="Q611">
        <f>27-13</f>
        <v>14</v>
      </c>
      <c r="R611" t="s">
        <v>31</v>
      </c>
      <c r="S611" t="s">
        <v>32</v>
      </c>
      <c r="T611">
        <v>18</v>
      </c>
      <c r="U611">
        <v>75</v>
      </c>
      <c r="V611">
        <v>15</v>
      </c>
      <c r="W611">
        <v>12.65</v>
      </c>
      <c r="X611">
        <v>25.1</v>
      </c>
      <c r="AB611" t="s">
        <v>44</v>
      </c>
      <c r="AC611" t="s">
        <v>59</v>
      </c>
    </row>
    <row r="612" spans="1:30" x14ac:dyDescent="0.2">
      <c r="A612" s="3">
        <v>42549</v>
      </c>
      <c r="B612" t="s">
        <v>23</v>
      </c>
      <c r="C612">
        <v>801</v>
      </c>
      <c r="D612">
        <v>6</v>
      </c>
      <c r="E612">
        <v>1</v>
      </c>
      <c r="F612" t="s">
        <v>24</v>
      </c>
      <c r="G612" t="s">
        <v>25</v>
      </c>
      <c r="H612" t="s">
        <v>26</v>
      </c>
      <c r="I612" t="s">
        <v>27</v>
      </c>
      <c r="J612" t="s">
        <v>34</v>
      </c>
      <c r="K612" t="s">
        <v>123</v>
      </c>
      <c r="L612" t="s">
        <v>30</v>
      </c>
      <c r="M612">
        <v>0</v>
      </c>
      <c r="N612">
        <v>1</v>
      </c>
      <c r="O612" s="17">
        <v>50614</v>
      </c>
      <c r="P612" s="17">
        <v>50613</v>
      </c>
      <c r="Q612">
        <f>26-12</f>
        <v>14</v>
      </c>
      <c r="R612" t="s">
        <v>31</v>
      </c>
      <c r="S612" t="s">
        <v>32</v>
      </c>
      <c r="T612">
        <v>18</v>
      </c>
      <c r="U612">
        <v>81.5</v>
      </c>
      <c r="V612">
        <v>14.5</v>
      </c>
      <c r="W612">
        <v>12.6</v>
      </c>
      <c r="X612">
        <v>28.6</v>
      </c>
      <c r="Z612" t="s">
        <v>32</v>
      </c>
      <c r="AB612" t="s">
        <v>121</v>
      </c>
      <c r="AC612" t="s">
        <v>122</v>
      </c>
    </row>
    <row r="613" spans="1:30" x14ac:dyDescent="0.2">
      <c r="A613" s="3">
        <v>42550</v>
      </c>
      <c r="B613" t="s">
        <v>23</v>
      </c>
      <c r="C613">
        <v>801</v>
      </c>
      <c r="D613">
        <v>9</v>
      </c>
      <c r="E613">
        <v>1</v>
      </c>
      <c r="F613" t="s">
        <v>24</v>
      </c>
      <c r="G613" t="s">
        <v>25</v>
      </c>
      <c r="H613" t="s">
        <v>26</v>
      </c>
      <c r="I613" t="s">
        <v>27</v>
      </c>
      <c r="J613" t="s">
        <v>28</v>
      </c>
      <c r="K613" t="s">
        <v>123</v>
      </c>
      <c r="L613" t="s">
        <v>30</v>
      </c>
      <c r="M613">
        <v>0</v>
      </c>
      <c r="N613">
        <v>0</v>
      </c>
      <c r="O613" s="17">
        <v>50614</v>
      </c>
      <c r="P613" s="17">
        <v>50613</v>
      </c>
      <c r="Q613">
        <f>27.5-12</f>
        <v>15.5</v>
      </c>
      <c r="R613" t="s">
        <v>31</v>
      </c>
      <c r="S613" t="s">
        <v>32</v>
      </c>
      <c r="T613">
        <v>19</v>
      </c>
      <c r="U613">
        <v>80</v>
      </c>
      <c r="V613">
        <v>14</v>
      </c>
      <c r="W613">
        <v>12.75</v>
      </c>
      <c r="X613">
        <v>25.2</v>
      </c>
      <c r="Z613" t="s">
        <v>32</v>
      </c>
      <c r="AB613" t="s">
        <v>53</v>
      </c>
      <c r="AC613" t="s">
        <v>70</v>
      </c>
    </row>
    <row r="614" spans="1:30" x14ac:dyDescent="0.2">
      <c r="A614" s="3">
        <v>42551</v>
      </c>
      <c r="B614" t="s">
        <v>23</v>
      </c>
      <c r="C614">
        <v>801</v>
      </c>
      <c r="D614">
        <v>6</v>
      </c>
      <c r="E614">
        <v>1</v>
      </c>
      <c r="F614" t="s">
        <v>24</v>
      </c>
      <c r="G614" t="s">
        <v>25</v>
      </c>
      <c r="H614" t="s">
        <v>26</v>
      </c>
      <c r="I614" t="s">
        <v>27</v>
      </c>
      <c r="J614" t="s">
        <v>28</v>
      </c>
      <c r="K614" t="s">
        <v>123</v>
      </c>
      <c r="L614" t="s">
        <v>30</v>
      </c>
      <c r="M614">
        <v>0</v>
      </c>
      <c r="N614">
        <v>0</v>
      </c>
      <c r="O614" s="17">
        <v>50614</v>
      </c>
      <c r="P614" s="17">
        <v>50613</v>
      </c>
      <c r="Q614">
        <f>26.5-12</f>
        <v>14.5</v>
      </c>
      <c r="R614" t="s">
        <v>31</v>
      </c>
      <c r="S614" t="s">
        <v>32</v>
      </c>
      <c r="T614">
        <v>19</v>
      </c>
      <c r="U614">
        <v>80.5</v>
      </c>
      <c r="V614">
        <v>14</v>
      </c>
      <c r="Z614" t="s">
        <v>32</v>
      </c>
      <c r="AB614" t="s">
        <v>44</v>
      </c>
      <c r="AC614" t="s">
        <v>116</v>
      </c>
      <c r="AD614" t="s">
        <v>336</v>
      </c>
    </row>
    <row r="615" spans="1:30" x14ac:dyDescent="0.2">
      <c r="A615" s="3">
        <v>42563</v>
      </c>
      <c r="B615" t="s">
        <v>23</v>
      </c>
      <c r="C615">
        <v>801</v>
      </c>
      <c r="D615">
        <v>4</v>
      </c>
      <c r="E615">
        <v>1</v>
      </c>
      <c r="F615" t="s">
        <v>33</v>
      </c>
      <c r="G615" t="s">
        <v>25</v>
      </c>
      <c r="H615" t="s">
        <v>26</v>
      </c>
      <c r="I615" t="s">
        <v>27</v>
      </c>
      <c r="J615" t="s">
        <v>28</v>
      </c>
      <c r="K615" t="s">
        <v>188</v>
      </c>
      <c r="L615" t="s">
        <v>30</v>
      </c>
      <c r="M615">
        <v>0</v>
      </c>
      <c r="N615">
        <v>0</v>
      </c>
      <c r="O615" s="17">
        <v>50614</v>
      </c>
      <c r="P615" s="17">
        <v>50613</v>
      </c>
      <c r="Q615">
        <f>34-11</f>
        <v>23</v>
      </c>
      <c r="R615" t="s">
        <v>192</v>
      </c>
      <c r="S615" t="s">
        <v>32</v>
      </c>
      <c r="T615">
        <v>20</v>
      </c>
      <c r="U615">
        <v>79</v>
      </c>
      <c r="V615">
        <v>15</v>
      </c>
      <c r="W615">
        <v>12</v>
      </c>
      <c r="X615">
        <v>26.7</v>
      </c>
      <c r="Z615" t="s">
        <v>32</v>
      </c>
      <c r="AB615" t="s">
        <v>53</v>
      </c>
      <c r="AC615" t="s">
        <v>122</v>
      </c>
    </row>
    <row r="616" spans="1:30" x14ac:dyDescent="0.2">
      <c r="A616" s="3">
        <v>42564</v>
      </c>
      <c r="B616" t="s">
        <v>23</v>
      </c>
      <c r="C616">
        <v>801</v>
      </c>
      <c r="D616">
        <v>9</v>
      </c>
      <c r="E616">
        <v>1</v>
      </c>
      <c r="F616" t="s">
        <v>33</v>
      </c>
      <c r="G616" t="s">
        <v>25</v>
      </c>
      <c r="H616" t="s">
        <v>26</v>
      </c>
      <c r="I616" t="s">
        <v>27</v>
      </c>
      <c r="J616" t="s">
        <v>28</v>
      </c>
      <c r="K616" t="s">
        <v>188</v>
      </c>
      <c r="L616" t="s">
        <v>30</v>
      </c>
      <c r="M616">
        <v>0</v>
      </c>
      <c r="N616">
        <v>0</v>
      </c>
      <c r="O616" s="17">
        <v>50614</v>
      </c>
      <c r="P616" s="17">
        <v>50613</v>
      </c>
      <c r="Q616">
        <f>32.5-12</f>
        <v>20.5</v>
      </c>
      <c r="R616" t="s">
        <v>192</v>
      </c>
      <c r="S616" t="s">
        <v>32</v>
      </c>
      <c r="T616">
        <v>19</v>
      </c>
      <c r="U616">
        <v>72</v>
      </c>
      <c r="V616">
        <v>14</v>
      </c>
      <c r="W616">
        <v>12.9</v>
      </c>
      <c r="X616">
        <v>25.5</v>
      </c>
      <c r="Z616" t="s">
        <v>32</v>
      </c>
      <c r="AB616" t="s">
        <v>121</v>
      </c>
      <c r="AC616" t="s">
        <v>122</v>
      </c>
    </row>
    <row r="617" spans="1:30" x14ac:dyDescent="0.2">
      <c r="A617" s="3">
        <v>42565</v>
      </c>
      <c r="B617" t="s">
        <v>23</v>
      </c>
      <c r="C617">
        <v>801</v>
      </c>
      <c r="D617">
        <v>5</v>
      </c>
      <c r="E617">
        <v>1</v>
      </c>
      <c r="F617" t="s">
        <v>33</v>
      </c>
      <c r="G617" t="s">
        <v>25</v>
      </c>
      <c r="H617" t="s">
        <v>26</v>
      </c>
      <c r="I617" t="s">
        <v>27</v>
      </c>
      <c r="J617" t="s">
        <v>28</v>
      </c>
      <c r="K617" t="s">
        <v>188</v>
      </c>
      <c r="L617" t="s">
        <v>30</v>
      </c>
      <c r="M617">
        <v>0</v>
      </c>
      <c r="N617">
        <v>0</v>
      </c>
      <c r="O617" s="17">
        <v>50614</v>
      </c>
      <c r="P617" s="17">
        <v>50613</v>
      </c>
      <c r="Q617">
        <v>23</v>
      </c>
      <c r="R617" t="s">
        <v>273</v>
      </c>
      <c r="S617" t="s">
        <v>145</v>
      </c>
      <c r="T617">
        <v>20</v>
      </c>
      <c r="U617">
        <v>80</v>
      </c>
      <c r="V617">
        <v>14</v>
      </c>
      <c r="W617">
        <v>12.8</v>
      </c>
      <c r="X617">
        <v>26.5</v>
      </c>
      <c r="Z617" t="s">
        <v>32</v>
      </c>
      <c r="AB617" t="s">
        <v>121</v>
      </c>
      <c r="AC617" t="s">
        <v>254</v>
      </c>
    </row>
    <row r="618" spans="1:30" x14ac:dyDescent="0.2">
      <c r="A618" s="3">
        <v>42574</v>
      </c>
      <c r="B618" t="s">
        <v>23</v>
      </c>
      <c r="C618">
        <v>801</v>
      </c>
      <c r="D618">
        <v>5</v>
      </c>
      <c r="E618">
        <v>2</v>
      </c>
      <c r="F618" t="s">
        <v>24</v>
      </c>
      <c r="G618" t="s">
        <v>25</v>
      </c>
      <c r="H618" t="s">
        <v>26</v>
      </c>
      <c r="I618" t="s">
        <v>27</v>
      </c>
      <c r="J618" t="s">
        <v>28</v>
      </c>
      <c r="K618" t="s">
        <v>188</v>
      </c>
      <c r="L618" t="s">
        <v>30</v>
      </c>
      <c r="M618">
        <v>0</v>
      </c>
      <c r="N618">
        <v>0</v>
      </c>
      <c r="O618" s="17">
        <v>50614</v>
      </c>
      <c r="P618" s="17">
        <v>50613</v>
      </c>
      <c r="Q618">
        <v>21</v>
      </c>
      <c r="R618" t="s">
        <v>94</v>
      </c>
      <c r="S618" t="s">
        <v>32</v>
      </c>
      <c r="T618">
        <v>18</v>
      </c>
      <c r="U618">
        <v>85</v>
      </c>
      <c r="V618">
        <v>17</v>
      </c>
      <c r="W618">
        <v>12.9</v>
      </c>
      <c r="X618">
        <v>26.8</v>
      </c>
      <c r="Z618" t="s">
        <v>32</v>
      </c>
      <c r="AB618" t="s">
        <v>582</v>
      </c>
      <c r="AC618" t="s">
        <v>59</v>
      </c>
    </row>
    <row r="619" spans="1:30" x14ac:dyDescent="0.2">
      <c r="A619" s="3">
        <v>42576</v>
      </c>
      <c r="B619" t="s">
        <v>23</v>
      </c>
      <c r="C619">
        <v>801</v>
      </c>
      <c r="D619">
        <v>6</v>
      </c>
      <c r="E619">
        <v>2</v>
      </c>
      <c r="F619" t="s">
        <v>24</v>
      </c>
      <c r="G619" t="s">
        <v>25</v>
      </c>
      <c r="H619" t="s">
        <v>26</v>
      </c>
      <c r="I619" t="s">
        <v>27</v>
      </c>
      <c r="J619" t="s">
        <v>28</v>
      </c>
      <c r="K619" t="s">
        <v>188</v>
      </c>
      <c r="L619" t="s">
        <v>30</v>
      </c>
      <c r="M619">
        <v>0</v>
      </c>
      <c r="N619">
        <v>0</v>
      </c>
      <c r="O619" s="17">
        <v>50614</v>
      </c>
      <c r="P619" s="17">
        <v>50613</v>
      </c>
      <c r="Q619">
        <v>20</v>
      </c>
      <c r="R619" t="s">
        <v>75</v>
      </c>
      <c r="S619" t="s">
        <v>145</v>
      </c>
      <c r="T619">
        <v>18</v>
      </c>
      <c r="U619">
        <v>81</v>
      </c>
      <c r="V619">
        <v>16</v>
      </c>
      <c r="W619">
        <v>12.8</v>
      </c>
      <c r="X619">
        <v>26.7</v>
      </c>
      <c r="Z619" t="s">
        <v>32</v>
      </c>
      <c r="AB619" t="s">
        <v>121</v>
      </c>
      <c r="AC619" t="s">
        <v>122</v>
      </c>
    </row>
    <row r="620" spans="1:30" x14ac:dyDescent="0.2">
      <c r="A620" s="3">
        <v>42549</v>
      </c>
      <c r="B620" t="s">
        <v>23</v>
      </c>
      <c r="C620">
        <v>901</v>
      </c>
      <c r="D620">
        <v>6</v>
      </c>
      <c r="E620">
        <v>1</v>
      </c>
      <c r="F620" t="s">
        <v>24</v>
      </c>
      <c r="G620" t="s">
        <v>25</v>
      </c>
      <c r="H620" t="s">
        <v>26</v>
      </c>
      <c r="I620" t="s">
        <v>27</v>
      </c>
      <c r="J620" t="s">
        <v>34</v>
      </c>
      <c r="K620" t="s">
        <v>29</v>
      </c>
      <c r="L620" t="s">
        <v>30</v>
      </c>
      <c r="M620">
        <v>0</v>
      </c>
      <c r="N620">
        <v>1</v>
      </c>
      <c r="O620" s="17">
        <v>50617</v>
      </c>
      <c r="P620" s="17">
        <v>50616</v>
      </c>
      <c r="Q620">
        <f>33.5-13.5</f>
        <v>20</v>
      </c>
      <c r="R620" t="s">
        <v>31</v>
      </c>
      <c r="S620" t="s">
        <v>32</v>
      </c>
      <c r="T620">
        <v>20</v>
      </c>
      <c r="U620">
        <v>92</v>
      </c>
      <c r="V620">
        <v>14.5</v>
      </c>
      <c r="W620">
        <v>13</v>
      </c>
      <c r="X620">
        <v>25.65</v>
      </c>
      <c r="Z620" t="s">
        <v>32</v>
      </c>
      <c r="AB620" t="s">
        <v>121</v>
      </c>
      <c r="AC620" t="s">
        <v>122</v>
      </c>
    </row>
    <row r="621" spans="1:30" x14ac:dyDescent="0.2">
      <c r="A621" s="3">
        <v>42550</v>
      </c>
      <c r="B621" t="s">
        <v>23</v>
      </c>
      <c r="C621">
        <v>901</v>
      </c>
      <c r="D621">
        <v>5</v>
      </c>
      <c r="E621">
        <v>1</v>
      </c>
      <c r="F621" t="s">
        <v>24</v>
      </c>
      <c r="G621" t="s">
        <v>25</v>
      </c>
      <c r="H621" t="s">
        <v>26</v>
      </c>
      <c r="I621" t="s">
        <v>27</v>
      </c>
      <c r="J621" t="s">
        <v>28</v>
      </c>
      <c r="K621" t="s">
        <v>29</v>
      </c>
      <c r="L621" t="s">
        <v>30</v>
      </c>
      <c r="M621">
        <v>0</v>
      </c>
      <c r="N621">
        <v>0</v>
      </c>
      <c r="O621" s="17">
        <v>50617</v>
      </c>
      <c r="P621" s="17">
        <v>50616</v>
      </c>
      <c r="Q621">
        <f>34.5-12</f>
        <v>22.5</v>
      </c>
      <c r="R621" t="s">
        <v>91</v>
      </c>
      <c r="S621" t="s">
        <v>32</v>
      </c>
      <c r="T621">
        <v>19</v>
      </c>
      <c r="U621">
        <v>90</v>
      </c>
      <c r="V621">
        <v>16</v>
      </c>
      <c r="Z621" t="s">
        <v>32</v>
      </c>
      <c r="AB621" t="s">
        <v>53</v>
      </c>
      <c r="AC621" t="s">
        <v>59</v>
      </c>
      <c r="AD621" t="s">
        <v>338</v>
      </c>
    </row>
    <row r="622" spans="1:30" x14ac:dyDescent="0.2">
      <c r="A622" s="3">
        <v>42551</v>
      </c>
      <c r="B622" t="s">
        <v>23</v>
      </c>
      <c r="C622">
        <v>901</v>
      </c>
      <c r="D622">
        <v>5</v>
      </c>
      <c r="E622">
        <v>1</v>
      </c>
      <c r="F622" t="s">
        <v>24</v>
      </c>
      <c r="G622" t="s">
        <v>25</v>
      </c>
      <c r="H622" t="s">
        <v>26</v>
      </c>
      <c r="I622" t="s">
        <v>27</v>
      </c>
      <c r="J622" t="s">
        <v>28</v>
      </c>
      <c r="K622" t="s">
        <v>29</v>
      </c>
      <c r="L622" t="s">
        <v>30</v>
      </c>
      <c r="M622">
        <v>0</v>
      </c>
      <c r="N622">
        <v>0</v>
      </c>
      <c r="O622" s="17">
        <v>50617</v>
      </c>
      <c r="P622" s="17">
        <v>50616</v>
      </c>
      <c r="Q622">
        <f>33-12</f>
        <v>21</v>
      </c>
      <c r="R622" t="s">
        <v>94</v>
      </c>
      <c r="S622" t="s">
        <v>32</v>
      </c>
      <c r="T622">
        <v>19</v>
      </c>
      <c r="U622">
        <v>89</v>
      </c>
      <c r="V622">
        <v>12</v>
      </c>
      <c r="Z622" t="s">
        <v>32</v>
      </c>
      <c r="AB622" t="s">
        <v>44</v>
      </c>
      <c r="AC622" t="s">
        <v>116</v>
      </c>
    </row>
    <row r="623" spans="1:30" x14ac:dyDescent="0.2">
      <c r="A623" s="3">
        <v>42563</v>
      </c>
      <c r="B623" t="s">
        <v>23</v>
      </c>
      <c r="C623">
        <v>901</v>
      </c>
      <c r="D623">
        <v>9</v>
      </c>
      <c r="E623">
        <v>1</v>
      </c>
      <c r="F623" t="s">
        <v>33</v>
      </c>
      <c r="G623" t="s">
        <v>25</v>
      </c>
      <c r="H623" t="s">
        <v>26</v>
      </c>
      <c r="I623" t="s">
        <v>27</v>
      </c>
      <c r="J623" t="s">
        <v>28</v>
      </c>
      <c r="K623" t="s">
        <v>29</v>
      </c>
      <c r="L623" t="s">
        <v>30</v>
      </c>
      <c r="M623">
        <v>0</v>
      </c>
      <c r="N623">
        <v>0</v>
      </c>
      <c r="O623" s="17">
        <v>50617</v>
      </c>
      <c r="P623" s="17">
        <v>50616</v>
      </c>
      <c r="R623" t="s">
        <v>273</v>
      </c>
      <c r="S623" t="s">
        <v>145</v>
      </c>
      <c r="T623">
        <v>20</v>
      </c>
      <c r="U623">
        <v>90</v>
      </c>
      <c r="V623">
        <v>14</v>
      </c>
      <c r="W623">
        <v>12.8</v>
      </c>
      <c r="X623">
        <v>27.2</v>
      </c>
      <c r="Z623" t="s">
        <v>32</v>
      </c>
      <c r="AB623" t="s">
        <v>255</v>
      </c>
      <c r="AC623" t="s">
        <v>122</v>
      </c>
    </row>
    <row r="624" spans="1:30" x14ac:dyDescent="0.2">
      <c r="A624" s="3">
        <v>42564</v>
      </c>
      <c r="B624" t="s">
        <v>23</v>
      </c>
      <c r="C624">
        <v>901</v>
      </c>
      <c r="D624">
        <v>8</v>
      </c>
      <c r="E624">
        <v>1</v>
      </c>
      <c r="F624" t="s">
        <v>33</v>
      </c>
      <c r="G624" t="s">
        <v>25</v>
      </c>
      <c r="H624" t="s">
        <v>26</v>
      </c>
      <c r="I624" t="s">
        <v>27</v>
      </c>
      <c r="J624" t="s">
        <v>28</v>
      </c>
      <c r="K624" t="s">
        <v>29</v>
      </c>
      <c r="L624" t="s">
        <v>30</v>
      </c>
      <c r="M624">
        <v>0</v>
      </c>
      <c r="N624">
        <v>0</v>
      </c>
      <c r="O624" s="17">
        <v>50617</v>
      </c>
      <c r="P624" s="17">
        <v>50516</v>
      </c>
      <c r="Q624">
        <f>29-13</f>
        <v>16</v>
      </c>
      <c r="R624" t="s">
        <v>273</v>
      </c>
      <c r="S624" t="s">
        <v>145</v>
      </c>
      <c r="T624">
        <v>20</v>
      </c>
      <c r="U624">
        <v>90</v>
      </c>
      <c r="V624">
        <v>14</v>
      </c>
      <c r="W624">
        <v>12.8</v>
      </c>
      <c r="X624">
        <v>25.8</v>
      </c>
      <c r="Z624" t="s">
        <v>32</v>
      </c>
      <c r="AB624" t="s">
        <v>121</v>
      </c>
      <c r="AC624" t="s">
        <v>122</v>
      </c>
    </row>
    <row r="625" spans="1:30" x14ac:dyDescent="0.2">
      <c r="A625" s="3">
        <v>42565</v>
      </c>
      <c r="B625" t="s">
        <v>23</v>
      </c>
      <c r="C625">
        <v>901</v>
      </c>
      <c r="D625">
        <v>9</v>
      </c>
      <c r="E625">
        <v>1</v>
      </c>
      <c r="F625" t="s">
        <v>33</v>
      </c>
      <c r="G625" t="s">
        <v>25</v>
      </c>
      <c r="H625" t="s">
        <v>26</v>
      </c>
      <c r="I625" t="s">
        <v>27</v>
      </c>
      <c r="J625" t="s">
        <v>28</v>
      </c>
      <c r="K625" t="s">
        <v>29</v>
      </c>
      <c r="L625" t="s">
        <v>30</v>
      </c>
      <c r="M625">
        <v>0</v>
      </c>
      <c r="N625">
        <v>0</v>
      </c>
      <c r="O625" s="17">
        <v>50617</v>
      </c>
      <c r="P625" s="17">
        <v>50616</v>
      </c>
      <c r="Q625">
        <f>30-11.5</f>
        <v>18.5</v>
      </c>
      <c r="R625" t="s">
        <v>273</v>
      </c>
      <c r="S625" t="s">
        <v>145</v>
      </c>
      <c r="T625">
        <v>20</v>
      </c>
      <c r="U625">
        <v>88</v>
      </c>
      <c r="V625">
        <v>15</v>
      </c>
      <c r="W625">
        <v>12.8</v>
      </c>
      <c r="X625">
        <v>27</v>
      </c>
      <c r="Z625" t="s">
        <v>32</v>
      </c>
      <c r="AB625" t="s">
        <v>121</v>
      </c>
      <c r="AC625" t="s">
        <v>254</v>
      </c>
    </row>
    <row r="626" spans="1:30" x14ac:dyDescent="0.2">
      <c r="A626" s="3">
        <v>42574</v>
      </c>
      <c r="B626" t="s">
        <v>23</v>
      </c>
      <c r="C626">
        <v>901</v>
      </c>
      <c r="D626">
        <v>8</v>
      </c>
      <c r="E626">
        <v>1</v>
      </c>
      <c r="F626" t="s">
        <v>24</v>
      </c>
      <c r="G626" t="s">
        <v>25</v>
      </c>
      <c r="H626" t="s">
        <v>26</v>
      </c>
      <c r="I626" t="s">
        <v>27</v>
      </c>
      <c r="J626" t="s">
        <v>28</v>
      </c>
      <c r="K626" t="s">
        <v>29</v>
      </c>
      <c r="L626" t="s">
        <v>30</v>
      </c>
      <c r="M626">
        <v>0</v>
      </c>
      <c r="N626">
        <v>0</v>
      </c>
      <c r="O626" s="17">
        <v>50617</v>
      </c>
      <c r="P626" s="17">
        <v>50616</v>
      </c>
      <c r="Q626">
        <f>31.5-11</f>
        <v>20.5</v>
      </c>
      <c r="R626" t="s">
        <v>31</v>
      </c>
      <c r="S626" t="s">
        <v>32</v>
      </c>
      <c r="T626">
        <v>20</v>
      </c>
      <c r="U626">
        <v>93</v>
      </c>
      <c r="V626">
        <v>15</v>
      </c>
      <c r="W626">
        <v>13.2</v>
      </c>
      <c r="X626">
        <v>29.5</v>
      </c>
      <c r="Z626" t="s">
        <v>32</v>
      </c>
      <c r="AB626" t="s">
        <v>582</v>
      </c>
      <c r="AC626" t="s">
        <v>59</v>
      </c>
    </row>
    <row r="627" spans="1:30" x14ac:dyDescent="0.2">
      <c r="A627" s="3">
        <v>42575</v>
      </c>
      <c r="B627" t="s">
        <v>23</v>
      </c>
      <c r="C627">
        <v>901</v>
      </c>
      <c r="D627">
        <v>9</v>
      </c>
      <c r="E627">
        <v>1</v>
      </c>
      <c r="F627" t="s">
        <v>24</v>
      </c>
      <c r="G627" t="s">
        <v>25</v>
      </c>
      <c r="H627" t="s">
        <v>26</v>
      </c>
      <c r="I627" t="s">
        <v>27</v>
      </c>
      <c r="J627" t="s">
        <v>28</v>
      </c>
      <c r="K627" t="s">
        <v>29</v>
      </c>
      <c r="L627" t="s">
        <v>30</v>
      </c>
      <c r="M627">
        <v>0</v>
      </c>
      <c r="N627">
        <v>0</v>
      </c>
      <c r="O627" s="17">
        <v>50617</v>
      </c>
      <c r="P627" s="17">
        <v>50616</v>
      </c>
      <c r="Q627">
        <f>32-13</f>
        <v>19</v>
      </c>
      <c r="R627" t="s">
        <v>31</v>
      </c>
      <c r="Z627" t="s">
        <v>32</v>
      </c>
      <c r="AB627" t="s">
        <v>582</v>
      </c>
      <c r="AC627" t="s">
        <v>59</v>
      </c>
    </row>
    <row r="628" spans="1:30" x14ac:dyDescent="0.2">
      <c r="A628" s="3">
        <v>42551</v>
      </c>
      <c r="B628" t="s">
        <v>23</v>
      </c>
      <c r="C628">
        <v>701</v>
      </c>
      <c r="D628">
        <v>2</v>
      </c>
      <c r="E628">
        <v>2</v>
      </c>
      <c r="F628" t="s">
        <v>24</v>
      </c>
      <c r="G628" t="s">
        <v>25</v>
      </c>
      <c r="H628" t="s">
        <v>26</v>
      </c>
      <c r="I628" t="s">
        <v>27</v>
      </c>
      <c r="J628" t="s">
        <v>28</v>
      </c>
      <c r="K628" t="s">
        <v>123</v>
      </c>
      <c r="L628" t="s">
        <v>30</v>
      </c>
      <c r="M628">
        <v>0</v>
      </c>
      <c r="N628">
        <v>0</v>
      </c>
      <c r="O628" s="17">
        <v>50619</v>
      </c>
      <c r="P628" s="17">
        <v>50620</v>
      </c>
      <c r="Q628">
        <f>28-14.5</f>
        <v>13.5</v>
      </c>
      <c r="R628" t="s">
        <v>31</v>
      </c>
      <c r="S628" t="s">
        <v>32</v>
      </c>
      <c r="T628">
        <v>18.5</v>
      </c>
      <c r="U628">
        <v>78.5</v>
      </c>
      <c r="V628">
        <v>15.5</v>
      </c>
      <c r="W628">
        <v>12.1</v>
      </c>
      <c r="X628">
        <v>27.5</v>
      </c>
      <c r="Z628" t="s">
        <v>32</v>
      </c>
      <c r="AB628" t="s">
        <v>44</v>
      </c>
      <c r="AC628" t="s">
        <v>116</v>
      </c>
    </row>
    <row r="629" spans="1:30" x14ac:dyDescent="0.2">
      <c r="A629" s="3">
        <v>42550</v>
      </c>
      <c r="B629" t="s">
        <v>23</v>
      </c>
      <c r="C629">
        <v>703</v>
      </c>
      <c r="D629">
        <v>1</v>
      </c>
      <c r="E629">
        <v>2</v>
      </c>
      <c r="F629" t="s">
        <v>24</v>
      </c>
      <c r="G629" t="s">
        <v>25</v>
      </c>
      <c r="H629" t="s">
        <v>26</v>
      </c>
      <c r="I629" t="s">
        <v>27</v>
      </c>
      <c r="J629" t="s">
        <v>34</v>
      </c>
      <c r="K629" t="s">
        <v>123</v>
      </c>
      <c r="L629" t="s">
        <v>35</v>
      </c>
      <c r="M629">
        <v>0</v>
      </c>
      <c r="N629">
        <v>1</v>
      </c>
      <c r="O629" s="17">
        <v>50620</v>
      </c>
      <c r="P629" s="17">
        <v>50619</v>
      </c>
      <c r="Q629">
        <f>25-11.5</f>
        <v>13.5</v>
      </c>
      <c r="R629" t="s">
        <v>63</v>
      </c>
      <c r="T629">
        <v>18</v>
      </c>
      <c r="U629">
        <v>83</v>
      </c>
      <c r="V629">
        <v>16</v>
      </c>
      <c r="W629">
        <v>12.1</v>
      </c>
      <c r="X629">
        <v>26.5</v>
      </c>
      <c r="Z629" t="s">
        <v>32</v>
      </c>
      <c r="AB629" t="s">
        <v>53</v>
      </c>
      <c r="AC629" t="s">
        <v>59</v>
      </c>
    </row>
    <row r="630" spans="1:30" x14ac:dyDescent="0.2">
      <c r="A630" s="3">
        <v>42550</v>
      </c>
      <c r="B630" t="s">
        <v>23</v>
      </c>
      <c r="C630">
        <v>703</v>
      </c>
      <c r="D630">
        <v>2</v>
      </c>
      <c r="E630">
        <v>1</v>
      </c>
      <c r="F630" t="s">
        <v>24</v>
      </c>
      <c r="G630" t="s">
        <v>25</v>
      </c>
      <c r="H630" t="s">
        <v>26</v>
      </c>
      <c r="I630" t="s">
        <v>27</v>
      </c>
      <c r="J630" t="s">
        <v>34</v>
      </c>
      <c r="K630" t="s">
        <v>123</v>
      </c>
      <c r="L630" t="s">
        <v>30</v>
      </c>
      <c r="M630">
        <v>0</v>
      </c>
      <c r="N630">
        <v>1</v>
      </c>
      <c r="O630" s="17">
        <v>50623</v>
      </c>
      <c r="P630" s="17">
        <v>50622</v>
      </c>
      <c r="Q630">
        <f>27.5-15.5</f>
        <v>12</v>
      </c>
      <c r="R630" t="s">
        <v>31</v>
      </c>
      <c r="S630" t="s">
        <v>32</v>
      </c>
      <c r="T630">
        <v>18</v>
      </c>
      <c r="U630">
        <v>74.5</v>
      </c>
      <c r="V630">
        <v>14.5</v>
      </c>
      <c r="W630">
        <v>11.5</v>
      </c>
      <c r="X630">
        <v>26.6</v>
      </c>
      <c r="Z630" t="s">
        <v>32</v>
      </c>
      <c r="AB630" t="s">
        <v>53</v>
      </c>
      <c r="AC630" t="s">
        <v>59</v>
      </c>
    </row>
    <row r="631" spans="1:30" x14ac:dyDescent="0.2">
      <c r="A631" s="3">
        <v>42551</v>
      </c>
      <c r="B631" t="s">
        <v>23</v>
      </c>
      <c r="C631">
        <v>703</v>
      </c>
      <c r="D631">
        <v>2</v>
      </c>
      <c r="E631">
        <v>2</v>
      </c>
      <c r="F631" t="s">
        <v>24</v>
      </c>
      <c r="G631" t="s">
        <v>25</v>
      </c>
      <c r="H631" t="s">
        <v>26</v>
      </c>
      <c r="I631" t="s">
        <v>27</v>
      </c>
      <c r="J631" t="s">
        <v>28</v>
      </c>
      <c r="K631" t="s">
        <v>123</v>
      </c>
      <c r="L631" t="s">
        <v>30</v>
      </c>
      <c r="M631">
        <v>0</v>
      </c>
      <c r="N631">
        <v>0</v>
      </c>
      <c r="O631" s="17">
        <v>50623</v>
      </c>
      <c r="P631" s="17">
        <v>50622</v>
      </c>
      <c r="Q631">
        <v>12</v>
      </c>
      <c r="R631" t="s">
        <v>31</v>
      </c>
      <c r="S631" t="s">
        <v>32</v>
      </c>
      <c r="T631">
        <v>19</v>
      </c>
      <c r="U631">
        <v>76</v>
      </c>
      <c r="V631">
        <v>15.5</v>
      </c>
      <c r="W631">
        <v>11.9</v>
      </c>
      <c r="X631">
        <v>26</v>
      </c>
      <c r="Y631" t="s">
        <v>342</v>
      </c>
      <c r="Z631" t="s">
        <v>32</v>
      </c>
      <c r="AB631" t="s">
        <v>44</v>
      </c>
      <c r="AC631" t="s">
        <v>116</v>
      </c>
    </row>
    <row r="632" spans="1:30" x14ac:dyDescent="0.2">
      <c r="A632" s="3">
        <v>42556</v>
      </c>
      <c r="B632" t="s">
        <v>23</v>
      </c>
      <c r="C632">
        <v>201</v>
      </c>
      <c r="D632">
        <v>1</v>
      </c>
      <c r="E632">
        <v>1</v>
      </c>
      <c r="F632" t="s">
        <v>24</v>
      </c>
      <c r="G632" t="s">
        <v>25</v>
      </c>
      <c r="H632" t="s">
        <v>26</v>
      </c>
      <c r="I632" t="s">
        <v>27</v>
      </c>
      <c r="J632" t="s">
        <v>34</v>
      </c>
      <c r="K632" t="s">
        <v>188</v>
      </c>
      <c r="L632" t="s">
        <v>30</v>
      </c>
      <c r="M632">
        <v>0</v>
      </c>
      <c r="N632">
        <v>1</v>
      </c>
      <c r="O632" s="17">
        <v>50627</v>
      </c>
      <c r="P632" s="17">
        <v>50626</v>
      </c>
      <c r="Q632">
        <f>30-12</f>
        <v>18</v>
      </c>
      <c r="R632" t="s">
        <v>31</v>
      </c>
      <c r="S632" t="s">
        <v>32</v>
      </c>
      <c r="T632">
        <v>19.5</v>
      </c>
      <c r="U632">
        <v>87</v>
      </c>
      <c r="V632">
        <v>16</v>
      </c>
      <c r="W632">
        <v>12.6</v>
      </c>
      <c r="X632">
        <v>28.3</v>
      </c>
      <c r="Z632" t="s">
        <v>32</v>
      </c>
      <c r="AB632" t="s">
        <v>44</v>
      </c>
      <c r="AC632" t="s">
        <v>59</v>
      </c>
      <c r="AD632" t="s">
        <v>424</v>
      </c>
    </row>
    <row r="633" spans="1:30" x14ac:dyDescent="0.2">
      <c r="A633" s="3">
        <v>42557</v>
      </c>
      <c r="B633" t="s">
        <v>23</v>
      </c>
      <c r="C633">
        <v>201</v>
      </c>
      <c r="D633">
        <v>5</v>
      </c>
      <c r="E633">
        <v>1</v>
      </c>
      <c r="F633" t="s">
        <v>24</v>
      </c>
      <c r="G633" t="s">
        <v>25</v>
      </c>
      <c r="H633" t="s">
        <v>26</v>
      </c>
      <c r="I633" t="s">
        <v>27</v>
      </c>
      <c r="J633" t="s">
        <v>28</v>
      </c>
      <c r="K633" t="s">
        <v>188</v>
      </c>
      <c r="L633" t="s">
        <v>30</v>
      </c>
      <c r="M633">
        <v>0</v>
      </c>
      <c r="N633">
        <v>0</v>
      </c>
      <c r="O633" s="17">
        <v>50627</v>
      </c>
      <c r="P633" s="17">
        <v>50626</v>
      </c>
      <c r="Q633">
        <f>28.5-10.5</f>
        <v>18</v>
      </c>
      <c r="R633" t="s">
        <v>31</v>
      </c>
      <c r="S633" t="s">
        <v>32</v>
      </c>
      <c r="T633">
        <v>19</v>
      </c>
      <c r="U633">
        <v>90</v>
      </c>
      <c r="V633">
        <v>15</v>
      </c>
      <c r="W633">
        <v>12.5</v>
      </c>
      <c r="X633">
        <v>27.8</v>
      </c>
      <c r="Z633" t="s">
        <v>32</v>
      </c>
      <c r="AB633" t="s">
        <v>44</v>
      </c>
      <c r="AC633" t="s">
        <v>122</v>
      </c>
      <c r="AD633" t="s">
        <v>436</v>
      </c>
    </row>
    <row r="634" spans="1:30" x14ac:dyDescent="0.2">
      <c r="A634" s="3">
        <v>42558</v>
      </c>
      <c r="B634" t="s">
        <v>23</v>
      </c>
      <c r="C634">
        <v>201</v>
      </c>
      <c r="D634">
        <v>3</v>
      </c>
      <c r="E634">
        <v>2</v>
      </c>
      <c r="F634" t="s">
        <v>24</v>
      </c>
      <c r="G634" t="s">
        <v>25</v>
      </c>
      <c r="H634" t="s">
        <v>26</v>
      </c>
      <c r="I634" t="s">
        <v>27</v>
      </c>
      <c r="J634" t="s">
        <v>28</v>
      </c>
      <c r="K634" t="s">
        <v>188</v>
      </c>
      <c r="L634" t="s">
        <v>30</v>
      </c>
      <c r="M634">
        <v>0</v>
      </c>
      <c r="N634">
        <v>0</v>
      </c>
      <c r="O634" s="17">
        <v>50627</v>
      </c>
      <c r="P634" s="17">
        <v>50626</v>
      </c>
      <c r="Q634">
        <f>30-11</f>
        <v>19</v>
      </c>
      <c r="R634" t="s">
        <v>31</v>
      </c>
      <c r="S634" t="s">
        <v>32</v>
      </c>
      <c r="T634">
        <v>19</v>
      </c>
      <c r="U634">
        <v>85</v>
      </c>
      <c r="V634">
        <v>17</v>
      </c>
      <c r="Z634" t="s">
        <v>32</v>
      </c>
      <c r="AB634" t="s">
        <v>121</v>
      </c>
      <c r="AC634" t="s">
        <v>254</v>
      </c>
      <c r="AD634" t="s">
        <v>442</v>
      </c>
    </row>
    <row r="635" spans="1:30" x14ac:dyDescent="0.2">
      <c r="A635" s="3">
        <v>42570</v>
      </c>
      <c r="B635" t="s">
        <v>23</v>
      </c>
      <c r="C635">
        <v>201</v>
      </c>
      <c r="D635">
        <v>2</v>
      </c>
      <c r="E635">
        <v>1</v>
      </c>
      <c r="F635" t="s">
        <v>33</v>
      </c>
      <c r="G635" t="s">
        <v>25</v>
      </c>
      <c r="H635" t="s">
        <v>26</v>
      </c>
      <c r="I635" t="s">
        <v>27</v>
      </c>
      <c r="J635" t="s">
        <v>28</v>
      </c>
      <c r="K635" t="s">
        <v>29</v>
      </c>
      <c r="L635" t="s">
        <v>30</v>
      </c>
      <c r="M635">
        <v>0</v>
      </c>
      <c r="N635">
        <v>0</v>
      </c>
      <c r="O635" s="17">
        <v>50627</v>
      </c>
      <c r="P635" s="17">
        <v>50628</v>
      </c>
      <c r="Q635">
        <f>33.5-13</f>
        <v>20.5</v>
      </c>
      <c r="R635" t="s">
        <v>83</v>
      </c>
      <c r="S635" t="s">
        <v>145</v>
      </c>
      <c r="T635">
        <v>20</v>
      </c>
      <c r="U635">
        <v>86</v>
      </c>
      <c r="V635">
        <v>15</v>
      </c>
      <c r="W635">
        <v>12.8</v>
      </c>
      <c r="X635">
        <v>26.7</v>
      </c>
      <c r="Z635" t="s">
        <v>145</v>
      </c>
      <c r="AA635" t="s">
        <v>260</v>
      </c>
      <c r="AB635" t="s">
        <v>121</v>
      </c>
      <c r="AC635" t="s">
        <v>59</v>
      </c>
      <c r="AD635" t="s">
        <v>547</v>
      </c>
    </row>
    <row r="636" spans="1:30" x14ac:dyDescent="0.2">
      <c r="A636" s="3">
        <v>42556</v>
      </c>
      <c r="B636" t="s">
        <v>23</v>
      </c>
      <c r="C636">
        <v>201</v>
      </c>
      <c r="D636">
        <v>8</v>
      </c>
      <c r="E636">
        <v>1</v>
      </c>
      <c r="F636" t="s">
        <v>24</v>
      </c>
      <c r="G636" t="s">
        <v>25</v>
      </c>
      <c r="H636" t="s">
        <v>26</v>
      </c>
      <c r="I636" t="s">
        <v>27</v>
      </c>
      <c r="J636" t="s">
        <v>34</v>
      </c>
      <c r="K636" t="s">
        <v>188</v>
      </c>
      <c r="L636" t="s">
        <v>35</v>
      </c>
      <c r="M636">
        <v>0</v>
      </c>
      <c r="N636">
        <v>1</v>
      </c>
      <c r="O636" s="17">
        <v>50630</v>
      </c>
      <c r="P636" s="17">
        <v>50628</v>
      </c>
      <c r="Q636">
        <v>19.5</v>
      </c>
      <c r="R636" t="s">
        <v>39</v>
      </c>
      <c r="T636">
        <v>19</v>
      </c>
      <c r="U636">
        <v>85</v>
      </c>
      <c r="V636">
        <v>17.5</v>
      </c>
      <c r="W636">
        <v>12.4</v>
      </c>
      <c r="X636">
        <v>27.3</v>
      </c>
      <c r="Z636" t="s">
        <v>32</v>
      </c>
      <c r="AB636" t="s">
        <v>44</v>
      </c>
      <c r="AC636" t="s">
        <v>59</v>
      </c>
    </row>
    <row r="637" spans="1:30" x14ac:dyDescent="0.2">
      <c r="A637" s="3">
        <v>42556</v>
      </c>
      <c r="B637" t="s">
        <v>23</v>
      </c>
      <c r="C637">
        <v>203</v>
      </c>
      <c r="D637">
        <v>8</v>
      </c>
      <c r="E637">
        <v>1</v>
      </c>
      <c r="F637" t="s">
        <v>24</v>
      </c>
      <c r="G637" t="s">
        <v>25</v>
      </c>
      <c r="H637" t="s">
        <v>26</v>
      </c>
      <c r="I637" t="s">
        <v>27</v>
      </c>
      <c r="J637" t="s">
        <v>34</v>
      </c>
      <c r="K637" t="s">
        <v>188</v>
      </c>
      <c r="L637" t="s">
        <v>30</v>
      </c>
      <c r="M637">
        <v>0</v>
      </c>
      <c r="N637">
        <v>1</v>
      </c>
      <c r="O637" s="17">
        <v>50633</v>
      </c>
      <c r="P637" s="17">
        <v>50634</v>
      </c>
      <c r="Q637">
        <f>34-10.5</f>
        <v>23.5</v>
      </c>
      <c r="R637" t="s">
        <v>94</v>
      </c>
      <c r="S637" t="s">
        <v>32</v>
      </c>
      <c r="T637">
        <v>19</v>
      </c>
      <c r="U637">
        <v>79</v>
      </c>
      <c r="V637">
        <v>16</v>
      </c>
      <c r="W637">
        <v>13.5</v>
      </c>
      <c r="X637">
        <v>27.7</v>
      </c>
      <c r="Z637" t="s">
        <v>32</v>
      </c>
      <c r="AB637" t="s">
        <v>44</v>
      </c>
      <c r="AC637" t="s">
        <v>59</v>
      </c>
    </row>
    <row r="638" spans="1:30" x14ac:dyDescent="0.2">
      <c r="A638" s="3">
        <v>42557</v>
      </c>
      <c r="B638" t="s">
        <v>23</v>
      </c>
      <c r="C638">
        <v>203</v>
      </c>
      <c r="D638">
        <v>8</v>
      </c>
      <c r="E638">
        <v>2</v>
      </c>
      <c r="F638" t="s">
        <v>24</v>
      </c>
      <c r="G638" t="s">
        <v>25</v>
      </c>
      <c r="H638" t="s">
        <v>26</v>
      </c>
      <c r="I638" t="s">
        <v>27</v>
      </c>
      <c r="J638" t="s">
        <v>28</v>
      </c>
      <c r="K638" t="s">
        <v>188</v>
      </c>
      <c r="L638" t="s">
        <v>30</v>
      </c>
      <c r="M638">
        <v>0</v>
      </c>
      <c r="N638">
        <v>0</v>
      </c>
      <c r="O638" s="17">
        <v>50633</v>
      </c>
      <c r="P638" s="17">
        <v>50634</v>
      </c>
      <c r="Q638">
        <f>31-9.5</f>
        <v>21.5</v>
      </c>
      <c r="R638" t="s">
        <v>31</v>
      </c>
      <c r="S638" t="s">
        <v>32</v>
      </c>
      <c r="T638">
        <v>18</v>
      </c>
      <c r="U638">
        <v>80</v>
      </c>
      <c r="V638">
        <v>17</v>
      </c>
      <c r="W638">
        <v>13.1</v>
      </c>
      <c r="X638">
        <v>28.5</v>
      </c>
      <c r="Z638" t="s">
        <v>32</v>
      </c>
      <c r="AB638" t="s">
        <v>44</v>
      </c>
      <c r="AC638" t="s">
        <v>122</v>
      </c>
    </row>
    <row r="639" spans="1:30" x14ac:dyDescent="0.2">
      <c r="A639" s="3">
        <v>42570</v>
      </c>
      <c r="B639" t="s">
        <v>23</v>
      </c>
      <c r="C639">
        <v>203</v>
      </c>
      <c r="D639">
        <v>7</v>
      </c>
      <c r="E639">
        <v>1</v>
      </c>
      <c r="F639" t="s">
        <v>33</v>
      </c>
      <c r="G639" t="s">
        <v>25</v>
      </c>
      <c r="H639" t="s">
        <v>26</v>
      </c>
      <c r="I639" t="s">
        <v>27</v>
      </c>
      <c r="J639" t="s">
        <v>28</v>
      </c>
      <c r="K639" t="s">
        <v>188</v>
      </c>
      <c r="L639" t="s">
        <v>30</v>
      </c>
      <c r="M639">
        <v>0</v>
      </c>
      <c r="N639">
        <v>0</v>
      </c>
      <c r="O639" s="17">
        <v>50633</v>
      </c>
      <c r="P639" s="17">
        <v>50634</v>
      </c>
      <c r="Q639">
        <f>36.5-14.5</f>
        <v>22</v>
      </c>
      <c r="R639" t="s">
        <v>273</v>
      </c>
      <c r="S639" t="s">
        <v>145</v>
      </c>
      <c r="T639">
        <v>20</v>
      </c>
      <c r="U639">
        <v>85</v>
      </c>
      <c r="V639">
        <v>14</v>
      </c>
      <c r="W639">
        <v>12.9</v>
      </c>
      <c r="X639">
        <v>27.1</v>
      </c>
      <c r="Z639" t="s">
        <v>145</v>
      </c>
      <c r="AA639" t="s">
        <v>260</v>
      </c>
      <c r="AB639" t="s">
        <v>121</v>
      </c>
      <c r="AC639" t="s">
        <v>59</v>
      </c>
    </row>
    <row r="640" spans="1:30" x14ac:dyDescent="0.2">
      <c r="A640" s="3">
        <v>42572</v>
      </c>
      <c r="B640" t="s">
        <v>23</v>
      </c>
      <c r="C640">
        <v>203</v>
      </c>
      <c r="D640">
        <v>8</v>
      </c>
      <c r="E640">
        <v>1</v>
      </c>
      <c r="F640" t="s">
        <v>33</v>
      </c>
      <c r="G640" t="s">
        <v>25</v>
      </c>
      <c r="H640" t="s">
        <v>26</v>
      </c>
      <c r="I640" t="s">
        <v>27</v>
      </c>
      <c r="J640" t="s">
        <v>28</v>
      </c>
      <c r="K640" t="s">
        <v>188</v>
      </c>
      <c r="L640" t="s">
        <v>30</v>
      </c>
      <c r="M640">
        <v>0</v>
      </c>
      <c r="N640">
        <v>0</v>
      </c>
      <c r="O640" s="17">
        <v>50633</v>
      </c>
      <c r="P640" s="17">
        <v>50634</v>
      </c>
      <c r="Q640">
        <f>29.5-10</f>
        <v>19.5</v>
      </c>
      <c r="R640" t="s">
        <v>83</v>
      </c>
      <c r="S640" t="s">
        <v>145</v>
      </c>
      <c r="T640">
        <v>20</v>
      </c>
      <c r="U640">
        <v>84</v>
      </c>
      <c r="V640">
        <v>16</v>
      </c>
      <c r="Z640" t="s">
        <v>145</v>
      </c>
      <c r="AA640" t="s">
        <v>260</v>
      </c>
      <c r="AB640" t="s">
        <v>121</v>
      </c>
      <c r="AC640" t="s">
        <v>59</v>
      </c>
    </row>
    <row r="641" spans="1:30" x14ac:dyDescent="0.2">
      <c r="A641" s="3">
        <v>42584</v>
      </c>
      <c r="B641" t="s">
        <v>23</v>
      </c>
      <c r="C641">
        <v>203</v>
      </c>
      <c r="D641">
        <v>10</v>
      </c>
      <c r="E641">
        <v>1</v>
      </c>
      <c r="F641" t="s">
        <v>24</v>
      </c>
      <c r="G641" t="s">
        <v>25</v>
      </c>
      <c r="H641" t="s">
        <v>26</v>
      </c>
      <c r="I641" t="s">
        <v>27</v>
      </c>
      <c r="J641" t="s">
        <v>28</v>
      </c>
      <c r="K641" t="s">
        <v>188</v>
      </c>
      <c r="L641" t="s">
        <v>30</v>
      </c>
      <c r="M641">
        <v>0</v>
      </c>
      <c r="N641">
        <v>0</v>
      </c>
      <c r="O641" s="17">
        <v>50633</v>
      </c>
      <c r="P641" s="17">
        <v>50634</v>
      </c>
      <c r="Q641">
        <f>35-14</f>
        <v>21</v>
      </c>
      <c r="R641" t="s">
        <v>279</v>
      </c>
      <c r="S641" t="s">
        <v>145</v>
      </c>
      <c r="T641">
        <v>20.5</v>
      </c>
      <c r="U641">
        <v>80.5</v>
      </c>
      <c r="V641">
        <v>15</v>
      </c>
      <c r="W641">
        <v>32</v>
      </c>
      <c r="X641">
        <v>29</v>
      </c>
      <c r="Z641" t="s">
        <v>145</v>
      </c>
      <c r="AB641" t="s">
        <v>44</v>
      </c>
      <c r="AC641" t="s">
        <v>59</v>
      </c>
    </row>
    <row r="642" spans="1:30" x14ac:dyDescent="0.2">
      <c r="A642" s="3">
        <v>42585</v>
      </c>
      <c r="B642" t="s">
        <v>23</v>
      </c>
      <c r="C642">
        <v>203</v>
      </c>
      <c r="D642">
        <v>9</v>
      </c>
      <c r="E642">
        <v>2</v>
      </c>
      <c r="F642" t="s">
        <v>24</v>
      </c>
      <c r="G642" t="s">
        <v>25</v>
      </c>
      <c r="H642" t="s">
        <v>26</v>
      </c>
      <c r="I642" t="s">
        <v>27</v>
      </c>
      <c r="J642" t="s">
        <v>28</v>
      </c>
      <c r="K642" t="s">
        <v>188</v>
      </c>
      <c r="L642" t="s">
        <v>30</v>
      </c>
      <c r="M642">
        <v>0</v>
      </c>
      <c r="N642">
        <v>0</v>
      </c>
      <c r="O642" s="17" t="s">
        <v>1151</v>
      </c>
      <c r="P642" s="17" t="s">
        <v>1152</v>
      </c>
      <c r="Q642">
        <f>35-13.5</f>
        <v>21.5</v>
      </c>
      <c r="R642" t="s">
        <v>860</v>
      </c>
      <c r="S642" t="s">
        <v>145</v>
      </c>
      <c r="T642">
        <v>18.5</v>
      </c>
      <c r="U642">
        <v>80</v>
      </c>
      <c r="Z642" t="s">
        <v>145</v>
      </c>
      <c r="AB642" t="s">
        <v>44</v>
      </c>
      <c r="AC642" t="s">
        <v>59</v>
      </c>
    </row>
    <row r="643" spans="1:30" x14ac:dyDescent="0.2">
      <c r="A643" s="3">
        <v>42586</v>
      </c>
      <c r="B643" t="s">
        <v>23</v>
      </c>
      <c r="C643">
        <v>203</v>
      </c>
      <c r="D643">
        <v>9</v>
      </c>
      <c r="E643">
        <v>2</v>
      </c>
      <c r="F643" t="s">
        <v>24</v>
      </c>
      <c r="G643" t="s">
        <v>25</v>
      </c>
      <c r="H643" t="s">
        <v>26</v>
      </c>
      <c r="I643" t="s">
        <v>27</v>
      </c>
      <c r="J643" t="s">
        <v>28</v>
      </c>
      <c r="K643" t="s">
        <v>188</v>
      </c>
      <c r="L643" t="s">
        <v>30</v>
      </c>
      <c r="M643">
        <v>0</v>
      </c>
      <c r="N643">
        <v>0</v>
      </c>
      <c r="O643" s="17">
        <v>50633</v>
      </c>
      <c r="P643" s="17">
        <v>50634</v>
      </c>
      <c r="Q643">
        <f>32-13</f>
        <v>19</v>
      </c>
      <c r="R643" t="s">
        <v>75</v>
      </c>
      <c r="S643" t="s">
        <v>145</v>
      </c>
      <c r="T643">
        <v>19</v>
      </c>
      <c r="U643">
        <v>82</v>
      </c>
      <c r="V643">
        <v>18.5</v>
      </c>
      <c r="W643">
        <v>13.4</v>
      </c>
      <c r="X643">
        <v>26.2</v>
      </c>
      <c r="Z643" t="s">
        <v>145</v>
      </c>
      <c r="AB643" t="s">
        <v>44</v>
      </c>
      <c r="AC643" t="s">
        <v>59</v>
      </c>
    </row>
    <row r="644" spans="1:30" x14ac:dyDescent="0.2">
      <c r="A644" s="3">
        <v>42598</v>
      </c>
      <c r="B644" t="s">
        <v>23</v>
      </c>
      <c r="C644">
        <v>203</v>
      </c>
      <c r="D644">
        <v>10</v>
      </c>
      <c r="E644">
        <v>1</v>
      </c>
      <c r="F644" t="s">
        <v>64</v>
      </c>
      <c r="G644" t="s">
        <v>25</v>
      </c>
      <c r="H644" t="s">
        <v>26</v>
      </c>
      <c r="I644" t="s">
        <v>27</v>
      </c>
      <c r="J644" t="s">
        <v>28</v>
      </c>
      <c r="K644" t="s">
        <v>29</v>
      </c>
      <c r="L644" t="s">
        <v>30</v>
      </c>
      <c r="M644">
        <v>0</v>
      </c>
      <c r="N644">
        <v>0</v>
      </c>
      <c r="O644" s="17" t="s">
        <v>1151</v>
      </c>
      <c r="P644" s="17" t="s">
        <v>1152</v>
      </c>
      <c r="Q644">
        <f>35-15</f>
        <v>20</v>
      </c>
      <c r="R644" t="s">
        <v>251</v>
      </c>
      <c r="S644" t="s">
        <v>145</v>
      </c>
      <c r="T644">
        <v>20</v>
      </c>
      <c r="U644">
        <v>85</v>
      </c>
      <c r="V644">
        <v>14</v>
      </c>
      <c r="W644">
        <v>13.1</v>
      </c>
      <c r="X644">
        <v>27.2</v>
      </c>
      <c r="Z644" t="s">
        <v>145</v>
      </c>
      <c r="AA644" t="s">
        <v>260</v>
      </c>
      <c r="AB644" t="s">
        <v>121</v>
      </c>
      <c r="AC644" t="s">
        <v>122</v>
      </c>
    </row>
    <row r="645" spans="1:30" x14ac:dyDescent="0.2">
      <c r="A645" s="3">
        <v>42599</v>
      </c>
      <c r="B645" t="s">
        <v>23</v>
      </c>
      <c r="C645">
        <v>203</v>
      </c>
      <c r="D645">
        <v>8</v>
      </c>
      <c r="E645">
        <v>1</v>
      </c>
      <c r="F645" t="s">
        <v>64</v>
      </c>
      <c r="G645" t="s">
        <v>25</v>
      </c>
      <c r="H645" t="s">
        <v>26</v>
      </c>
      <c r="I645" t="s">
        <v>27</v>
      </c>
      <c r="J645" t="s">
        <v>28</v>
      </c>
      <c r="K645" t="s">
        <v>29</v>
      </c>
      <c r="L645" t="s">
        <v>30</v>
      </c>
      <c r="M645">
        <v>0</v>
      </c>
      <c r="N645">
        <v>0</v>
      </c>
      <c r="O645" s="17" t="s">
        <v>1151</v>
      </c>
      <c r="P645" s="17" t="s">
        <v>1152</v>
      </c>
      <c r="Q645">
        <f>38-17</f>
        <v>21</v>
      </c>
      <c r="R645" t="s">
        <v>31</v>
      </c>
      <c r="S645" t="s">
        <v>32</v>
      </c>
      <c r="T645">
        <v>19</v>
      </c>
      <c r="U645">
        <v>82</v>
      </c>
      <c r="V645">
        <v>15</v>
      </c>
      <c r="W645">
        <v>13.2</v>
      </c>
      <c r="X645">
        <v>28.9</v>
      </c>
      <c r="Y645" t="s">
        <v>1630</v>
      </c>
      <c r="Z645" t="s">
        <v>145</v>
      </c>
      <c r="AB645" t="s">
        <v>121</v>
      </c>
      <c r="AC645" t="s">
        <v>59</v>
      </c>
    </row>
    <row r="646" spans="1:30" x14ac:dyDescent="0.2">
      <c r="A646" s="3">
        <v>42600</v>
      </c>
      <c r="B646" t="s">
        <v>23</v>
      </c>
      <c r="C646">
        <v>203</v>
      </c>
      <c r="D646">
        <v>9</v>
      </c>
      <c r="E646">
        <v>1</v>
      </c>
      <c r="F646" t="s">
        <v>64</v>
      </c>
      <c r="G646" t="s">
        <v>25</v>
      </c>
      <c r="H646" t="s">
        <v>26</v>
      </c>
      <c r="I646" t="s">
        <v>27</v>
      </c>
      <c r="J646" t="s">
        <v>28</v>
      </c>
      <c r="K646" t="s">
        <v>29</v>
      </c>
      <c r="L646" t="s">
        <v>30</v>
      </c>
      <c r="M646">
        <v>0</v>
      </c>
      <c r="N646">
        <v>0</v>
      </c>
      <c r="O646" s="17" t="s">
        <v>1151</v>
      </c>
      <c r="P646" s="17" t="s">
        <v>1152</v>
      </c>
      <c r="Q646">
        <f>33-14</f>
        <v>19</v>
      </c>
      <c r="R646" t="s">
        <v>31</v>
      </c>
      <c r="S646" t="s">
        <v>32</v>
      </c>
      <c r="T646">
        <v>19</v>
      </c>
      <c r="U646">
        <v>82</v>
      </c>
      <c r="V646">
        <v>15</v>
      </c>
      <c r="W646">
        <v>13.1</v>
      </c>
      <c r="X646">
        <v>28.2</v>
      </c>
      <c r="Z646" t="s">
        <v>145</v>
      </c>
      <c r="AB646" t="s">
        <v>121</v>
      </c>
      <c r="AC646" t="s">
        <v>122</v>
      </c>
    </row>
    <row r="647" spans="1:30" x14ac:dyDescent="0.2">
      <c r="A647" s="3">
        <v>42556</v>
      </c>
      <c r="B647" t="s">
        <v>23</v>
      </c>
      <c r="C647">
        <v>202</v>
      </c>
      <c r="D647">
        <v>1</v>
      </c>
      <c r="E647">
        <v>1</v>
      </c>
      <c r="F647" t="s">
        <v>24</v>
      </c>
      <c r="G647" t="s">
        <v>25</v>
      </c>
      <c r="H647" t="s">
        <v>26</v>
      </c>
      <c r="I647" t="s">
        <v>27</v>
      </c>
      <c r="J647" t="s">
        <v>34</v>
      </c>
      <c r="K647" t="s">
        <v>188</v>
      </c>
      <c r="L647" t="s">
        <v>35</v>
      </c>
      <c r="M647">
        <v>0</v>
      </c>
      <c r="N647">
        <v>1</v>
      </c>
      <c r="O647" s="17">
        <v>50637</v>
      </c>
      <c r="P647" s="17">
        <v>50638</v>
      </c>
      <c r="Q647">
        <f>24-10</f>
        <v>14</v>
      </c>
      <c r="R647" t="s">
        <v>63</v>
      </c>
      <c r="T647">
        <v>18</v>
      </c>
      <c r="U647">
        <v>85</v>
      </c>
      <c r="V647">
        <v>16</v>
      </c>
      <c r="W647">
        <v>12.6</v>
      </c>
      <c r="X647">
        <v>27.5</v>
      </c>
      <c r="Z647" t="s">
        <v>32</v>
      </c>
      <c r="AB647" t="s">
        <v>44</v>
      </c>
      <c r="AC647" t="s">
        <v>59</v>
      </c>
    </row>
    <row r="648" spans="1:30" x14ac:dyDescent="0.2">
      <c r="A648" s="3">
        <v>42557</v>
      </c>
      <c r="B648" t="s">
        <v>23</v>
      </c>
      <c r="C648">
        <v>202</v>
      </c>
      <c r="D648">
        <v>3</v>
      </c>
      <c r="E648">
        <v>2</v>
      </c>
      <c r="F648" t="s">
        <v>24</v>
      </c>
      <c r="G648" t="s">
        <v>25</v>
      </c>
      <c r="H648" t="s">
        <v>26</v>
      </c>
      <c r="I648" t="s">
        <v>27</v>
      </c>
      <c r="J648" t="s">
        <v>28</v>
      </c>
      <c r="K648" t="s">
        <v>188</v>
      </c>
      <c r="L648" t="s">
        <v>35</v>
      </c>
      <c r="M648">
        <v>0</v>
      </c>
      <c r="N648">
        <v>0</v>
      </c>
      <c r="O648" s="17">
        <v>50637</v>
      </c>
      <c r="P648" s="17">
        <v>50638</v>
      </c>
      <c r="Q648">
        <f>26-10</f>
        <v>16</v>
      </c>
      <c r="R648" t="s">
        <v>63</v>
      </c>
      <c r="T648">
        <v>19</v>
      </c>
      <c r="U648">
        <v>85.5</v>
      </c>
      <c r="V648">
        <v>18</v>
      </c>
      <c r="W648">
        <v>11.8</v>
      </c>
      <c r="X648">
        <v>27.4</v>
      </c>
      <c r="Z648" t="s">
        <v>32</v>
      </c>
      <c r="AB648" t="s">
        <v>44</v>
      </c>
      <c r="AC648" t="s">
        <v>122</v>
      </c>
    </row>
    <row r="649" spans="1:30" x14ac:dyDescent="0.2">
      <c r="A649" s="3">
        <v>42556</v>
      </c>
      <c r="B649" t="s">
        <v>23</v>
      </c>
      <c r="C649">
        <v>202</v>
      </c>
      <c r="D649">
        <v>4</v>
      </c>
      <c r="E649">
        <v>2</v>
      </c>
      <c r="F649" t="s">
        <v>24</v>
      </c>
      <c r="G649" t="s">
        <v>25</v>
      </c>
      <c r="H649" t="s">
        <v>26</v>
      </c>
      <c r="I649" t="s">
        <v>27</v>
      </c>
      <c r="J649" t="s">
        <v>34</v>
      </c>
      <c r="K649" t="s">
        <v>29</v>
      </c>
      <c r="L649" t="s">
        <v>35</v>
      </c>
      <c r="M649">
        <v>0</v>
      </c>
      <c r="N649">
        <v>1</v>
      </c>
      <c r="O649" s="17">
        <v>50640</v>
      </c>
      <c r="P649" s="17">
        <v>50639</v>
      </c>
      <c r="Q649">
        <f>28.5-9.5</f>
        <v>19</v>
      </c>
      <c r="R649" t="s">
        <v>63</v>
      </c>
      <c r="T649">
        <v>19</v>
      </c>
      <c r="U649">
        <v>87</v>
      </c>
      <c r="V649">
        <v>17</v>
      </c>
      <c r="W649">
        <v>13.3</v>
      </c>
      <c r="X649">
        <v>30.1</v>
      </c>
      <c r="Z649" t="s">
        <v>32</v>
      </c>
      <c r="AB649" t="s">
        <v>44</v>
      </c>
      <c r="AC649" t="s">
        <v>59</v>
      </c>
    </row>
    <row r="650" spans="1:30" x14ac:dyDescent="0.2">
      <c r="A650" s="3">
        <v>42557</v>
      </c>
      <c r="B650" t="s">
        <v>23</v>
      </c>
      <c r="C650">
        <v>202</v>
      </c>
      <c r="D650">
        <v>6</v>
      </c>
      <c r="E650">
        <v>1</v>
      </c>
      <c r="F650" t="s">
        <v>24</v>
      </c>
      <c r="G650" t="s">
        <v>25</v>
      </c>
      <c r="H650" t="s">
        <v>26</v>
      </c>
      <c r="I650" t="s">
        <v>27</v>
      </c>
      <c r="J650" t="s">
        <v>28</v>
      </c>
      <c r="K650" t="s">
        <v>29</v>
      </c>
      <c r="L650" t="s">
        <v>35</v>
      </c>
      <c r="M650">
        <v>0</v>
      </c>
      <c r="N650">
        <v>0</v>
      </c>
      <c r="O650" s="17">
        <v>50640</v>
      </c>
      <c r="P650" s="17">
        <v>50639</v>
      </c>
      <c r="Q650">
        <f>29-10</f>
        <v>19</v>
      </c>
      <c r="R650" t="s">
        <v>63</v>
      </c>
      <c r="T650">
        <v>19</v>
      </c>
      <c r="U650">
        <v>83.5</v>
      </c>
      <c r="V650">
        <v>16</v>
      </c>
      <c r="Z650" t="s">
        <v>32</v>
      </c>
      <c r="AB650" t="s">
        <v>44</v>
      </c>
      <c r="AC650" t="s">
        <v>122</v>
      </c>
      <c r="AD650" t="s">
        <v>435</v>
      </c>
    </row>
    <row r="651" spans="1:30" x14ac:dyDescent="0.2">
      <c r="A651" s="3">
        <v>42556</v>
      </c>
      <c r="B651" t="s">
        <v>23</v>
      </c>
      <c r="C651">
        <v>202</v>
      </c>
      <c r="D651">
        <v>5</v>
      </c>
      <c r="E651">
        <v>1</v>
      </c>
      <c r="F651" t="s">
        <v>24</v>
      </c>
      <c r="G651" t="s">
        <v>25</v>
      </c>
      <c r="H651" t="s">
        <v>26</v>
      </c>
      <c r="I651" t="s">
        <v>27</v>
      </c>
      <c r="J651" t="s">
        <v>34</v>
      </c>
      <c r="K651" t="s">
        <v>123</v>
      </c>
      <c r="L651" t="s">
        <v>35</v>
      </c>
      <c r="M651">
        <v>0</v>
      </c>
      <c r="N651">
        <v>1</v>
      </c>
      <c r="O651" s="17">
        <v>50642</v>
      </c>
      <c r="P651" s="17">
        <v>50641</v>
      </c>
      <c r="Q651">
        <f>23-9.5</f>
        <v>13.5</v>
      </c>
      <c r="R651" t="s">
        <v>63</v>
      </c>
      <c r="T651">
        <v>19</v>
      </c>
      <c r="U651">
        <v>82</v>
      </c>
      <c r="V651">
        <v>15</v>
      </c>
      <c r="W651">
        <v>12.4</v>
      </c>
      <c r="X651">
        <v>27.8</v>
      </c>
      <c r="Z651" t="s">
        <v>32</v>
      </c>
      <c r="AB651" t="s">
        <v>44</v>
      </c>
      <c r="AC651" t="s">
        <v>59</v>
      </c>
    </row>
    <row r="652" spans="1:30" x14ac:dyDescent="0.2">
      <c r="A652" s="3">
        <v>42557</v>
      </c>
      <c r="B652" t="s">
        <v>23</v>
      </c>
      <c r="C652">
        <v>202</v>
      </c>
      <c r="D652">
        <v>4</v>
      </c>
      <c r="E652">
        <v>2</v>
      </c>
      <c r="F652" t="s">
        <v>24</v>
      </c>
      <c r="G652" t="s">
        <v>25</v>
      </c>
      <c r="H652" t="s">
        <v>26</v>
      </c>
      <c r="I652" t="s">
        <v>27</v>
      </c>
      <c r="J652" t="s">
        <v>28</v>
      </c>
      <c r="K652" t="s">
        <v>123</v>
      </c>
      <c r="L652" t="s">
        <v>35</v>
      </c>
      <c r="M652">
        <v>0</v>
      </c>
      <c r="N652">
        <v>0</v>
      </c>
      <c r="O652" s="17">
        <v>50642</v>
      </c>
      <c r="P652" s="17">
        <v>50641</v>
      </c>
      <c r="Q652">
        <f>31-14.5</f>
        <v>16.5</v>
      </c>
      <c r="R652" t="s">
        <v>63</v>
      </c>
      <c r="T652">
        <v>18</v>
      </c>
      <c r="U652">
        <v>89</v>
      </c>
      <c r="V652">
        <v>14</v>
      </c>
      <c r="W652">
        <v>12.9</v>
      </c>
      <c r="X652">
        <v>26</v>
      </c>
      <c r="Y652" t="s">
        <v>437</v>
      </c>
      <c r="Z652" t="s">
        <v>32</v>
      </c>
      <c r="AB652" t="s">
        <v>44</v>
      </c>
      <c r="AC652" t="s">
        <v>122</v>
      </c>
    </row>
    <row r="653" spans="1:30" x14ac:dyDescent="0.2">
      <c r="A653" s="3">
        <v>42556</v>
      </c>
      <c r="B653" t="s">
        <v>23</v>
      </c>
      <c r="C653">
        <v>202</v>
      </c>
      <c r="D653">
        <v>6</v>
      </c>
      <c r="E653">
        <v>2</v>
      </c>
      <c r="F653" t="s">
        <v>24</v>
      </c>
      <c r="G653" t="s">
        <v>25</v>
      </c>
      <c r="H653" t="s">
        <v>26</v>
      </c>
      <c r="I653" t="s">
        <v>27</v>
      </c>
      <c r="J653" t="s">
        <v>34</v>
      </c>
      <c r="K653" t="s">
        <v>188</v>
      </c>
      <c r="L653" t="s">
        <v>35</v>
      </c>
      <c r="M653">
        <v>0</v>
      </c>
      <c r="N653">
        <v>1</v>
      </c>
      <c r="O653" s="17">
        <v>50644</v>
      </c>
      <c r="P653" s="17">
        <v>50643</v>
      </c>
      <c r="Q653">
        <v>15</v>
      </c>
      <c r="R653" t="s">
        <v>63</v>
      </c>
      <c r="T653">
        <v>18</v>
      </c>
      <c r="U653">
        <v>88</v>
      </c>
      <c r="V653">
        <v>13.5</v>
      </c>
      <c r="W653">
        <v>12.5</v>
      </c>
      <c r="X653">
        <v>28.6</v>
      </c>
      <c r="Y653" t="s">
        <v>425</v>
      </c>
      <c r="Z653" t="s">
        <v>32</v>
      </c>
      <c r="AB653" t="s">
        <v>44</v>
      </c>
      <c r="AC653" t="s">
        <v>59</v>
      </c>
    </row>
    <row r="654" spans="1:30" x14ac:dyDescent="0.2">
      <c r="A654" s="3">
        <v>42557</v>
      </c>
      <c r="B654" t="s">
        <v>23</v>
      </c>
      <c r="C654">
        <v>202</v>
      </c>
      <c r="D654">
        <v>5</v>
      </c>
      <c r="E654">
        <v>1</v>
      </c>
      <c r="F654" t="s">
        <v>24</v>
      </c>
      <c r="G654" t="s">
        <v>25</v>
      </c>
      <c r="H654" t="s">
        <v>26</v>
      </c>
      <c r="I654" t="s">
        <v>27</v>
      </c>
      <c r="J654" t="s">
        <v>28</v>
      </c>
      <c r="K654" t="s">
        <v>188</v>
      </c>
      <c r="L654" t="s">
        <v>30</v>
      </c>
      <c r="M654">
        <v>0</v>
      </c>
      <c r="N654">
        <v>0</v>
      </c>
      <c r="O654" s="17">
        <v>50644</v>
      </c>
      <c r="P654" s="17" t="s">
        <v>2210</v>
      </c>
      <c r="Q654">
        <f>25-9.5</f>
        <v>15.5</v>
      </c>
      <c r="R654" t="s">
        <v>31</v>
      </c>
      <c r="S654" t="s">
        <v>32</v>
      </c>
      <c r="T654">
        <v>18</v>
      </c>
      <c r="U654">
        <v>86.5</v>
      </c>
      <c r="V654">
        <v>15.5</v>
      </c>
      <c r="W654">
        <v>12.7</v>
      </c>
      <c r="X654">
        <v>28.2</v>
      </c>
      <c r="Z654" t="s">
        <v>32</v>
      </c>
      <c r="AB654" t="s">
        <v>44</v>
      </c>
      <c r="AC654" t="s">
        <v>122</v>
      </c>
    </row>
    <row r="655" spans="1:30" x14ac:dyDescent="0.2">
      <c r="A655" s="3">
        <v>42556</v>
      </c>
      <c r="B655" t="s">
        <v>23</v>
      </c>
      <c r="C655">
        <v>202</v>
      </c>
      <c r="D655">
        <v>7</v>
      </c>
      <c r="E655">
        <v>1</v>
      </c>
      <c r="F655" t="s">
        <v>24</v>
      </c>
      <c r="G655" t="s">
        <v>25</v>
      </c>
      <c r="H655" t="s">
        <v>26</v>
      </c>
      <c r="I655" t="s">
        <v>27</v>
      </c>
      <c r="J655" t="s">
        <v>34</v>
      </c>
      <c r="K655" t="s">
        <v>29</v>
      </c>
      <c r="L655" t="s">
        <v>30</v>
      </c>
      <c r="M655">
        <v>0</v>
      </c>
      <c r="N655">
        <v>1</v>
      </c>
      <c r="O655" s="17">
        <v>50645</v>
      </c>
      <c r="Q655">
        <f>34-12.5</f>
        <v>21.5</v>
      </c>
      <c r="R655" t="s">
        <v>94</v>
      </c>
      <c r="S655" t="s">
        <v>32</v>
      </c>
      <c r="T655">
        <v>17</v>
      </c>
      <c r="U655">
        <v>90</v>
      </c>
      <c r="V655">
        <v>17</v>
      </c>
      <c r="W655">
        <v>12.7</v>
      </c>
      <c r="X655">
        <v>27.7</v>
      </c>
      <c r="Z655" t="s">
        <v>32</v>
      </c>
      <c r="AB655" t="s">
        <v>44</v>
      </c>
      <c r="AC655" t="s">
        <v>59</v>
      </c>
    </row>
    <row r="656" spans="1:30" x14ac:dyDescent="0.2">
      <c r="A656" s="3">
        <v>42556</v>
      </c>
      <c r="B656" t="s">
        <v>23</v>
      </c>
      <c r="C656">
        <v>304</v>
      </c>
      <c r="D656">
        <v>1</v>
      </c>
      <c r="E656">
        <v>1</v>
      </c>
      <c r="F656" t="s">
        <v>24</v>
      </c>
      <c r="G656" t="s">
        <v>25</v>
      </c>
      <c r="H656" t="s">
        <v>26</v>
      </c>
      <c r="I656" t="s">
        <v>27</v>
      </c>
      <c r="J656" t="s">
        <v>34</v>
      </c>
      <c r="K656" t="s">
        <v>123</v>
      </c>
      <c r="L656" t="s">
        <v>35</v>
      </c>
      <c r="M656">
        <v>0</v>
      </c>
      <c r="N656">
        <v>1</v>
      </c>
      <c r="O656" s="17">
        <v>50646</v>
      </c>
      <c r="Q656">
        <v>12</v>
      </c>
      <c r="R656" t="s">
        <v>63</v>
      </c>
      <c r="T656">
        <v>20</v>
      </c>
      <c r="U656">
        <v>79</v>
      </c>
      <c r="V656">
        <v>13.5</v>
      </c>
      <c r="W656">
        <v>12.1</v>
      </c>
      <c r="X656">
        <v>26.9</v>
      </c>
      <c r="Z656" t="s">
        <v>32</v>
      </c>
      <c r="AB656" t="s">
        <v>44</v>
      </c>
      <c r="AC656" t="s">
        <v>70</v>
      </c>
    </row>
    <row r="657" spans="1:30" x14ac:dyDescent="0.2">
      <c r="A657" s="3">
        <v>42556</v>
      </c>
      <c r="B657" t="s">
        <v>23</v>
      </c>
      <c r="C657">
        <v>304</v>
      </c>
      <c r="D657">
        <v>3</v>
      </c>
      <c r="E657">
        <v>1</v>
      </c>
      <c r="F657" t="s">
        <v>24</v>
      </c>
      <c r="G657" t="s">
        <v>25</v>
      </c>
      <c r="H657" t="s">
        <v>26</v>
      </c>
      <c r="I657" t="s">
        <v>27</v>
      </c>
      <c r="J657" t="s">
        <v>34</v>
      </c>
      <c r="K657" t="s">
        <v>188</v>
      </c>
      <c r="L657" t="s">
        <v>35</v>
      </c>
      <c r="M657">
        <v>0</v>
      </c>
      <c r="N657">
        <v>1</v>
      </c>
      <c r="O657" s="17">
        <v>50647</v>
      </c>
      <c r="Q657">
        <f>26-10.5</f>
        <v>15.5</v>
      </c>
      <c r="R657" t="s">
        <v>63</v>
      </c>
      <c r="T657">
        <f>26-10.5</f>
        <v>15.5</v>
      </c>
      <c r="U657">
        <v>98</v>
      </c>
      <c r="V657">
        <v>16</v>
      </c>
      <c r="W657">
        <v>12.5</v>
      </c>
      <c r="X657">
        <v>26.9</v>
      </c>
      <c r="Z657" t="s">
        <v>32</v>
      </c>
      <c r="AB657" t="s">
        <v>44</v>
      </c>
      <c r="AC657" t="s">
        <v>59</v>
      </c>
    </row>
    <row r="658" spans="1:30" x14ac:dyDescent="0.2">
      <c r="A658" s="3">
        <v>42557</v>
      </c>
      <c r="B658" t="s">
        <v>23</v>
      </c>
      <c r="C658">
        <v>304</v>
      </c>
      <c r="D658">
        <v>2</v>
      </c>
      <c r="E658">
        <v>1</v>
      </c>
      <c r="F658" t="s">
        <v>24</v>
      </c>
      <c r="G658" t="s">
        <v>25</v>
      </c>
      <c r="H658" t="s">
        <v>26</v>
      </c>
      <c r="I658" t="s">
        <v>27</v>
      </c>
      <c r="J658" t="s">
        <v>45</v>
      </c>
      <c r="K658" t="s">
        <v>188</v>
      </c>
      <c r="L658" t="s">
        <v>35</v>
      </c>
      <c r="M658">
        <v>1</v>
      </c>
      <c r="N658">
        <v>0</v>
      </c>
      <c r="O658" s="17">
        <v>50647</v>
      </c>
      <c r="P658" s="17">
        <v>50653</v>
      </c>
      <c r="Q658">
        <v>14</v>
      </c>
      <c r="R658" t="s">
        <v>63</v>
      </c>
      <c r="T658">
        <v>20.5</v>
      </c>
      <c r="U658">
        <v>96.5</v>
      </c>
      <c r="V658">
        <v>13.5</v>
      </c>
      <c r="W658">
        <v>13</v>
      </c>
      <c r="X658">
        <v>29.7</v>
      </c>
      <c r="Z658" t="s">
        <v>32</v>
      </c>
      <c r="AB658" t="s">
        <v>44</v>
      </c>
      <c r="AC658" t="s">
        <v>122</v>
      </c>
    </row>
    <row r="659" spans="1:30" x14ac:dyDescent="0.2">
      <c r="A659" s="3">
        <v>42556</v>
      </c>
      <c r="B659" t="s">
        <v>23</v>
      </c>
      <c r="C659">
        <v>304</v>
      </c>
      <c r="D659">
        <v>5</v>
      </c>
      <c r="E659">
        <v>1</v>
      </c>
      <c r="F659" t="s">
        <v>24</v>
      </c>
      <c r="G659" t="s">
        <v>25</v>
      </c>
      <c r="H659" t="s">
        <v>26</v>
      </c>
      <c r="I659" t="s">
        <v>27</v>
      </c>
      <c r="J659" t="s">
        <v>34</v>
      </c>
      <c r="K659" t="s">
        <v>188</v>
      </c>
      <c r="L659" t="s">
        <v>35</v>
      </c>
      <c r="M659">
        <v>0</v>
      </c>
      <c r="N659">
        <v>1</v>
      </c>
      <c r="O659" s="17">
        <v>50648</v>
      </c>
      <c r="Q659">
        <v>16</v>
      </c>
      <c r="R659" t="s">
        <v>63</v>
      </c>
      <c r="T659">
        <v>16</v>
      </c>
      <c r="U659">
        <v>91</v>
      </c>
      <c r="V659">
        <v>18</v>
      </c>
      <c r="W659">
        <v>12.5</v>
      </c>
      <c r="X659">
        <v>27.7</v>
      </c>
      <c r="Z659" t="s">
        <v>32</v>
      </c>
      <c r="AB659" t="s">
        <v>44</v>
      </c>
      <c r="AC659" t="s">
        <v>59</v>
      </c>
    </row>
    <row r="660" spans="1:30" x14ac:dyDescent="0.2">
      <c r="A660" s="3">
        <v>42557</v>
      </c>
      <c r="B660" t="s">
        <v>23</v>
      </c>
      <c r="C660">
        <v>304</v>
      </c>
      <c r="D660">
        <v>6</v>
      </c>
      <c r="E660">
        <v>2</v>
      </c>
      <c r="F660" t="s">
        <v>33</v>
      </c>
      <c r="G660" t="s">
        <v>25</v>
      </c>
      <c r="H660" t="s">
        <v>26</v>
      </c>
      <c r="I660" t="s">
        <v>27</v>
      </c>
      <c r="J660" t="s">
        <v>45</v>
      </c>
      <c r="K660" t="s">
        <v>188</v>
      </c>
      <c r="L660" t="s">
        <v>35</v>
      </c>
      <c r="M660">
        <v>1</v>
      </c>
      <c r="N660">
        <v>0</v>
      </c>
      <c r="O660" s="17">
        <v>50648</v>
      </c>
      <c r="P660" s="17">
        <v>50564</v>
      </c>
      <c r="Q660">
        <v>15</v>
      </c>
      <c r="R660" t="s">
        <v>63</v>
      </c>
      <c r="T660">
        <v>21</v>
      </c>
      <c r="U660">
        <v>81</v>
      </c>
      <c r="V660">
        <v>15</v>
      </c>
      <c r="W660">
        <v>12.5</v>
      </c>
      <c r="X660">
        <v>27.3</v>
      </c>
      <c r="Z660" t="s">
        <v>32</v>
      </c>
      <c r="AB660" t="s">
        <v>44</v>
      </c>
      <c r="AC660" t="s">
        <v>122</v>
      </c>
      <c r="AD660" t="s">
        <v>432</v>
      </c>
    </row>
    <row r="661" spans="1:30" x14ac:dyDescent="0.2">
      <c r="A661" s="3">
        <v>42556</v>
      </c>
      <c r="B661" t="s">
        <v>23</v>
      </c>
      <c r="C661">
        <v>304</v>
      </c>
      <c r="D661">
        <v>7</v>
      </c>
      <c r="E661">
        <v>1</v>
      </c>
      <c r="F661" t="s">
        <v>24</v>
      </c>
      <c r="G661" t="s">
        <v>25</v>
      </c>
      <c r="H661" t="s">
        <v>26</v>
      </c>
      <c r="I661" t="s">
        <v>27</v>
      </c>
      <c r="J661" t="s">
        <v>34</v>
      </c>
      <c r="K661" t="s">
        <v>123</v>
      </c>
      <c r="L661" t="s">
        <v>35</v>
      </c>
      <c r="M661">
        <v>0</v>
      </c>
      <c r="N661">
        <v>1</v>
      </c>
      <c r="O661" s="17">
        <v>50650</v>
      </c>
      <c r="P661" s="17">
        <v>50649</v>
      </c>
      <c r="Q661">
        <f>25-10.5</f>
        <v>14.5</v>
      </c>
      <c r="R661" t="s">
        <v>63</v>
      </c>
      <c r="T661">
        <v>19</v>
      </c>
      <c r="U661">
        <v>85</v>
      </c>
      <c r="V661">
        <v>16</v>
      </c>
      <c r="W661">
        <v>12</v>
      </c>
      <c r="X661">
        <v>24.5</v>
      </c>
      <c r="Z661" t="s">
        <v>32</v>
      </c>
      <c r="AB661" t="s">
        <v>44</v>
      </c>
      <c r="AC661" t="s">
        <v>59</v>
      </c>
    </row>
    <row r="662" spans="1:30" x14ac:dyDescent="0.2">
      <c r="A662" s="3">
        <v>42557</v>
      </c>
      <c r="B662" t="s">
        <v>23</v>
      </c>
      <c r="C662">
        <v>304</v>
      </c>
      <c r="D662">
        <v>9</v>
      </c>
      <c r="E662">
        <v>2</v>
      </c>
      <c r="F662" t="s">
        <v>33</v>
      </c>
      <c r="G662" t="s">
        <v>25</v>
      </c>
      <c r="H662" t="s">
        <v>26</v>
      </c>
      <c r="I662" t="s">
        <v>27</v>
      </c>
      <c r="J662" t="s">
        <v>28</v>
      </c>
      <c r="K662" t="s">
        <v>123</v>
      </c>
      <c r="L662" t="s">
        <v>35</v>
      </c>
      <c r="M662">
        <v>0</v>
      </c>
      <c r="N662">
        <v>0</v>
      </c>
      <c r="O662" s="17">
        <v>50650</v>
      </c>
      <c r="P662" s="17">
        <v>50649</v>
      </c>
      <c r="Q662">
        <f>24.5-10.5</f>
        <v>14</v>
      </c>
      <c r="R662" t="s">
        <v>31</v>
      </c>
      <c r="S662" t="s">
        <v>32</v>
      </c>
      <c r="T662">
        <v>21</v>
      </c>
      <c r="U662">
        <v>72</v>
      </c>
      <c r="V662">
        <v>14</v>
      </c>
      <c r="W662">
        <v>12.4</v>
      </c>
      <c r="X662">
        <v>25.8</v>
      </c>
      <c r="Z662" t="s">
        <v>32</v>
      </c>
      <c r="AB662" t="s">
        <v>44</v>
      </c>
      <c r="AC662" t="s">
        <v>122</v>
      </c>
    </row>
    <row r="663" spans="1:30" x14ac:dyDescent="0.2">
      <c r="A663" s="3">
        <v>42558</v>
      </c>
      <c r="B663" t="s">
        <v>23</v>
      </c>
      <c r="C663">
        <v>304</v>
      </c>
      <c r="D663">
        <v>9</v>
      </c>
      <c r="E663">
        <v>1</v>
      </c>
      <c r="F663" t="s">
        <v>24</v>
      </c>
      <c r="G663" t="s">
        <v>25</v>
      </c>
      <c r="H663" t="s">
        <v>26</v>
      </c>
      <c r="I663" t="s">
        <v>27</v>
      </c>
      <c r="J663" t="s">
        <v>28</v>
      </c>
      <c r="K663" t="s">
        <v>123</v>
      </c>
      <c r="L663" t="s">
        <v>35</v>
      </c>
      <c r="M663">
        <v>0</v>
      </c>
      <c r="N663">
        <v>0</v>
      </c>
      <c r="O663" s="17">
        <v>50650</v>
      </c>
      <c r="P663" s="17">
        <v>50649</v>
      </c>
      <c r="Q663">
        <v>14</v>
      </c>
      <c r="R663" t="s">
        <v>63</v>
      </c>
      <c r="T663">
        <v>19</v>
      </c>
      <c r="U663">
        <v>85</v>
      </c>
      <c r="V663">
        <v>14</v>
      </c>
      <c r="W663">
        <v>12.5</v>
      </c>
      <c r="X663">
        <v>27.7</v>
      </c>
      <c r="Z663" t="s">
        <v>32</v>
      </c>
      <c r="AB663" t="s">
        <v>121</v>
      </c>
      <c r="AC663" t="s">
        <v>254</v>
      </c>
    </row>
    <row r="664" spans="1:30" x14ac:dyDescent="0.2">
      <c r="A664" s="3">
        <v>42570</v>
      </c>
      <c r="B664" t="s">
        <v>23</v>
      </c>
      <c r="C664">
        <v>304</v>
      </c>
      <c r="D664">
        <v>8</v>
      </c>
      <c r="E664">
        <v>2</v>
      </c>
      <c r="F664" t="s">
        <v>33</v>
      </c>
      <c r="G664" t="s">
        <v>25</v>
      </c>
      <c r="H664" t="s">
        <v>26</v>
      </c>
      <c r="I664" t="s">
        <v>27</v>
      </c>
      <c r="J664" t="s">
        <v>28</v>
      </c>
      <c r="K664" t="s">
        <v>123</v>
      </c>
      <c r="L664" t="s">
        <v>35</v>
      </c>
      <c r="M664">
        <v>0</v>
      </c>
      <c r="N664">
        <v>0</v>
      </c>
      <c r="O664" s="17">
        <v>50650</v>
      </c>
      <c r="P664" s="17">
        <v>50649</v>
      </c>
      <c r="Q664">
        <f>24-9</f>
        <v>15</v>
      </c>
      <c r="R664" t="s">
        <v>63</v>
      </c>
      <c r="T664">
        <v>19</v>
      </c>
      <c r="U664">
        <v>82</v>
      </c>
      <c r="V664">
        <v>13</v>
      </c>
      <c r="W664">
        <v>12.8</v>
      </c>
      <c r="X664">
        <v>26.4</v>
      </c>
      <c r="Z664" t="s">
        <v>145</v>
      </c>
      <c r="AA664" t="s">
        <v>260</v>
      </c>
      <c r="AB664" t="s">
        <v>121</v>
      </c>
      <c r="AC664" t="s">
        <v>59</v>
      </c>
    </row>
    <row r="665" spans="1:30" x14ac:dyDescent="0.2">
      <c r="A665" s="3">
        <v>42558</v>
      </c>
      <c r="B665" t="s">
        <v>23</v>
      </c>
      <c r="C665">
        <v>201</v>
      </c>
      <c r="D665">
        <v>1</v>
      </c>
      <c r="E665">
        <v>2</v>
      </c>
      <c r="F665" t="s">
        <v>24</v>
      </c>
      <c r="G665" t="s">
        <v>25</v>
      </c>
      <c r="H665" t="s">
        <v>26</v>
      </c>
      <c r="I665" t="s">
        <v>27</v>
      </c>
      <c r="J665" t="s">
        <v>34</v>
      </c>
      <c r="K665" t="s">
        <v>29</v>
      </c>
      <c r="L665" t="s">
        <v>30</v>
      </c>
      <c r="M665">
        <v>0</v>
      </c>
      <c r="N665">
        <v>1</v>
      </c>
      <c r="O665" s="17">
        <v>50659</v>
      </c>
      <c r="P665" s="17">
        <v>50658</v>
      </c>
      <c r="Q665">
        <f>34-9</f>
        <v>25</v>
      </c>
      <c r="R665" t="s">
        <v>94</v>
      </c>
      <c r="S665" t="s">
        <v>32</v>
      </c>
      <c r="T665">
        <v>19.5</v>
      </c>
      <c r="U665">
        <v>89</v>
      </c>
      <c r="V665">
        <v>17</v>
      </c>
      <c r="W665">
        <v>12.6</v>
      </c>
      <c r="X665">
        <v>30.4</v>
      </c>
      <c r="Z665" t="s">
        <v>32</v>
      </c>
      <c r="AB665" t="s">
        <v>121</v>
      </c>
      <c r="AC665" t="s">
        <v>254</v>
      </c>
    </row>
    <row r="666" spans="1:30" x14ac:dyDescent="0.2">
      <c r="A666" s="3">
        <v>42557</v>
      </c>
      <c r="B666" t="s">
        <v>23</v>
      </c>
      <c r="C666">
        <v>202</v>
      </c>
      <c r="D666">
        <v>5</v>
      </c>
      <c r="E666">
        <v>2</v>
      </c>
      <c r="F666" t="s">
        <v>24</v>
      </c>
      <c r="G666" t="s">
        <v>25</v>
      </c>
      <c r="H666" t="s">
        <v>26</v>
      </c>
      <c r="I666" t="s">
        <v>27</v>
      </c>
      <c r="J666" t="s">
        <v>34</v>
      </c>
      <c r="K666" t="s">
        <v>29</v>
      </c>
      <c r="L666" t="s">
        <v>30</v>
      </c>
      <c r="M666">
        <v>0</v>
      </c>
      <c r="N666">
        <v>1</v>
      </c>
      <c r="O666" s="17">
        <v>50661</v>
      </c>
      <c r="P666" s="17">
        <v>50660</v>
      </c>
      <c r="Q666">
        <f>32-12.5</f>
        <v>19.5</v>
      </c>
      <c r="R666" t="s">
        <v>75</v>
      </c>
      <c r="S666" t="s">
        <v>145</v>
      </c>
      <c r="T666">
        <v>17</v>
      </c>
      <c r="U666">
        <v>96</v>
      </c>
      <c r="V666">
        <v>17</v>
      </c>
      <c r="W666">
        <v>12.8</v>
      </c>
      <c r="X666">
        <v>28.2</v>
      </c>
      <c r="Z666" t="s">
        <v>32</v>
      </c>
      <c r="AB666" t="s">
        <v>44</v>
      </c>
      <c r="AC666" t="s">
        <v>122</v>
      </c>
    </row>
    <row r="667" spans="1:30" x14ac:dyDescent="0.2">
      <c r="A667" s="3">
        <v>42557</v>
      </c>
      <c r="B667" t="s">
        <v>23</v>
      </c>
      <c r="C667">
        <v>202</v>
      </c>
      <c r="D667">
        <v>2</v>
      </c>
      <c r="E667">
        <v>1</v>
      </c>
      <c r="F667" t="s">
        <v>24</v>
      </c>
      <c r="G667" t="s">
        <v>25</v>
      </c>
      <c r="H667" t="s">
        <v>26</v>
      </c>
      <c r="I667" t="s">
        <v>27</v>
      </c>
      <c r="J667" t="s">
        <v>34</v>
      </c>
      <c r="K667" t="s">
        <v>188</v>
      </c>
      <c r="L667" t="s">
        <v>35</v>
      </c>
      <c r="M667">
        <v>0</v>
      </c>
      <c r="N667">
        <v>1</v>
      </c>
      <c r="O667" s="17">
        <v>50663</v>
      </c>
      <c r="P667" s="17">
        <v>50662</v>
      </c>
      <c r="Q667">
        <f>24-10</f>
        <v>14</v>
      </c>
      <c r="R667" t="s">
        <v>63</v>
      </c>
      <c r="T667">
        <v>16</v>
      </c>
      <c r="U667">
        <v>80</v>
      </c>
      <c r="V667">
        <v>14</v>
      </c>
      <c r="W667">
        <v>12.6</v>
      </c>
      <c r="X667">
        <v>27</v>
      </c>
      <c r="Z667" t="s">
        <v>32</v>
      </c>
      <c r="AB667" t="s">
        <v>44</v>
      </c>
      <c r="AC667" t="s">
        <v>122</v>
      </c>
    </row>
    <row r="668" spans="1:30" x14ac:dyDescent="0.2">
      <c r="A668" s="3">
        <v>42558</v>
      </c>
      <c r="B668" t="s">
        <v>23</v>
      </c>
      <c r="C668">
        <v>202</v>
      </c>
      <c r="D668">
        <v>2</v>
      </c>
      <c r="E668">
        <v>1</v>
      </c>
      <c r="F668" t="s">
        <v>24</v>
      </c>
      <c r="G668" t="s">
        <v>25</v>
      </c>
      <c r="H668" t="s">
        <v>26</v>
      </c>
      <c r="I668" t="s">
        <v>27</v>
      </c>
      <c r="J668" t="s">
        <v>258</v>
      </c>
      <c r="O668" s="17">
        <v>50663</v>
      </c>
      <c r="P668" s="17">
        <v>50662</v>
      </c>
      <c r="Z668" t="s">
        <v>32</v>
      </c>
    </row>
    <row r="669" spans="1:30" x14ac:dyDescent="0.2">
      <c r="A669" s="3">
        <v>42557</v>
      </c>
      <c r="B669" t="s">
        <v>23</v>
      </c>
      <c r="C669">
        <v>203</v>
      </c>
      <c r="D669">
        <v>8</v>
      </c>
      <c r="E669">
        <v>1</v>
      </c>
      <c r="F669" t="s">
        <v>24</v>
      </c>
      <c r="G669" t="s">
        <v>25</v>
      </c>
      <c r="H669" t="s">
        <v>26</v>
      </c>
      <c r="I669" t="s">
        <v>27</v>
      </c>
      <c r="J669" t="s">
        <v>34</v>
      </c>
      <c r="K669" t="s">
        <v>123</v>
      </c>
      <c r="L669" t="s">
        <v>35</v>
      </c>
      <c r="M669">
        <v>0</v>
      </c>
      <c r="N669">
        <v>1</v>
      </c>
      <c r="O669" s="17">
        <v>50665</v>
      </c>
      <c r="P669" s="17">
        <v>50664</v>
      </c>
      <c r="Q669">
        <f>24.5-9.5</f>
        <v>15</v>
      </c>
      <c r="R669" t="s">
        <v>63</v>
      </c>
      <c r="T669">
        <v>19</v>
      </c>
      <c r="U669">
        <v>93</v>
      </c>
      <c r="V669">
        <v>16</v>
      </c>
      <c r="W669">
        <v>12.7</v>
      </c>
      <c r="X669">
        <v>27.5</v>
      </c>
      <c r="Z669" t="s">
        <v>32</v>
      </c>
      <c r="AB669" t="s">
        <v>44</v>
      </c>
      <c r="AC669" t="s">
        <v>122</v>
      </c>
    </row>
    <row r="670" spans="1:30" x14ac:dyDescent="0.2">
      <c r="A670" s="3">
        <v>42572</v>
      </c>
      <c r="B670" t="s">
        <v>23</v>
      </c>
      <c r="C670">
        <v>203</v>
      </c>
      <c r="D670">
        <v>6</v>
      </c>
      <c r="E670">
        <v>1</v>
      </c>
      <c r="F670" t="s">
        <v>33</v>
      </c>
      <c r="G670" t="s">
        <v>25</v>
      </c>
      <c r="H670" t="s">
        <v>26</v>
      </c>
      <c r="I670" t="s">
        <v>27</v>
      </c>
      <c r="J670" t="s">
        <v>28</v>
      </c>
      <c r="K670" t="s">
        <v>123</v>
      </c>
      <c r="L670" t="s">
        <v>35</v>
      </c>
      <c r="M670">
        <v>0</v>
      </c>
      <c r="N670">
        <v>0</v>
      </c>
      <c r="O670" s="17">
        <v>50665</v>
      </c>
      <c r="P670" s="17">
        <v>50664</v>
      </c>
      <c r="Q670">
        <v>15</v>
      </c>
      <c r="R670" t="s">
        <v>63</v>
      </c>
      <c r="T670">
        <v>19</v>
      </c>
      <c r="U670">
        <v>96</v>
      </c>
      <c r="V670">
        <v>13</v>
      </c>
      <c r="W670">
        <v>12.9</v>
      </c>
      <c r="X670">
        <v>26.7</v>
      </c>
      <c r="Z670" t="s">
        <v>32</v>
      </c>
      <c r="AB670" t="s">
        <v>121</v>
      </c>
      <c r="AC670" t="s">
        <v>59</v>
      </c>
    </row>
    <row r="671" spans="1:30" x14ac:dyDescent="0.2">
      <c r="A671" s="3">
        <v>42584</v>
      </c>
      <c r="B671" t="s">
        <v>23</v>
      </c>
      <c r="C671">
        <v>203</v>
      </c>
      <c r="D671">
        <v>9</v>
      </c>
      <c r="E671">
        <v>2</v>
      </c>
      <c r="F671" t="s">
        <v>24</v>
      </c>
      <c r="G671" t="s">
        <v>25</v>
      </c>
      <c r="H671" t="s">
        <v>26</v>
      </c>
      <c r="I671" t="s">
        <v>27</v>
      </c>
      <c r="J671" t="s">
        <v>28</v>
      </c>
      <c r="K671" t="s">
        <v>188</v>
      </c>
      <c r="L671" t="s">
        <v>35</v>
      </c>
      <c r="M671">
        <v>0</v>
      </c>
      <c r="N671">
        <v>0</v>
      </c>
      <c r="O671" s="17">
        <v>50665</v>
      </c>
      <c r="P671" s="17">
        <v>50664</v>
      </c>
      <c r="Q671">
        <f>30-13</f>
        <v>17</v>
      </c>
      <c r="R671" t="s">
        <v>63</v>
      </c>
      <c r="T671">
        <v>18</v>
      </c>
      <c r="U671">
        <v>96</v>
      </c>
      <c r="V671">
        <v>17</v>
      </c>
      <c r="W671">
        <v>13.2</v>
      </c>
      <c r="X671">
        <v>25.3</v>
      </c>
      <c r="Z671" t="s">
        <v>32</v>
      </c>
      <c r="AB671" t="s">
        <v>44</v>
      </c>
      <c r="AC671" t="s">
        <v>59</v>
      </c>
    </row>
    <row r="672" spans="1:30" x14ac:dyDescent="0.2">
      <c r="A672" s="3">
        <v>42585</v>
      </c>
      <c r="B672" t="s">
        <v>23</v>
      </c>
      <c r="C672">
        <v>203</v>
      </c>
      <c r="D672">
        <v>8</v>
      </c>
      <c r="E672">
        <v>1</v>
      </c>
      <c r="F672" t="s">
        <v>24</v>
      </c>
      <c r="G672" t="s">
        <v>25</v>
      </c>
      <c r="H672" t="s">
        <v>26</v>
      </c>
      <c r="I672" t="s">
        <v>27</v>
      </c>
      <c r="J672" t="s">
        <v>28</v>
      </c>
      <c r="K672" t="s">
        <v>188</v>
      </c>
      <c r="L672" t="s">
        <v>35</v>
      </c>
      <c r="M672">
        <v>0</v>
      </c>
      <c r="N672">
        <v>0</v>
      </c>
      <c r="O672" s="17">
        <v>50665</v>
      </c>
      <c r="P672" s="17">
        <v>50664</v>
      </c>
      <c r="Q672">
        <f>29.5-13</f>
        <v>16.5</v>
      </c>
      <c r="R672" t="s">
        <v>63</v>
      </c>
      <c r="T672">
        <v>18</v>
      </c>
      <c r="U672">
        <v>95</v>
      </c>
      <c r="V672">
        <v>17</v>
      </c>
      <c r="W672">
        <v>13</v>
      </c>
      <c r="X672">
        <v>27.3</v>
      </c>
      <c r="Z672" t="s">
        <v>32</v>
      </c>
      <c r="AB672" t="s">
        <v>44</v>
      </c>
      <c r="AC672" t="s">
        <v>59</v>
      </c>
    </row>
    <row r="673" spans="1:30" x14ac:dyDescent="0.2">
      <c r="A673" s="3">
        <v>42586</v>
      </c>
      <c r="B673" t="s">
        <v>23</v>
      </c>
      <c r="C673">
        <v>203</v>
      </c>
      <c r="D673">
        <v>5</v>
      </c>
      <c r="E673">
        <v>1</v>
      </c>
      <c r="F673" t="s">
        <v>24</v>
      </c>
      <c r="G673" t="s">
        <v>25</v>
      </c>
      <c r="H673" t="s">
        <v>26</v>
      </c>
      <c r="I673" t="s">
        <v>27</v>
      </c>
      <c r="J673" t="s">
        <v>28</v>
      </c>
      <c r="K673" t="s">
        <v>188</v>
      </c>
      <c r="L673" t="s">
        <v>35</v>
      </c>
      <c r="M673">
        <v>0</v>
      </c>
      <c r="N673">
        <v>0</v>
      </c>
      <c r="O673" s="17">
        <v>50665</v>
      </c>
      <c r="P673" s="17">
        <v>50664</v>
      </c>
      <c r="Q673">
        <f>29.5-13</f>
        <v>16.5</v>
      </c>
      <c r="R673" t="s">
        <v>63</v>
      </c>
      <c r="T673">
        <v>18</v>
      </c>
      <c r="U673">
        <v>97</v>
      </c>
      <c r="V673">
        <v>15.5</v>
      </c>
      <c r="W673">
        <v>12.9</v>
      </c>
      <c r="X673">
        <v>26</v>
      </c>
      <c r="Z673" t="s">
        <v>32</v>
      </c>
      <c r="AB673" t="s">
        <v>44</v>
      </c>
      <c r="AC673" t="s">
        <v>59</v>
      </c>
    </row>
    <row r="674" spans="1:30" x14ac:dyDescent="0.2">
      <c r="A674" s="3">
        <v>42598</v>
      </c>
      <c r="B674" t="s">
        <v>23</v>
      </c>
      <c r="C674">
        <v>203</v>
      </c>
      <c r="D674">
        <v>8</v>
      </c>
      <c r="E674">
        <v>2</v>
      </c>
      <c r="F674" t="s">
        <v>64</v>
      </c>
      <c r="G674" t="s">
        <v>25</v>
      </c>
      <c r="H674" t="s">
        <v>26</v>
      </c>
      <c r="I674" t="s">
        <v>27</v>
      </c>
      <c r="J674" t="s">
        <v>28</v>
      </c>
      <c r="K674" t="s">
        <v>188</v>
      </c>
      <c r="L674" t="s">
        <v>35</v>
      </c>
      <c r="M674">
        <v>0</v>
      </c>
      <c r="N674">
        <v>0</v>
      </c>
      <c r="O674" s="17" t="s">
        <v>1558</v>
      </c>
      <c r="P674" s="17" t="s">
        <v>1559</v>
      </c>
      <c r="Q674">
        <f>31.5-14.5</f>
        <v>17</v>
      </c>
      <c r="R674" t="s">
        <v>63</v>
      </c>
      <c r="T674">
        <v>19</v>
      </c>
      <c r="U674">
        <v>96</v>
      </c>
      <c r="V674">
        <v>15</v>
      </c>
      <c r="W674">
        <v>13</v>
      </c>
      <c r="X674">
        <v>27.5</v>
      </c>
      <c r="Z674" t="s">
        <v>145</v>
      </c>
      <c r="AA674" t="s">
        <v>260</v>
      </c>
      <c r="AB674" t="s">
        <v>121</v>
      </c>
      <c r="AC674" t="s">
        <v>122</v>
      </c>
    </row>
    <row r="675" spans="1:30" x14ac:dyDescent="0.2">
      <c r="A675" s="3">
        <v>42557</v>
      </c>
      <c r="B675" t="s">
        <v>23</v>
      </c>
      <c r="C675">
        <v>203</v>
      </c>
      <c r="D675">
        <v>3</v>
      </c>
      <c r="E675">
        <v>1</v>
      </c>
      <c r="F675" t="s">
        <v>24</v>
      </c>
      <c r="G675" t="s">
        <v>25</v>
      </c>
      <c r="H675" t="s">
        <v>26</v>
      </c>
      <c r="I675" t="s">
        <v>27</v>
      </c>
      <c r="J675" t="s">
        <v>34</v>
      </c>
      <c r="K675" t="s">
        <v>29</v>
      </c>
      <c r="L675" t="s">
        <v>30</v>
      </c>
      <c r="M675">
        <v>0</v>
      </c>
      <c r="N675">
        <v>1</v>
      </c>
      <c r="O675" s="17">
        <v>50668</v>
      </c>
      <c r="P675" s="17">
        <v>50667</v>
      </c>
      <c r="Q675">
        <f>36-9.5</f>
        <v>26.5</v>
      </c>
      <c r="R675" t="s">
        <v>273</v>
      </c>
      <c r="S675" t="s">
        <v>145</v>
      </c>
      <c r="T675">
        <v>19.5</v>
      </c>
      <c r="U675">
        <v>104</v>
      </c>
      <c r="V675">
        <v>17</v>
      </c>
      <c r="W675">
        <v>13</v>
      </c>
      <c r="X675">
        <v>26.7</v>
      </c>
      <c r="Z675" t="s">
        <v>32</v>
      </c>
      <c r="AB675" t="s">
        <v>44</v>
      </c>
      <c r="AC675" t="s">
        <v>122</v>
      </c>
    </row>
    <row r="676" spans="1:30" x14ac:dyDescent="0.2">
      <c r="A676" s="3">
        <v>42558</v>
      </c>
      <c r="B676" t="s">
        <v>23</v>
      </c>
      <c r="C676">
        <v>203</v>
      </c>
      <c r="D676">
        <v>2</v>
      </c>
      <c r="E676">
        <v>2</v>
      </c>
      <c r="F676" t="s">
        <v>24</v>
      </c>
      <c r="G676" t="s">
        <v>25</v>
      </c>
      <c r="H676" t="s">
        <v>26</v>
      </c>
      <c r="I676" t="s">
        <v>27</v>
      </c>
      <c r="J676" t="s">
        <v>28</v>
      </c>
      <c r="K676" t="s">
        <v>29</v>
      </c>
      <c r="L676" t="s">
        <v>30</v>
      </c>
      <c r="M676">
        <v>0</v>
      </c>
      <c r="N676">
        <v>0</v>
      </c>
      <c r="O676" s="17">
        <v>50668</v>
      </c>
      <c r="P676" s="17">
        <v>50667</v>
      </c>
      <c r="Q676">
        <v>26</v>
      </c>
      <c r="R676" t="s">
        <v>273</v>
      </c>
      <c r="S676" t="s">
        <v>145</v>
      </c>
      <c r="T676">
        <v>18</v>
      </c>
      <c r="U676">
        <v>100.5</v>
      </c>
      <c r="V676">
        <v>15</v>
      </c>
      <c r="W676">
        <v>13.6</v>
      </c>
      <c r="X676">
        <v>28.7</v>
      </c>
      <c r="Z676" t="s">
        <v>32</v>
      </c>
      <c r="AB676" t="s">
        <v>121</v>
      </c>
      <c r="AC676" t="s">
        <v>254</v>
      </c>
    </row>
    <row r="677" spans="1:30" x14ac:dyDescent="0.2">
      <c r="A677" s="3">
        <v>42570</v>
      </c>
      <c r="B677" t="s">
        <v>23</v>
      </c>
      <c r="C677">
        <v>203</v>
      </c>
      <c r="D677">
        <v>4</v>
      </c>
      <c r="E677">
        <v>2</v>
      </c>
      <c r="F677" t="s">
        <v>33</v>
      </c>
      <c r="G677" t="s">
        <v>25</v>
      </c>
      <c r="H677" t="s">
        <v>26</v>
      </c>
      <c r="I677" t="s">
        <v>27</v>
      </c>
      <c r="J677" t="s">
        <v>28</v>
      </c>
      <c r="K677" t="s">
        <v>29</v>
      </c>
      <c r="L677" t="s">
        <v>30</v>
      </c>
      <c r="M677">
        <v>0</v>
      </c>
      <c r="N677">
        <v>0</v>
      </c>
      <c r="O677" s="17">
        <v>50668</v>
      </c>
      <c r="P677" s="17">
        <v>50667</v>
      </c>
      <c r="Q677">
        <f>33-9</f>
        <v>24</v>
      </c>
      <c r="R677" t="s">
        <v>273</v>
      </c>
      <c r="S677" t="s">
        <v>145</v>
      </c>
      <c r="T677">
        <v>20</v>
      </c>
      <c r="U677">
        <v>105</v>
      </c>
      <c r="V677">
        <v>15</v>
      </c>
      <c r="W677">
        <v>12.9</v>
      </c>
      <c r="X677">
        <v>26.9</v>
      </c>
      <c r="Z677" t="s">
        <v>145</v>
      </c>
      <c r="AA677" t="s">
        <v>549</v>
      </c>
      <c r="AB677" t="s">
        <v>121</v>
      </c>
      <c r="AC677" t="s">
        <v>59</v>
      </c>
    </row>
    <row r="678" spans="1:30" x14ac:dyDescent="0.2">
      <c r="A678" s="3">
        <v>42557</v>
      </c>
      <c r="B678" t="s">
        <v>23</v>
      </c>
      <c r="C678">
        <v>201</v>
      </c>
      <c r="D678">
        <v>8</v>
      </c>
      <c r="E678">
        <v>1</v>
      </c>
      <c r="F678" t="s">
        <v>24</v>
      </c>
      <c r="G678" t="s">
        <v>25</v>
      </c>
      <c r="H678" t="s">
        <v>26</v>
      </c>
      <c r="I678" t="s">
        <v>27</v>
      </c>
      <c r="J678" t="s">
        <v>28</v>
      </c>
      <c r="K678" t="s">
        <v>188</v>
      </c>
      <c r="L678" t="s">
        <v>35</v>
      </c>
      <c r="M678">
        <v>0</v>
      </c>
      <c r="N678">
        <v>0</v>
      </c>
      <c r="O678" s="17">
        <v>50671</v>
      </c>
      <c r="P678" s="17">
        <v>50670</v>
      </c>
      <c r="Q678">
        <f>30.5-12.5</f>
        <v>18</v>
      </c>
      <c r="R678" t="s">
        <v>63</v>
      </c>
      <c r="T678">
        <v>19</v>
      </c>
      <c r="U678">
        <v>89</v>
      </c>
      <c r="V678">
        <v>18</v>
      </c>
      <c r="W678">
        <v>12.5</v>
      </c>
      <c r="X678">
        <v>27.4</v>
      </c>
      <c r="Z678" t="s">
        <v>32</v>
      </c>
      <c r="AB678" t="s">
        <v>44</v>
      </c>
      <c r="AC678" t="s">
        <v>122</v>
      </c>
    </row>
    <row r="679" spans="1:30" x14ac:dyDescent="0.2">
      <c r="A679" s="3">
        <v>42557</v>
      </c>
      <c r="B679" t="s">
        <v>23</v>
      </c>
      <c r="C679">
        <v>201</v>
      </c>
      <c r="D679">
        <v>9</v>
      </c>
      <c r="E679">
        <v>1</v>
      </c>
      <c r="F679" t="s">
        <v>24</v>
      </c>
      <c r="G679" t="s">
        <v>25</v>
      </c>
      <c r="H679" t="s">
        <v>26</v>
      </c>
      <c r="I679" t="s">
        <v>27</v>
      </c>
      <c r="J679" t="s">
        <v>34</v>
      </c>
      <c r="K679" t="s">
        <v>188</v>
      </c>
      <c r="L679" t="s">
        <v>35</v>
      </c>
      <c r="M679">
        <v>0</v>
      </c>
      <c r="N679">
        <v>1</v>
      </c>
      <c r="O679" s="17">
        <v>50671</v>
      </c>
      <c r="P679" s="17">
        <v>50670</v>
      </c>
      <c r="Q679">
        <v>16.5</v>
      </c>
      <c r="R679" t="s">
        <v>39</v>
      </c>
      <c r="T679">
        <v>18</v>
      </c>
      <c r="U679">
        <v>91</v>
      </c>
      <c r="V679">
        <v>15.5</v>
      </c>
      <c r="W679">
        <v>12.2</v>
      </c>
      <c r="X679">
        <v>27.7</v>
      </c>
      <c r="Z679" t="s">
        <v>32</v>
      </c>
      <c r="AB679" t="s">
        <v>44</v>
      </c>
      <c r="AC679" t="s">
        <v>122</v>
      </c>
    </row>
    <row r="680" spans="1:30" x14ac:dyDescent="0.2">
      <c r="A680" s="3">
        <v>42557</v>
      </c>
      <c r="B680" t="s">
        <v>23</v>
      </c>
      <c r="C680">
        <v>201</v>
      </c>
      <c r="D680">
        <v>3</v>
      </c>
      <c r="E680">
        <v>1</v>
      </c>
      <c r="F680" t="s">
        <v>24</v>
      </c>
      <c r="G680" t="s">
        <v>25</v>
      </c>
      <c r="H680" t="s">
        <v>26</v>
      </c>
      <c r="I680" t="s">
        <v>27</v>
      </c>
      <c r="J680" t="s">
        <v>34</v>
      </c>
      <c r="K680" t="s">
        <v>29</v>
      </c>
      <c r="L680" t="s">
        <v>35</v>
      </c>
      <c r="M680">
        <v>0</v>
      </c>
      <c r="N680">
        <v>1</v>
      </c>
      <c r="O680" s="17">
        <v>50675</v>
      </c>
      <c r="P680" s="17">
        <v>50674</v>
      </c>
      <c r="Q680">
        <f>31-9</f>
        <v>22</v>
      </c>
      <c r="R680" t="s">
        <v>39</v>
      </c>
      <c r="T680">
        <v>19.5</v>
      </c>
      <c r="U680">
        <v>82</v>
      </c>
      <c r="V680">
        <v>16</v>
      </c>
      <c r="W680">
        <v>12.7</v>
      </c>
      <c r="X680">
        <v>31</v>
      </c>
      <c r="Z680" t="s">
        <v>32</v>
      </c>
      <c r="AB680" t="s">
        <v>44</v>
      </c>
      <c r="AC680" t="s">
        <v>122</v>
      </c>
      <c r="AD680" t="s">
        <v>433</v>
      </c>
    </row>
    <row r="681" spans="1:30" x14ac:dyDescent="0.2">
      <c r="A681" s="3">
        <v>42550</v>
      </c>
      <c r="B681" t="s">
        <v>23</v>
      </c>
      <c r="C681">
        <v>801</v>
      </c>
      <c r="D681">
        <v>10</v>
      </c>
      <c r="E681">
        <v>1</v>
      </c>
      <c r="F681" t="s">
        <v>24</v>
      </c>
      <c r="G681" t="s">
        <v>25</v>
      </c>
      <c r="H681" t="s">
        <v>26</v>
      </c>
      <c r="I681" t="s">
        <v>27</v>
      </c>
      <c r="J681" t="s">
        <v>34</v>
      </c>
      <c r="K681" t="s">
        <v>29</v>
      </c>
      <c r="L681" t="s">
        <v>35</v>
      </c>
      <c r="M681">
        <v>0</v>
      </c>
      <c r="N681">
        <v>1</v>
      </c>
      <c r="O681" s="17">
        <v>50677</v>
      </c>
      <c r="P681" s="17">
        <v>50676</v>
      </c>
      <c r="Q681">
        <f>35-12.5</f>
        <v>22.5</v>
      </c>
      <c r="R681" t="s">
        <v>39</v>
      </c>
      <c r="T681">
        <v>19</v>
      </c>
      <c r="U681">
        <v>90</v>
      </c>
      <c r="V681">
        <v>16</v>
      </c>
      <c r="W681">
        <v>13.6</v>
      </c>
      <c r="X681">
        <v>28.8</v>
      </c>
      <c r="Z681" t="s">
        <v>32</v>
      </c>
      <c r="AB681" t="s">
        <v>53</v>
      </c>
      <c r="AC681" t="s">
        <v>70</v>
      </c>
    </row>
    <row r="682" spans="1:30" x14ac:dyDescent="0.2">
      <c r="A682" s="3">
        <v>42551</v>
      </c>
      <c r="B682" t="s">
        <v>23</v>
      </c>
      <c r="C682">
        <v>801</v>
      </c>
      <c r="D682">
        <v>6</v>
      </c>
      <c r="E682">
        <v>2</v>
      </c>
      <c r="F682" t="s">
        <v>24</v>
      </c>
      <c r="G682" t="s">
        <v>25</v>
      </c>
      <c r="H682" t="s">
        <v>26</v>
      </c>
      <c r="I682" t="s">
        <v>27</v>
      </c>
      <c r="J682" t="s">
        <v>28</v>
      </c>
      <c r="K682" t="s">
        <v>29</v>
      </c>
      <c r="L682" t="s">
        <v>35</v>
      </c>
      <c r="M682">
        <v>0</v>
      </c>
      <c r="N682">
        <v>0</v>
      </c>
      <c r="O682" s="17">
        <v>50677</v>
      </c>
      <c r="P682" s="17">
        <v>50676</v>
      </c>
      <c r="Q682">
        <f>35-12.5</f>
        <v>22.5</v>
      </c>
      <c r="R682" t="s">
        <v>39</v>
      </c>
      <c r="T682">
        <v>18</v>
      </c>
      <c r="U682">
        <v>88</v>
      </c>
      <c r="V682">
        <v>17</v>
      </c>
      <c r="W682">
        <v>12.8</v>
      </c>
      <c r="X682">
        <v>28.6</v>
      </c>
      <c r="Z682" t="s">
        <v>32</v>
      </c>
      <c r="AB682" t="s">
        <v>44</v>
      </c>
      <c r="AC682" t="s">
        <v>116</v>
      </c>
    </row>
    <row r="683" spans="1:30" x14ac:dyDescent="0.2">
      <c r="A683" s="3">
        <v>42563</v>
      </c>
      <c r="B683" t="s">
        <v>23</v>
      </c>
      <c r="C683">
        <v>801</v>
      </c>
      <c r="D683">
        <v>9</v>
      </c>
      <c r="E683">
        <v>2</v>
      </c>
      <c r="F683" t="s">
        <v>33</v>
      </c>
      <c r="G683" t="s">
        <v>25</v>
      </c>
      <c r="H683" t="s">
        <v>26</v>
      </c>
      <c r="I683" t="s">
        <v>27</v>
      </c>
      <c r="J683" t="s">
        <v>28</v>
      </c>
      <c r="K683" t="s">
        <v>29</v>
      </c>
      <c r="L683" t="s">
        <v>35</v>
      </c>
      <c r="M683">
        <v>0</v>
      </c>
      <c r="N683">
        <v>0</v>
      </c>
      <c r="O683" s="17">
        <v>50677</v>
      </c>
      <c r="P683" s="17">
        <v>50676</v>
      </c>
      <c r="Q683">
        <v>23</v>
      </c>
      <c r="R683" t="s">
        <v>39</v>
      </c>
      <c r="T683">
        <v>19</v>
      </c>
      <c r="U683">
        <v>82</v>
      </c>
      <c r="V683">
        <v>16</v>
      </c>
      <c r="W683">
        <v>12.9</v>
      </c>
      <c r="X683">
        <v>28.7</v>
      </c>
      <c r="Z683" t="s">
        <v>32</v>
      </c>
      <c r="AB683" t="s">
        <v>53</v>
      </c>
      <c r="AC683" t="s">
        <v>122</v>
      </c>
    </row>
    <row r="684" spans="1:30" x14ac:dyDescent="0.2">
      <c r="A684" s="3">
        <v>42564</v>
      </c>
      <c r="B684" t="s">
        <v>23</v>
      </c>
      <c r="C684">
        <v>801</v>
      </c>
      <c r="D684">
        <v>2</v>
      </c>
      <c r="E684">
        <v>2</v>
      </c>
      <c r="F684" t="s">
        <v>33</v>
      </c>
      <c r="G684" t="s">
        <v>25</v>
      </c>
      <c r="H684" t="s">
        <v>26</v>
      </c>
      <c r="I684" t="s">
        <v>27</v>
      </c>
      <c r="J684" t="s">
        <v>28</v>
      </c>
      <c r="K684" t="s">
        <v>29</v>
      </c>
      <c r="L684" t="s">
        <v>35</v>
      </c>
      <c r="M684">
        <v>0</v>
      </c>
      <c r="N684">
        <v>0</v>
      </c>
      <c r="O684" s="17">
        <v>50677</v>
      </c>
      <c r="P684" s="17">
        <v>50676</v>
      </c>
      <c r="Q684">
        <f>29-11</f>
        <v>18</v>
      </c>
      <c r="R684" t="s">
        <v>39</v>
      </c>
      <c r="T684">
        <v>20</v>
      </c>
      <c r="U684">
        <v>80</v>
      </c>
      <c r="V684">
        <v>15</v>
      </c>
      <c r="W684">
        <v>12.9</v>
      </c>
      <c r="X684">
        <v>26.8</v>
      </c>
      <c r="Z684" t="s">
        <v>32</v>
      </c>
      <c r="AB684" t="s">
        <v>121</v>
      </c>
      <c r="AC684" t="s">
        <v>122</v>
      </c>
    </row>
    <row r="685" spans="1:30" x14ac:dyDescent="0.2">
      <c r="A685" s="3">
        <v>42565</v>
      </c>
      <c r="B685" t="s">
        <v>23</v>
      </c>
      <c r="C685">
        <v>801</v>
      </c>
      <c r="D685">
        <v>6</v>
      </c>
      <c r="E685">
        <v>1</v>
      </c>
      <c r="F685" t="s">
        <v>33</v>
      </c>
      <c r="G685" t="s">
        <v>25</v>
      </c>
      <c r="H685" t="s">
        <v>26</v>
      </c>
      <c r="I685" t="s">
        <v>27</v>
      </c>
      <c r="J685" t="s">
        <v>28</v>
      </c>
      <c r="K685" t="s">
        <v>29</v>
      </c>
      <c r="L685" t="s">
        <v>35</v>
      </c>
      <c r="M685">
        <v>0</v>
      </c>
      <c r="N685">
        <v>0</v>
      </c>
      <c r="O685" s="17">
        <v>50677</v>
      </c>
      <c r="P685" s="17">
        <v>50676</v>
      </c>
      <c r="Q685">
        <v>19</v>
      </c>
      <c r="R685" t="s">
        <v>39</v>
      </c>
      <c r="T685">
        <v>19</v>
      </c>
      <c r="U685">
        <v>85</v>
      </c>
      <c r="V685">
        <v>15</v>
      </c>
      <c r="W685">
        <v>13</v>
      </c>
      <c r="X685">
        <v>27.6</v>
      </c>
      <c r="Z685" t="s">
        <v>32</v>
      </c>
      <c r="AB685" t="s">
        <v>121</v>
      </c>
      <c r="AC685" t="s">
        <v>254</v>
      </c>
      <c r="AD685" t="s">
        <v>598</v>
      </c>
    </row>
    <row r="686" spans="1:30" x14ac:dyDescent="0.2">
      <c r="A686" s="3">
        <v>42574</v>
      </c>
      <c r="B686" t="s">
        <v>23</v>
      </c>
      <c r="C686">
        <v>801</v>
      </c>
      <c r="D686">
        <v>5</v>
      </c>
      <c r="E686">
        <v>1</v>
      </c>
      <c r="F686" t="s">
        <v>24</v>
      </c>
      <c r="G686" t="s">
        <v>25</v>
      </c>
      <c r="H686" t="s">
        <v>26</v>
      </c>
      <c r="I686" t="s">
        <v>27</v>
      </c>
      <c r="J686" t="s">
        <v>28</v>
      </c>
      <c r="K686" t="s">
        <v>29</v>
      </c>
      <c r="L686" t="s">
        <v>35</v>
      </c>
      <c r="M686">
        <v>0</v>
      </c>
      <c r="N686">
        <v>0</v>
      </c>
      <c r="O686" s="17">
        <v>50677</v>
      </c>
      <c r="P686" s="17">
        <v>50676</v>
      </c>
      <c r="Q686">
        <v>24</v>
      </c>
      <c r="R686" t="s">
        <v>39</v>
      </c>
      <c r="T686">
        <v>18.5</v>
      </c>
      <c r="U686">
        <v>87.5</v>
      </c>
      <c r="V686">
        <v>17</v>
      </c>
      <c r="W686">
        <v>13.6</v>
      </c>
      <c r="X686">
        <v>30.2</v>
      </c>
      <c r="Z686" t="s">
        <v>145</v>
      </c>
      <c r="AB686" t="s">
        <v>582</v>
      </c>
      <c r="AC686" t="s">
        <v>59</v>
      </c>
    </row>
    <row r="687" spans="1:30" x14ac:dyDescent="0.2">
      <c r="A687" s="3">
        <v>42576</v>
      </c>
      <c r="B687" t="s">
        <v>23</v>
      </c>
      <c r="C687">
        <v>801</v>
      </c>
      <c r="D687">
        <v>3</v>
      </c>
      <c r="E687">
        <v>1</v>
      </c>
      <c r="F687" t="s">
        <v>66</v>
      </c>
      <c r="G687" t="s">
        <v>25</v>
      </c>
      <c r="H687" t="s">
        <v>26</v>
      </c>
      <c r="I687" t="s">
        <v>27</v>
      </c>
      <c r="J687" t="s">
        <v>28</v>
      </c>
      <c r="K687" t="s">
        <v>29</v>
      </c>
      <c r="L687" t="s">
        <v>35</v>
      </c>
      <c r="M687">
        <v>0</v>
      </c>
      <c r="N687">
        <v>0</v>
      </c>
      <c r="O687" s="17">
        <v>50677</v>
      </c>
      <c r="P687" s="17">
        <v>50676</v>
      </c>
      <c r="Q687">
        <v>22</v>
      </c>
      <c r="R687" t="s">
        <v>39</v>
      </c>
      <c r="T687">
        <v>20</v>
      </c>
      <c r="U687">
        <v>86</v>
      </c>
      <c r="V687">
        <v>15</v>
      </c>
      <c r="W687">
        <v>13</v>
      </c>
      <c r="X687">
        <v>28.8</v>
      </c>
      <c r="Z687" t="s">
        <v>145</v>
      </c>
      <c r="AB687" t="s">
        <v>121</v>
      </c>
      <c r="AC687" t="s">
        <v>122</v>
      </c>
    </row>
    <row r="688" spans="1:30" x14ac:dyDescent="0.2">
      <c r="A688" s="3">
        <v>42551</v>
      </c>
      <c r="B688" t="s">
        <v>23</v>
      </c>
      <c r="C688">
        <v>703</v>
      </c>
      <c r="D688">
        <v>4</v>
      </c>
      <c r="E688">
        <v>1</v>
      </c>
      <c r="F688" t="s">
        <v>24</v>
      </c>
      <c r="G688" t="s">
        <v>25</v>
      </c>
      <c r="H688" t="s">
        <v>26</v>
      </c>
      <c r="I688" t="s">
        <v>27</v>
      </c>
      <c r="J688" t="s">
        <v>34</v>
      </c>
      <c r="K688" t="s">
        <v>123</v>
      </c>
      <c r="L688" t="s">
        <v>30</v>
      </c>
      <c r="M688">
        <v>0</v>
      </c>
      <c r="N688">
        <v>1</v>
      </c>
      <c r="O688" s="17">
        <v>50690</v>
      </c>
      <c r="P688" s="17">
        <v>50689</v>
      </c>
      <c r="Q688">
        <f>23.5-11</f>
        <v>12.5</v>
      </c>
      <c r="R688" t="s">
        <v>31</v>
      </c>
      <c r="S688" t="s">
        <v>32</v>
      </c>
      <c r="T688">
        <v>18</v>
      </c>
      <c r="U688">
        <v>70</v>
      </c>
      <c r="V688">
        <v>13</v>
      </c>
      <c r="W688">
        <v>12.4</v>
      </c>
      <c r="X688">
        <v>26.4</v>
      </c>
      <c r="Z688" t="s">
        <v>32</v>
      </c>
      <c r="AB688" t="s">
        <v>44</v>
      </c>
      <c r="AC688" t="s">
        <v>116</v>
      </c>
    </row>
    <row r="689" spans="1:30" x14ac:dyDescent="0.2">
      <c r="A689" s="3">
        <v>42563</v>
      </c>
      <c r="B689" t="s">
        <v>23</v>
      </c>
      <c r="C689">
        <v>703</v>
      </c>
      <c r="D689">
        <v>3</v>
      </c>
      <c r="E689">
        <v>2</v>
      </c>
      <c r="F689" t="s">
        <v>33</v>
      </c>
      <c r="G689" t="s">
        <v>25</v>
      </c>
      <c r="H689" t="s">
        <v>26</v>
      </c>
      <c r="I689" t="s">
        <v>27</v>
      </c>
      <c r="J689" t="s">
        <v>28</v>
      </c>
      <c r="K689" t="s">
        <v>123</v>
      </c>
      <c r="L689" t="s">
        <v>30</v>
      </c>
      <c r="M689">
        <v>0</v>
      </c>
      <c r="N689">
        <v>0</v>
      </c>
      <c r="O689" s="17">
        <v>50690</v>
      </c>
      <c r="P689" s="17">
        <v>50689</v>
      </c>
      <c r="Q689">
        <f>22-9</f>
        <v>13</v>
      </c>
      <c r="R689" t="s">
        <v>31</v>
      </c>
      <c r="S689" t="s">
        <v>32</v>
      </c>
      <c r="T689">
        <v>19</v>
      </c>
      <c r="U689">
        <v>74</v>
      </c>
      <c r="V689">
        <v>13</v>
      </c>
      <c r="W689">
        <v>12.8</v>
      </c>
      <c r="X689">
        <v>25.3</v>
      </c>
      <c r="Z689" t="s">
        <v>145</v>
      </c>
      <c r="AA689" t="s">
        <v>260</v>
      </c>
      <c r="AB689" t="s">
        <v>53</v>
      </c>
      <c r="AC689" t="s">
        <v>122</v>
      </c>
    </row>
    <row r="690" spans="1:30" x14ac:dyDescent="0.2">
      <c r="A690" s="3">
        <v>42565</v>
      </c>
      <c r="B690" t="s">
        <v>23</v>
      </c>
      <c r="C690">
        <v>703</v>
      </c>
      <c r="D690">
        <v>6</v>
      </c>
      <c r="E690">
        <v>1</v>
      </c>
      <c r="F690" t="s">
        <v>33</v>
      </c>
      <c r="G690" t="s">
        <v>25</v>
      </c>
      <c r="H690" t="s">
        <v>26</v>
      </c>
      <c r="I690" t="s">
        <v>27</v>
      </c>
      <c r="J690" t="s">
        <v>28</v>
      </c>
      <c r="K690" t="s">
        <v>123</v>
      </c>
      <c r="L690" t="s">
        <v>30</v>
      </c>
      <c r="M690">
        <v>0</v>
      </c>
      <c r="N690">
        <v>0</v>
      </c>
      <c r="O690" s="17">
        <v>50690</v>
      </c>
      <c r="P690" s="17">
        <v>50689</v>
      </c>
      <c r="Q690">
        <f>24-11</f>
        <v>13</v>
      </c>
      <c r="R690" t="s">
        <v>31</v>
      </c>
      <c r="S690" t="s">
        <v>32</v>
      </c>
      <c r="T690">
        <v>19</v>
      </c>
      <c r="U690">
        <v>75</v>
      </c>
      <c r="V690">
        <v>15</v>
      </c>
      <c r="W690">
        <v>12.9</v>
      </c>
      <c r="X690">
        <v>26.4</v>
      </c>
      <c r="Z690" t="s">
        <v>145</v>
      </c>
      <c r="AB690" t="s">
        <v>121</v>
      </c>
      <c r="AC690" t="s">
        <v>254</v>
      </c>
    </row>
    <row r="691" spans="1:30" x14ac:dyDescent="0.2">
      <c r="A691" s="3">
        <v>42574</v>
      </c>
      <c r="B691" t="s">
        <v>23</v>
      </c>
      <c r="C691">
        <v>703</v>
      </c>
      <c r="D691">
        <v>7</v>
      </c>
      <c r="E691">
        <v>2</v>
      </c>
      <c r="F691" t="s">
        <v>24</v>
      </c>
      <c r="G691" t="s">
        <v>25</v>
      </c>
      <c r="H691" t="s">
        <v>26</v>
      </c>
      <c r="I691" t="s">
        <v>27</v>
      </c>
      <c r="J691" t="s">
        <v>28</v>
      </c>
      <c r="K691" t="s">
        <v>123</v>
      </c>
      <c r="L691" t="s">
        <v>30</v>
      </c>
      <c r="M691">
        <v>0</v>
      </c>
      <c r="N691">
        <v>0</v>
      </c>
      <c r="O691" s="17">
        <v>50690</v>
      </c>
      <c r="P691" s="17">
        <v>50689</v>
      </c>
      <c r="Q691">
        <f>28-14</f>
        <v>14</v>
      </c>
      <c r="R691" t="s">
        <v>31</v>
      </c>
      <c r="S691" t="s">
        <v>32</v>
      </c>
      <c r="T691">
        <v>19</v>
      </c>
      <c r="U691">
        <v>77.5</v>
      </c>
      <c r="V691">
        <v>15</v>
      </c>
      <c r="Z691" t="s">
        <v>145</v>
      </c>
      <c r="AB691" t="s">
        <v>582</v>
      </c>
      <c r="AC691" t="s">
        <v>59</v>
      </c>
    </row>
    <row r="692" spans="1:30" x14ac:dyDescent="0.2">
      <c r="A692" s="3">
        <v>42575</v>
      </c>
      <c r="B692" t="s">
        <v>23</v>
      </c>
      <c r="C692">
        <v>703</v>
      </c>
      <c r="D692">
        <v>3</v>
      </c>
      <c r="E692">
        <v>2</v>
      </c>
      <c r="F692" t="s">
        <v>24</v>
      </c>
      <c r="G692" t="s">
        <v>25</v>
      </c>
      <c r="H692" t="s">
        <v>26</v>
      </c>
      <c r="I692" t="s">
        <v>27</v>
      </c>
      <c r="J692" t="s">
        <v>28</v>
      </c>
      <c r="K692" t="s">
        <v>123</v>
      </c>
      <c r="L692" t="s">
        <v>30</v>
      </c>
      <c r="M692">
        <v>0</v>
      </c>
      <c r="N692">
        <v>0</v>
      </c>
      <c r="O692" s="17">
        <v>50690</v>
      </c>
      <c r="P692" s="17">
        <v>50689</v>
      </c>
      <c r="Q692">
        <v>14</v>
      </c>
      <c r="R692" t="s">
        <v>31</v>
      </c>
      <c r="S692" t="s">
        <v>32</v>
      </c>
      <c r="T692">
        <v>18</v>
      </c>
      <c r="U692">
        <v>76</v>
      </c>
      <c r="V692">
        <v>16</v>
      </c>
      <c r="W692">
        <v>12.6</v>
      </c>
      <c r="X692">
        <v>24.05</v>
      </c>
      <c r="Z692" t="s">
        <v>145</v>
      </c>
      <c r="AB692" t="s">
        <v>582</v>
      </c>
      <c r="AC692" t="s">
        <v>59</v>
      </c>
    </row>
    <row r="693" spans="1:30" x14ac:dyDescent="0.2">
      <c r="A693" s="3">
        <v>42592</v>
      </c>
      <c r="B693" t="s">
        <v>23</v>
      </c>
      <c r="C693">
        <v>703</v>
      </c>
      <c r="D693">
        <v>1</v>
      </c>
      <c r="E693">
        <v>1</v>
      </c>
      <c r="F693" t="s">
        <v>64</v>
      </c>
      <c r="G693" t="s">
        <v>25</v>
      </c>
      <c r="H693" t="s">
        <v>26</v>
      </c>
      <c r="I693" t="s">
        <v>27</v>
      </c>
      <c r="J693" t="s">
        <v>28</v>
      </c>
      <c r="K693" t="s">
        <v>123</v>
      </c>
      <c r="L693" t="s">
        <v>30</v>
      </c>
      <c r="M693">
        <v>0</v>
      </c>
      <c r="N693">
        <v>0</v>
      </c>
      <c r="O693" s="17" t="s">
        <v>1388</v>
      </c>
      <c r="P693" s="17" t="s">
        <v>1389</v>
      </c>
      <c r="Q693">
        <f>29.5-16.5</f>
        <v>13</v>
      </c>
      <c r="R693" t="s">
        <v>31</v>
      </c>
      <c r="S693" t="s">
        <v>32</v>
      </c>
      <c r="T693">
        <v>18</v>
      </c>
      <c r="U693">
        <v>80</v>
      </c>
      <c r="V693">
        <v>15</v>
      </c>
      <c r="W693">
        <v>12.6</v>
      </c>
      <c r="X693">
        <v>27.2</v>
      </c>
      <c r="Z693" t="s">
        <v>145</v>
      </c>
      <c r="AA693" t="s">
        <v>260</v>
      </c>
      <c r="AB693" t="s">
        <v>53</v>
      </c>
      <c r="AC693" t="s">
        <v>59</v>
      </c>
    </row>
    <row r="694" spans="1:30" x14ac:dyDescent="0.2">
      <c r="A694" s="3">
        <v>42604</v>
      </c>
      <c r="B694" t="s">
        <v>23</v>
      </c>
      <c r="C694">
        <v>703</v>
      </c>
      <c r="D694">
        <v>3</v>
      </c>
      <c r="E694">
        <v>2</v>
      </c>
      <c r="F694" t="s">
        <v>24</v>
      </c>
      <c r="G694" t="s">
        <v>25</v>
      </c>
      <c r="H694" t="s">
        <v>26</v>
      </c>
      <c r="I694" t="s">
        <v>27</v>
      </c>
      <c r="J694" t="s">
        <v>28</v>
      </c>
      <c r="K694" t="s">
        <v>188</v>
      </c>
      <c r="L694" t="s">
        <v>30</v>
      </c>
      <c r="M694">
        <v>0</v>
      </c>
      <c r="N694">
        <v>0</v>
      </c>
      <c r="O694" s="17" t="s">
        <v>1388</v>
      </c>
      <c r="P694" s="17" t="s">
        <v>1389</v>
      </c>
      <c r="Q694">
        <f>27-12.5</f>
        <v>14.5</v>
      </c>
      <c r="R694" t="s">
        <v>31</v>
      </c>
      <c r="S694" t="s">
        <v>32</v>
      </c>
      <c r="T694">
        <v>19</v>
      </c>
      <c r="U694">
        <v>76</v>
      </c>
      <c r="V694">
        <v>15</v>
      </c>
      <c r="W694">
        <v>12.7</v>
      </c>
      <c r="X694">
        <v>26</v>
      </c>
      <c r="Z694" t="s">
        <v>145</v>
      </c>
      <c r="AB694" t="s">
        <v>582</v>
      </c>
      <c r="AC694" t="s">
        <v>116</v>
      </c>
    </row>
    <row r="695" spans="1:30" x14ac:dyDescent="0.2">
      <c r="A695" s="3">
        <v>42605</v>
      </c>
      <c r="B695" t="s">
        <v>23</v>
      </c>
      <c r="C695">
        <v>703</v>
      </c>
      <c r="D695">
        <v>3</v>
      </c>
      <c r="E695">
        <v>1</v>
      </c>
      <c r="F695" t="s">
        <v>24</v>
      </c>
      <c r="G695" t="s">
        <v>25</v>
      </c>
      <c r="H695" t="s">
        <v>26</v>
      </c>
      <c r="I695" t="s">
        <v>27</v>
      </c>
      <c r="J695" t="s">
        <v>28</v>
      </c>
      <c r="K695" t="s">
        <v>188</v>
      </c>
      <c r="L695" t="s">
        <v>30</v>
      </c>
      <c r="M695">
        <v>0</v>
      </c>
      <c r="N695">
        <v>0</v>
      </c>
      <c r="O695" s="17" t="s">
        <v>1388</v>
      </c>
      <c r="P695" s="17" t="s">
        <v>1389</v>
      </c>
      <c r="Q695">
        <f>28-13</f>
        <v>15</v>
      </c>
      <c r="R695" t="s">
        <v>31</v>
      </c>
      <c r="S695" t="s">
        <v>32</v>
      </c>
      <c r="T695">
        <v>18.5</v>
      </c>
      <c r="U695">
        <v>79</v>
      </c>
      <c r="V695">
        <v>15</v>
      </c>
      <c r="W695">
        <v>12.6</v>
      </c>
      <c r="X695">
        <v>25.75</v>
      </c>
      <c r="Z695" t="s">
        <v>145</v>
      </c>
      <c r="AB695" t="s">
        <v>44</v>
      </c>
      <c r="AC695" t="s">
        <v>59</v>
      </c>
    </row>
    <row r="696" spans="1:30" x14ac:dyDescent="0.2">
      <c r="A696" s="3">
        <v>42606</v>
      </c>
      <c r="B696" t="s">
        <v>23</v>
      </c>
      <c r="C696">
        <v>703</v>
      </c>
      <c r="D696">
        <v>3</v>
      </c>
      <c r="E696">
        <v>2</v>
      </c>
      <c r="F696" t="s">
        <v>24</v>
      </c>
      <c r="G696" t="s">
        <v>25</v>
      </c>
      <c r="H696" t="s">
        <v>26</v>
      </c>
      <c r="I696" t="s">
        <v>27</v>
      </c>
      <c r="J696" t="s">
        <v>28</v>
      </c>
      <c r="K696" t="s">
        <v>188</v>
      </c>
      <c r="L696" t="s">
        <v>30</v>
      </c>
      <c r="M696">
        <v>0</v>
      </c>
      <c r="N696">
        <v>0</v>
      </c>
      <c r="O696" s="17" t="s">
        <v>1388</v>
      </c>
      <c r="P696" s="17" t="s">
        <v>1389</v>
      </c>
      <c r="Q696">
        <f>29-15</f>
        <v>14</v>
      </c>
      <c r="R696" t="s">
        <v>31</v>
      </c>
      <c r="S696" t="s">
        <v>32</v>
      </c>
      <c r="T696">
        <v>17</v>
      </c>
      <c r="U696">
        <v>79</v>
      </c>
      <c r="V696">
        <v>16</v>
      </c>
      <c r="W696">
        <v>13</v>
      </c>
      <c r="X696">
        <v>26</v>
      </c>
      <c r="Z696" t="s">
        <v>145</v>
      </c>
      <c r="AB696" t="s">
        <v>44</v>
      </c>
      <c r="AC696" t="s">
        <v>59</v>
      </c>
    </row>
    <row r="697" spans="1:30" x14ac:dyDescent="0.2">
      <c r="A697" s="3">
        <v>42551</v>
      </c>
      <c r="B697" t="s">
        <v>23</v>
      </c>
      <c r="C697">
        <v>703</v>
      </c>
      <c r="D697">
        <v>1</v>
      </c>
      <c r="E697">
        <v>2</v>
      </c>
      <c r="F697" t="s">
        <v>24</v>
      </c>
      <c r="G697" t="s">
        <v>25</v>
      </c>
      <c r="H697" t="s">
        <v>26</v>
      </c>
      <c r="I697" t="s">
        <v>27</v>
      </c>
      <c r="J697" t="s">
        <v>34</v>
      </c>
      <c r="K697" t="s">
        <v>123</v>
      </c>
      <c r="L697" t="s">
        <v>35</v>
      </c>
      <c r="M697">
        <v>0</v>
      </c>
      <c r="N697">
        <v>1</v>
      </c>
      <c r="O697" s="17">
        <v>50692</v>
      </c>
      <c r="P697" s="17">
        <v>50691</v>
      </c>
      <c r="Q697">
        <f>24.5-11.5</f>
        <v>13</v>
      </c>
      <c r="R697" t="s">
        <v>63</v>
      </c>
      <c r="T697">
        <v>18</v>
      </c>
      <c r="U697">
        <v>75</v>
      </c>
      <c r="V697">
        <v>14</v>
      </c>
      <c r="W697">
        <v>12.8</v>
      </c>
      <c r="X697">
        <v>25.7</v>
      </c>
      <c r="Y697" t="s">
        <v>341</v>
      </c>
      <c r="Z697" t="s">
        <v>32</v>
      </c>
      <c r="AB697" t="s">
        <v>44</v>
      </c>
      <c r="AC697" t="s">
        <v>116</v>
      </c>
    </row>
    <row r="698" spans="1:30" x14ac:dyDescent="0.2">
      <c r="A698" s="3">
        <v>42564</v>
      </c>
      <c r="B698" t="s">
        <v>23</v>
      </c>
      <c r="C698">
        <v>703</v>
      </c>
      <c r="D698">
        <v>1</v>
      </c>
      <c r="E698">
        <v>1</v>
      </c>
      <c r="F698" t="s">
        <v>33</v>
      </c>
      <c r="G698" t="s">
        <v>25</v>
      </c>
      <c r="H698" t="s">
        <v>26</v>
      </c>
      <c r="I698" t="s">
        <v>27</v>
      </c>
      <c r="J698" t="s">
        <v>28</v>
      </c>
      <c r="K698" t="s">
        <v>123</v>
      </c>
      <c r="L698" t="s">
        <v>35</v>
      </c>
      <c r="M698">
        <v>0</v>
      </c>
      <c r="N698">
        <v>0</v>
      </c>
      <c r="O698" s="17">
        <v>50692</v>
      </c>
      <c r="P698" s="17">
        <v>50691</v>
      </c>
      <c r="Q698">
        <f>23-9</f>
        <v>14</v>
      </c>
      <c r="R698" t="s">
        <v>63</v>
      </c>
      <c r="T698">
        <v>19</v>
      </c>
      <c r="U698">
        <v>71</v>
      </c>
      <c r="V698">
        <v>14</v>
      </c>
      <c r="W698">
        <v>12.8</v>
      </c>
      <c r="X698">
        <v>27.5</v>
      </c>
      <c r="Z698" t="s">
        <v>32</v>
      </c>
      <c r="AB698" t="s">
        <v>121</v>
      </c>
      <c r="AC698" t="s">
        <v>122</v>
      </c>
    </row>
    <row r="699" spans="1:30" x14ac:dyDescent="0.2">
      <c r="A699" s="3">
        <v>42565</v>
      </c>
      <c r="B699" t="s">
        <v>23</v>
      </c>
      <c r="C699">
        <v>703</v>
      </c>
      <c r="D699">
        <v>1</v>
      </c>
      <c r="E699">
        <v>2</v>
      </c>
      <c r="F699" t="s">
        <v>33</v>
      </c>
      <c r="G699" t="s">
        <v>25</v>
      </c>
      <c r="H699" t="s">
        <v>26</v>
      </c>
      <c r="I699" t="s">
        <v>27</v>
      </c>
      <c r="J699" t="s">
        <v>28</v>
      </c>
      <c r="K699" t="s">
        <v>123</v>
      </c>
      <c r="L699" t="s">
        <v>35</v>
      </c>
      <c r="M699">
        <v>0</v>
      </c>
      <c r="N699">
        <v>0</v>
      </c>
      <c r="O699" s="17">
        <v>50692</v>
      </c>
      <c r="P699" s="17">
        <v>50691</v>
      </c>
      <c r="Q699">
        <f>26-11.5</f>
        <v>14.5</v>
      </c>
      <c r="R699" t="s">
        <v>63</v>
      </c>
      <c r="T699">
        <v>19</v>
      </c>
      <c r="U699">
        <v>70</v>
      </c>
      <c r="V699">
        <v>14</v>
      </c>
      <c r="W699">
        <v>12.8</v>
      </c>
      <c r="X699">
        <v>26.5</v>
      </c>
      <c r="Z699" t="s">
        <v>32</v>
      </c>
      <c r="AB699" t="s">
        <v>121</v>
      </c>
      <c r="AC699" t="s">
        <v>254</v>
      </c>
    </row>
    <row r="700" spans="1:30" x14ac:dyDescent="0.2">
      <c r="A700" s="3">
        <v>42574</v>
      </c>
      <c r="B700" t="s">
        <v>23</v>
      </c>
      <c r="C700">
        <v>703</v>
      </c>
      <c r="D700">
        <v>1</v>
      </c>
      <c r="E700">
        <v>2</v>
      </c>
      <c r="F700" t="s">
        <v>24</v>
      </c>
      <c r="G700" t="s">
        <v>25</v>
      </c>
      <c r="H700" t="s">
        <v>26</v>
      </c>
      <c r="I700" t="s">
        <v>27</v>
      </c>
      <c r="J700" t="s">
        <v>28</v>
      </c>
      <c r="K700" t="s">
        <v>188</v>
      </c>
      <c r="L700" t="s">
        <v>35</v>
      </c>
      <c r="M700">
        <v>0</v>
      </c>
      <c r="N700">
        <v>0</v>
      </c>
      <c r="O700" s="17">
        <v>50692</v>
      </c>
      <c r="P700" s="17">
        <v>50691</v>
      </c>
      <c r="Q700">
        <f>23-9.5</f>
        <v>13.5</v>
      </c>
      <c r="R700" t="s">
        <v>63</v>
      </c>
      <c r="T700">
        <v>19</v>
      </c>
      <c r="U700">
        <v>80</v>
      </c>
      <c r="V700">
        <v>17</v>
      </c>
      <c r="W700">
        <v>12.7</v>
      </c>
      <c r="X700">
        <v>26.8</v>
      </c>
      <c r="Z700" t="s">
        <v>32</v>
      </c>
      <c r="AB700" t="s">
        <v>582</v>
      </c>
      <c r="AC700" t="s">
        <v>59</v>
      </c>
    </row>
    <row r="701" spans="1:30" x14ac:dyDescent="0.2">
      <c r="A701" s="3">
        <v>42550</v>
      </c>
      <c r="B701" t="s">
        <v>23</v>
      </c>
      <c r="C701">
        <v>801</v>
      </c>
      <c r="D701">
        <v>1</v>
      </c>
      <c r="E701">
        <v>1</v>
      </c>
      <c r="F701" t="s">
        <v>24</v>
      </c>
      <c r="G701" t="s">
        <v>25</v>
      </c>
      <c r="H701" t="s">
        <v>26</v>
      </c>
      <c r="I701" t="s">
        <v>27</v>
      </c>
      <c r="J701" t="s">
        <v>34</v>
      </c>
      <c r="K701" t="s">
        <v>188</v>
      </c>
      <c r="L701" t="s">
        <v>35</v>
      </c>
      <c r="M701">
        <v>0</v>
      </c>
      <c r="N701">
        <v>1</v>
      </c>
      <c r="O701" s="17">
        <v>50697</v>
      </c>
      <c r="P701" s="17">
        <v>50696</v>
      </c>
      <c r="Q701">
        <f>30-14.5</f>
        <v>15.5</v>
      </c>
      <c r="R701" t="s">
        <v>39</v>
      </c>
      <c r="T701">
        <v>18</v>
      </c>
      <c r="U701">
        <v>78</v>
      </c>
      <c r="V701">
        <v>15</v>
      </c>
      <c r="W701">
        <v>12</v>
      </c>
      <c r="X701">
        <v>26.1</v>
      </c>
      <c r="Z701" t="s">
        <v>32</v>
      </c>
      <c r="AB701" t="s">
        <v>53</v>
      </c>
      <c r="AC701" t="s">
        <v>59</v>
      </c>
    </row>
    <row r="702" spans="1:30" x14ac:dyDescent="0.2">
      <c r="A702" s="3">
        <v>42564</v>
      </c>
      <c r="B702" t="s">
        <v>23</v>
      </c>
      <c r="C702">
        <v>801</v>
      </c>
      <c r="D702">
        <v>1</v>
      </c>
      <c r="E702">
        <v>1</v>
      </c>
      <c r="F702" t="s">
        <v>33</v>
      </c>
      <c r="G702" t="s">
        <v>25</v>
      </c>
      <c r="H702" t="s">
        <v>26</v>
      </c>
      <c r="I702" t="s">
        <v>27</v>
      </c>
      <c r="J702" t="s">
        <v>28</v>
      </c>
      <c r="K702" t="s">
        <v>29</v>
      </c>
      <c r="L702" t="s">
        <v>35</v>
      </c>
      <c r="M702">
        <v>0</v>
      </c>
      <c r="N702">
        <v>0</v>
      </c>
      <c r="O702" s="17">
        <v>50697</v>
      </c>
      <c r="P702" s="17">
        <v>50696</v>
      </c>
      <c r="Q702">
        <f>32-11.5</f>
        <v>20.5</v>
      </c>
      <c r="R702" t="s">
        <v>39</v>
      </c>
      <c r="T702">
        <v>19</v>
      </c>
      <c r="U702">
        <v>74</v>
      </c>
      <c r="V702">
        <v>14</v>
      </c>
      <c r="W702">
        <v>12.9</v>
      </c>
      <c r="X702">
        <v>26.2</v>
      </c>
      <c r="Z702" t="s">
        <v>32</v>
      </c>
      <c r="AB702" t="s">
        <v>121</v>
      </c>
      <c r="AC702" t="s">
        <v>122</v>
      </c>
    </row>
    <row r="703" spans="1:30" x14ac:dyDescent="0.2">
      <c r="A703" s="3">
        <v>42565</v>
      </c>
      <c r="B703" t="s">
        <v>23</v>
      </c>
      <c r="C703">
        <v>801</v>
      </c>
      <c r="D703">
        <v>5</v>
      </c>
      <c r="E703">
        <v>2</v>
      </c>
      <c r="F703" t="s">
        <v>33</v>
      </c>
      <c r="G703" t="s">
        <v>25</v>
      </c>
      <c r="H703" t="s">
        <v>26</v>
      </c>
      <c r="I703" t="s">
        <v>27</v>
      </c>
      <c r="J703" t="s">
        <v>28</v>
      </c>
      <c r="K703" t="s">
        <v>29</v>
      </c>
      <c r="L703" t="s">
        <v>35</v>
      </c>
      <c r="M703">
        <v>0</v>
      </c>
      <c r="N703">
        <v>0</v>
      </c>
      <c r="O703" s="17">
        <v>50697</v>
      </c>
      <c r="P703" s="17">
        <v>50696</v>
      </c>
      <c r="Q703">
        <v>20</v>
      </c>
      <c r="R703" t="s">
        <v>39</v>
      </c>
      <c r="T703">
        <v>18</v>
      </c>
      <c r="U703">
        <v>72</v>
      </c>
      <c r="V703">
        <v>16</v>
      </c>
      <c r="W703">
        <v>12.8</v>
      </c>
      <c r="X703">
        <v>26.8</v>
      </c>
      <c r="Z703" t="s">
        <v>32</v>
      </c>
      <c r="AB703" t="s">
        <v>121</v>
      </c>
      <c r="AC703" t="s">
        <v>254</v>
      </c>
      <c r="AD703" t="s">
        <v>597</v>
      </c>
    </row>
    <row r="704" spans="1:30" x14ac:dyDescent="0.2">
      <c r="A704" s="3">
        <v>42576</v>
      </c>
      <c r="B704" t="s">
        <v>23</v>
      </c>
      <c r="C704">
        <v>801</v>
      </c>
      <c r="D704">
        <v>2</v>
      </c>
      <c r="E704">
        <v>1</v>
      </c>
      <c r="F704" t="s">
        <v>24</v>
      </c>
      <c r="G704" t="s">
        <v>25</v>
      </c>
      <c r="H704" t="s">
        <v>26</v>
      </c>
      <c r="I704" t="s">
        <v>27</v>
      </c>
      <c r="J704" t="s">
        <v>28</v>
      </c>
      <c r="K704" t="s">
        <v>29</v>
      </c>
      <c r="L704" t="s">
        <v>35</v>
      </c>
      <c r="M704">
        <v>0</v>
      </c>
      <c r="N704">
        <v>0</v>
      </c>
      <c r="O704" s="17">
        <v>50697</v>
      </c>
      <c r="P704" s="17">
        <v>50696</v>
      </c>
      <c r="Q704">
        <f>30.5-12</f>
        <v>18.5</v>
      </c>
      <c r="R704" t="s">
        <v>39</v>
      </c>
      <c r="T704">
        <v>18</v>
      </c>
      <c r="U704">
        <v>82</v>
      </c>
      <c r="Z704" t="s">
        <v>32</v>
      </c>
      <c r="AB704" t="s">
        <v>121</v>
      </c>
      <c r="AC704" t="s">
        <v>122</v>
      </c>
      <c r="AD704" t="s">
        <v>760</v>
      </c>
    </row>
    <row r="705" spans="1:29" x14ac:dyDescent="0.2">
      <c r="A705" s="3">
        <v>42550</v>
      </c>
      <c r="B705" t="s">
        <v>23</v>
      </c>
      <c r="C705">
        <v>701</v>
      </c>
      <c r="D705">
        <v>4</v>
      </c>
      <c r="E705">
        <v>1</v>
      </c>
      <c r="F705" t="s">
        <v>24</v>
      </c>
      <c r="G705" t="s">
        <v>25</v>
      </c>
      <c r="H705" t="s">
        <v>26</v>
      </c>
      <c r="I705" t="s">
        <v>27</v>
      </c>
      <c r="J705" t="s">
        <v>34</v>
      </c>
      <c r="K705" t="s">
        <v>123</v>
      </c>
      <c r="L705" t="s">
        <v>30</v>
      </c>
      <c r="M705">
        <v>0</v>
      </c>
      <c r="N705">
        <v>1</v>
      </c>
      <c r="O705" s="17">
        <v>50700</v>
      </c>
      <c r="P705" s="17">
        <v>50699</v>
      </c>
      <c r="Q705">
        <f>26-14</f>
        <v>12</v>
      </c>
      <c r="R705" t="s">
        <v>31</v>
      </c>
      <c r="S705" t="s">
        <v>32</v>
      </c>
      <c r="T705">
        <v>18</v>
      </c>
      <c r="U705">
        <v>69</v>
      </c>
      <c r="V705">
        <v>14</v>
      </c>
      <c r="W705">
        <v>11.8</v>
      </c>
      <c r="X705">
        <v>25.5</v>
      </c>
      <c r="Z705" t="s">
        <v>32</v>
      </c>
      <c r="AB705" t="s">
        <v>255</v>
      </c>
      <c r="AC705" t="s">
        <v>59</v>
      </c>
    </row>
    <row r="706" spans="1:29" x14ac:dyDescent="0.2">
      <c r="A706" s="3">
        <v>42551</v>
      </c>
      <c r="B706" t="s">
        <v>23</v>
      </c>
      <c r="C706">
        <v>701</v>
      </c>
      <c r="D706">
        <v>4</v>
      </c>
      <c r="E706">
        <v>2</v>
      </c>
      <c r="F706" t="s">
        <v>24</v>
      </c>
      <c r="G706" t="s">
        <v>25</v>
      </c>
      <c r="H706" t="s">
        <v>26</v>
      </c>
      <c r="I706" t="s">
        <v>27</v>
      </c>
      <c r="J706" t="s">
        <v>28</v>
      </c>
      <c r="K706" t="s">
        <v>123</v>
      </c>
      <c r="L706" t="s">
        <v>30</v>
      </c>
      <c r="M706">
        <v>0</v>
      </c>
      <c r="N706">
        <v>0</v>
      </c>
      <c r="O706" s="17">
        <v>50700</v>
      </c>
      <c r="P706" s="17">
        <v>50699</v>
      </c>
      <c r="Q706">
        <v>12</v>
      </c>
      <c r="R706" t="s">
        <v>31</v>
      </c>
      <c r="S706" t="s">
        <v>32</v>
      </c>
      <c r="T706">
        <v>18</v>
      </c>
      <c r="U706">
        <v>67.5</v>
      </c>
      <c r="V706">
        <v>13</v>
      </c>
      <c r="W706">
        <v>11.85</v>
      </c>
      <c r="X706">
        <v>24.4</v>
      </c>
      <c r="Z706" t="s">
        <v>32</v>
      </c>
      <c r="AB706" t="s">
        <v>60</v>
      </c>
      <c r="AC706" t="s">
        <v>116</v>
      </c>
    </row>
    <row r="707" spans="1:29" x14ac:dyDescent="0.2">
      <c r="A707" s="3">
        <v>42563</v>
      </c>
      <c r="B707" t="s">
        <v>23</v>
      </c>
      <c r="C707">
        <v>703</v>
      </c>
      <c r="D707">
        <v>9</v>
      </c>
      <c r="E707">
        <v>2</v>
      </c>
      <c r="F707" t="s">
        <v>33</v>
      </c>
      <c r="G707" t="s">
        <v>25</v>
      </c>
      <c r="H707" t="s">
        <v>26</v>
      </c>
      <c r="I707" t="s">
        <v>27</v>
      </c>
      <c r="J707" t="s">
        <v>28</v>
      </c>
      <c r="K707" t="s">
        <v>123</v>
      </c>
      <c r="L707" t="s">
        <v>30</v>
      </c>
      <c r="M707">
        <v>0</v>
      </c>
      <c r="N707">
        <v>0</v>
      </c>
      <c r="O707" s="17">
        <v>50700</v>
      </c>
      <c r="P707" s="17">
        <v>50769</v>
      </c>
      <c r="Q707">
        <f>25.5-13</f>
        <v>12.5</v>
      </c>
      <c r="R707" t="s">
        <v>31</v>
      </c>
      <c r="S707" t="s">
        <v>32</v>
      </c>
      <c r="T707">
        <v>19</v>
      </c>
      <c r="U707">
        <v>69</v>
      </c>
      <c r="V707">
        <v>14</v>
      </c>
      <c r="W707">
        <v>12.6</v>
      </c>
      <c r="X707">
        <v>26.6</v>
      </c>
      <c r="Z707" t="s">
        <v>32</v>
      </c>
      <c r="AB707" t="s">
        <v>53</v>
      </c>
      <c r="AC707" t="s">
        <v>122</v>
      </c>
    </row>
    <row r="708" spans="1:29" x14ac:dyDescent="0.2">
      <c r="A708" s="3">
        <v>42564</v>
      </c>
      <c r="B708" t="s">
        <v>23</v>
      </c>
      <c r="C708">
        <v>703</v>
      </c>
      <c r="D708">
        <v>8</v>
      </c>
      <c r="E708">
        <v>2</v>
      </c>
      <c r="F708" t="s">
        <v>33</v>
      </c>
      <c r="G708" t="s">
        <v>25</v>
      </c>
      <c r="H708" t="s">
        <v>26</v>
      </c>
      <c r="I708" t="s">
        <v>27</v>
      </c>
      <c r="J708" t="s">
        <v>28</v>
      </c>
      <c r="K708" t="s">
        <v>123</v>
      </c>
      <c r="L708" t="s">
        <v>30</v>
      </c>
      <c r="M708">
        <v>0</v>
      </c>
      <c r="N708">
        <v>0</v>
      </c>
      <c r="O708" s="17">
        <v>50700</v>
      </c>
      <c r="P708" s="17">
        <v>50699</v>
      </c>
      <c r="Q708">
        <f>22.5-11</f>
        <v>11.5</v>
      </c>
      <c r="R708" t="s">
        <v>31</v>
      </c>
      <c r="S708" t="s">
        <v>32</v>
      </c>
      <c r="T708">
        <v>20</v>
      </c>
      <c r="U708">
        <v>71</v>
      </c>
      <c r="V708">
        <v>14</v>
      </c>
      <c r="W708">
        <v>12.6</v>
      </c>
      <c r="X708">
        <v>26</v>
      </c>
      <c r="Z708" t="s">
        <v>32</v>
      </c>
      <c r="AB708" t="s">
        <v>121</v>
      </c>
      <c r="AC708" t="s">
        <v>122</v>
      </c>
    </row>
    <row r="709" spans="1:29" x14ac:dyDescent="0.2">
      <c r="A709" s="3">
        <v>42565</v>
      </c>
      <c r="B709" t="s">
        <v>23</v>
      </c>
      <c r="C709">
        <v>703</v>
      </c>
      <c r="D709">
        <v>9</v>
      </c>
      <c r="E709">
        <v>2</v>
      </c>
      <c r="F709" t="s">
        <v>33</v>
      </c>
      <c r="G709" t="s">
        <v>25</v>
      </c>
      <c r="H709" t="s">
        <v>26</v>
      </c>
      <c r="I709" t="s">
        <v>27</v>
      </c>
      <c r="J709" t="s">
        <v>28</v>
      </c>
      <c r="K709" t="s">
        <v>123</v>
      </c>
      <c r="L709" t="s">
        <v>30</v>
      </c>
      <c r="M709">
        <v>0</v>
      </c>
      <c r="N709">
        <v>0</v>
      </c>
      <c r="O709" s="17">
        <v>50700</v>
      </c>
      <c r="P709" s="17">
        <v>50699</v>
      </c>
      <c r="Q709">
        <f>23-10</f>
        <v>13</v>
      </c>
      <c r="R709" t="s">
        <v>31</v>
      </c>
      <c r="S709" t="s">
        <v>32</v>
      </c>
      <c r="T709">
        <v>19</v>
      </c>
      <c r="U709">
        <v>70</v>
      </c>
      <c r="V709">
        <v>16</v>
      </c>
      <c r="W709">
        <v>12.8</v>
      </c>
      <c r="X709">
        <v>26.1</v>
      </c>
      <c r="Z709" t="s">
        <v>32</v>
      </c>
      <c r="AB709" t="s">
        <v>121</v>
      </c>
      <c r="AC709" t="s">
        <v>254</v>
      </c>
    </row>
    <row r="710" spans="1:29" x14ac:dyDescent="0.2">
      <c r="A710" s="3">
        <v>42574</v>
      </c>
      <c r="B710" t="s">
        <v>23</v>
      </c>
      <c r="C710">
        <v>703</v>
      </c>
      <c r="D710">
        <v>8</v>
      </c>
      <c r="E710">
        <v>2</v>
      </c>
      <c r="F710" t="s">
        <v>24</v>
      </c>
      <c r="G710" t="s">
        <v>25</v>
      </c>
      <c r="H710" t="s">
        <v>26</v>
      </c>
      <c r="I710" t="s">
        <v>27</v>
      </c>
      <c r="J710" t="s">
        <v>28</v>
      </c>
      <c r="K710" t="s">
        <v>123</v>
      </c>
      <c r="L710" t="s">
        <v>30</v>
      </c>
      <c r="M710">
        <v>0</v>
      </c>
      <c r="N710">
        <v>0</v>
      </c>
      <c r="O710" s="17">
        <v>50700</v>
      </c>
      <c r="P710" s="17">
        <v>50699</v>
      </c>
      <c r="Q710">
        <f>28-15</f>
        <v>13</v>
      </c>
      <c r="R710" t="s">
        <v>39</v>
      </c>
      <c r="T710">
        <v>19</v>
      </c>
      <c r="U710">
        <v>68</v>
      </c>
      <c r="V710">
        <v>16</v>
      </c>
      <c r="W710">
        <v>12.4</v>
      </c>
      <c r="X710">
        <v>27.4</v>
      </c>
      <c r="Z710" t="s">
        <v>32</v>
      </c>
      <c r="AB710" t="s">
        <v>705</v>
      </c>
      <c r="AC710" t="s">
        <v>59</v>
      </c>
    </row>
    <row r="711" spans="1:29" x14ac:dyDescent="0.2">
      <c r="A711" s="3">
        <v>42575</v>
      </c>
      <c r="B711" t="s">
        <v>23</v>
      </c>
      <c r="C711">
        <v>701</v>
      </c>
      <c r="D711">
        <v>9</v>
      </c>
      <c r="E711">
        <v>1</v>
      </c>
      <c r="F711" t="s">
        <v>24</v>
      </c>
      <c r="G711" t="s">
        <v>25</v>
      </c>
      <c r="H711" t="s">
        <v>26</v>
      </c>
      <c r="I711" t="s">
        <v>27</v>
      </c>
      <c r="J711" t="s">
        <v>28</v>
      </c>
      <c r="K711" t="s">
        <v>123</v>
      </c>
      <c r="L711" t="s">
        <v>30</v>
      </c>
      <c r="M711">
        <v>0</v>
      </c>
      <c r="N711">
        <v>0</v>
      </c>
      <c r="O711" s="17">
        <v>50700</v>
      </c>
      <c r="P711" s="17">
        <v>50699</v>
      </c>
      <c r="Q711">
        <f>27-13</f>
        <v>14</v>
      </c>
      <c r="R711" t="s">
        <v>31</v>
      </c>
      <c r="S711" t="s">
        <v>32</v>
      </c>
      <c r="T711">
        <v>18</v>
      </c>
      <c r="U711">
        <v>74</v>
      </c>
      <c r="V711">
        <v>16.5</v>
      </c>
      <c r="W711">
        <v>12.3</v>
      </c>
      <c r="X711">
        <v>23.75</v>
      </c>
      <c r="Z711" t="s">
        <v>32</v>
      </c>
      <c r="AB711" t="s">
        <v>582</v>
      </c>
      <c r="AC711" t="s">
        <v>59</v>
      </c>
    </row>
    <row r="712" spans="1:29" x14ac:dyDescent="0.2">
      <c r="A712" s="3">
        <v>42591</v>
      </c>
      <c r="B712" t="s">
        <v>23</v>
      </c>
      <c r="C712">
        <v>703</v>
      </c>
      <c r="D712">
        <v>3</v>
      </c>
      <c r="E712">
        <v>1</v>
      </c>
      <c r="F712" t="s">
        <v>64</v>
      </c>
      <c r="G712" t="s">
        <v>25</v>
      </c>
      <c r="H712" t="s">
        <v>26</v>
      </c>
      <c r="I712" t="s">
        <v>27</v>
      </c>
      <c r="J712" t="s">
        <v>28</v>
      </c>
      <c r="K712" t="s">
        <v>123</v>
      </c>
      <c r="L712" t="s">
        <v>30</v>
      </c>
      <c r="M712">
        <v>0</v>
      </c>
      <c r="N712">
        <v>0</v>
      </c>
      <c r="O712" s="17" t="s">
        <v>1339</v>
      </c>
      <c r="P712" s="17" t="s">
        <v>1340</v>
      </c>
      <c r="Q712">
        <f>36-20.5</f>
        <v>15.5</v>
      </c>
      <c r="R712" t="s">
        <v>31</v>
      </c>
      <c r="S712" t="s">
        <v>32</v>
      </c>
      <c r="T712">
        <v>19</v>
      </c>
      <c r="U712">
        <v>76</v>
      </c>
      <c r="V712">
        <v>16</v>
      </c>
      <c r="W712">
        <v>12.9</v>
      </c>
      <c r="X712">
        <v>27</v>
      </c>
      <c r="Z712" t="s">
        <v>145</v>
      </c>
      <c r="AA712" t="s">
        <v>260</v>
      </c>
      <c r="AB712" t="s">
        <v>44</v>
      </c>
      <c r="AC712" t="s">
        <v>59</v>
      </c>
    </row>
    <row r="713" spans="1:29" x14ac:dyDescent="0.2">
      <c r="A713" s="3">
        <v>42592</v>
      </c>
      <c r="B713" t="s">
        <v>23</v>
      </c>
      <c r="C713">
        <v>703</v>
      </c>
      <c r="D713">
        <v>7</v>
      </c>
      <c r="E713">
        <v>1</v>
      </c>
      <c r="F713" t="s">
        <v>64</v>
      </c>
      <c r="G713" t="s">
        <v>25</v>
      </c>
      <c r="H713" t="s">
        <v>26</v>
      </c>
      <c r="I713" t="s">
        <v>27</v>
      </c>
      <c r="J713" t="s">
        <v>28</v>
      </c>
      <c r="K713" t="s">
        <v>123</v>
      </c>
      <c r="L713" t="s">
        <v>30</v>
      </c>
      <c r="M713">
        <v>0</v>
      </c>
      <c r="N713">
        <v>0</v>
      </c>
      <c r="O713" s="17" t="s">
        <v>1339</v>
      </c>
      <c r="P713" s="17" t="s">
        <v>1340</v>
      </c>
      <c r="Q713">
        <f>30-16</f>
        <v>14</v>
      </c>
      <c r="R713" t="s">
        <v>31</v>
      </c>
      <c r="S713" t="s">
        <v>32</v>
      </c>
      <c r="T713">
        <v>19</v>
      </c>
      <c r="U713">
        <v>75</v>
      </c>
      <c r="V713">
        <v>16</v>
      </c>
      <c r="W713">
        <v>12.8</v>
      </c>
      <c r="X713">
        <v>27.2</v>
      </c>
      <c r="Z713" t="s">
        <v>145</v>
      </c>
      <c r="AA713" t="s">
        <v>260</v>
      </c>
      <c r="AB713" t="s">
        <v>53</v>
      </c>
      <c r="AC713" t="s">
        <v>59</v>
      </c>
    </row>
    <row r="714" spans="1:29" x14ac:dyDescent="0.2">
      <c r="A714" s="3">
        <v>42593</v>
      </c>
      <c r="B714" t="s">
        <v>23</v>
      </c>
      <c r="C714">
        <v>703</v>
      </c>
      <c r="D714">
        <v>7</v>
      </c>
      <c r="E714">
        <v>2</v>
      </c>
      <c r="F714" t="s">
        <v>64</v>
      </c>
      <c r="G714" t="s">
        <v>25</v>
      </c>
      <c r="H714" t="s">
        <v>26</v>
      </c>
      <c r="I714" t="s">
        <v>27</v>
      </c>
      <c r="J714" t="s">
        <v>28</v>
      </c>
      <c r="K714" t="s">
        <v>123</v>
      </c>
      <c r="L714" t="s">
        <v>30</v>
      </c>
      <c r="M714">
        <v>0</v>
      </c>
      <c r="N714">
        <v>0</v>
      </c>
      <c r="O714" s="17" t="s">
        <v>1339</v>
      </c>
      <c r="P714" s="17" t="s">
        <v>1340</v>
      </c>
      <c r="Q714">
        <f>27-13</f>
        <v>14</v>
      </c>
      <c r="R714" t="s">
        <v>31</v>
      </c>
      <c r="S714" t="s">
        <v>32</v>
      </c>
      <c r="T714">
        <v>18</v>
      </c>
      <c r="U714">
        <v>75</v>
      </c>
      <c r="V714">
        <v>16</v>
      </c>
      <c r="W714">
        <v>12.6</v>
      </c>
      <c r="X714">
        <v>25.9</v>
      </c>
      <c r="Z714" t="s">
        <v>145</v>
      </c>
      <c r="AA714" t="s">
        <v>260</v>
      </c>
      <c r="AB714" t="s">
        <v>44</v>
      </c>
      <c r="AC714" t="s">
        <v>122</v>
      </c>
    </row>
    <row r="715" spans="1:29" x14ac:dyDescent="0.2">
      <c r="A715" s="3">
        <v>42604</v>
      </c>
      <c r="B715" t="s">
        <v>23</v>
      </c>
      <c r="C715">
        <v>703</v>
      </c>
      <c r="D715">
        <v>1</v>
      </c>
      <c r="E715">
        <v>2</v>
      </c>
      <c r="F715" t="s">
        <v>24</v>
      </c>
      <c r="G715" t="s">
        <v>25</v>
      </c>
      <c r="H715" t="s">
        <v>26</v>
      </c>
      <c r="I715" t="s">
        <v>27</v>
      </c>
      <c r="J715" t="s">
        <v>56</v>
      </c>
      <c r="O715" s="17" t="s">
        <v>1339</v>
      </c>
      <c r="P715" s="17" t="s">
        <v>1340</v>
      </c>
    </row>
    <row r="716" spans="1:29" x14ac:dyDescent="0.2">
      <c r="A716" s="3">
        <v>42570</v>
      </c>
      <c r="B716" t="s">
        <v>23</v>
      </c>
      <c r="C716">
        <v>112</v>
      </c>
      <c r="D716">
        <v>6</v>
      </c>
      <c r="E716">
        <v>2</v>
      </c>
      <c r="F716" t="s">
        <v>24</v>
      </c>
      <c r="G716" t="s">
        <v>25</v>
      </c>
      <c r="H716" t="s">
        <v>26</v>
      </c>
      <c r="I716" t="s">
        <v>27</v>
      </c>
      <c r="J716" t="s">
        <v>34</v>
      </c>
      <c r="K716" t="s">
        <v>188</v>
      </c>
      <c r="L716" t="s">
        <v>30</v>
      </c>
      <c r="M716">
        <v>0</v>
      </c>
      <c r="N716">
        <v>1</v>
      </c>
      <c r="O716" s="17">
        <v>50709</v>
      </c>
      <c r="P716" s="17">
        <v>50708</v>
      </c>
      <c r="Q716">
        <f>28-11.5</f>
        <v>16.5</v>
      </c>
      <c r="R716" t="s">
        <v>31</v>
      </c>
      <c r="S716" t="s">
        <v>32</v>
      </c>
      <c r="T716">
        <v>17</v>
      </c>
      <c r="U716">
        <v>85</v>
      </c>
      <c r="V716">
        <v>17</v>
      </c>
      <c r="W716">
        <v>13.2</v>
      </c>
      <c r="X716">
        <v>28.7</v>
      </c>
      <c r="Z716" t="s">
        <v>32</v>
      </c>
      <c r="AB716" t="s">
        <v>582</v>
      </c>
      <c r="AC716" t="s">
        <v>59</v>
      </c>
    </row>
    <row r="717" spans="1:29" x14ac:dyDescent="0.2">
      <c r="A717" s="3">
        <v>42571</v>
      </c>
      <c r="B717" t="s">
        <v>23</v>
      </c>
      <c r="C717">
        <v>112</v>
      </c>
      <c r="D717">
        <v>2</v>
      </c>
      <c r="E717">
        <v>1</v>
      </c>
      <c r="F717" t="s">
        <v>24</v>
      </c>
      <c r="G717" t="s">
        <v>25</v>
      </c>
      <c r="H717" t="s">
        <v>26</v>
      </c>
      <c r="I717" t="s">
        <v>27</v>
      </c>
      <c r="J717" t="s">
        <v>28</v>
      </c>
      <c r="K717" t="s">
        <v>188</v>
      </c>
      <c r="L717" t="s">
        <v>30</v>
      </c>
      <c r="M717">
        <v>0</v>
      </c>
      <c r="N717">
        <v>0</v>
      </c>
      <c r="O717" s="17">
        <v>50709</v>
      </c>
      <c r="P717" s="17">
        <v>50708</v>
      </c>
      <c r="Q717">
        <v>17</v>
      </c>
      <c r="R717" t="s">
        <v>31</v>
      </c>
      <c r="S717" t="s">
        <v>32</v>
      </c>
      <c r="T717">
        <v>19</v>
      </c>
      <c r="U717">
        <v>86.5</v>
      </c>
      <c r="V717">
        <v>15</v>
      </c>
      <c r="W717">
        <v>12.75</v>
      </c>
      <c r="X717">
        <v>25.6</v>
      </c>
      <c r="Z717" t="s">
        <v>32</v>
      </c>
      <c r="AB717" t="s">
        <v>44</v>
      </c>
      <c r="AC717" t="s">
        <v>59</v>
      </c>
    </row>
    <row r="718" spans="1:29" x14ac:dyDescent="0.2">
      <c r="A718" s="3">
        <v>42572</v>
      </c>
      <c r="B718" t="s">
        <v>23</v>
      </c>
      <c r="C718">
        <v>112</v>
      </c>
      <c r="D718">
        <v>2</v>
      </c>
      <c r="E718">
        <v>1</v>
      </c>
      <c r="F718" t="s">
        <v>24</v>
      </c>
      <c r="G718" t="s">
        <v>25</v>
      </c>
      <c r="H718" t="s">
        <v>26</v>
      </c>
      <c r="I718" t="s">
        <v>27</v>
      </c>
      <c r="J718" t="s">
        <v>28</v>
      </c>
      <c r="K718" t="s">
        <v>188</v>
      </c>
      <c r="L718" t="s">
        <v>30</v>
      </c>
      <c r="M718">
        <v>0</v>
      </c>
      <c r="N718">
        <v>0</v>
      </c>
      <c r="O718" s="17">
        <v>50709</v>
      </c>
      <c r="P718" s="17">
        <v>50708</v>
      </c>
      <c r="Q718">
        <f>28-9.5</f>
        <v>18.5</v>
      </c>
      <c r="R718" t="s">
        <v>31</v>
      </c>
      <c r="S718" t="s">
        <v>32</v>
      </c>
      <c r="T718">
        <v>18</v>
      </c>
      <c r="U718">
        <v>83</v>
      </c>
      <c r="V718">
        <v>16</v>
      </c>
      <c r="Z718" t="s">
        <v>32</v>
      </c>
      <c r="AB718" t="s">
        <v>121</v>
      </c>
      <c r="AC718" t="s">
        <v>122</v>
      </c>
    </row>
    <row r="719" spans="1:29" x14ac:dyDescent="0.2">
      <c r="A719" s="3">
        <v>42584</v>
      </c>
      <c r="B719" t="s">
        <v>23</v>
      </c>
      <c r="C719">
        <v>112</v>
      </c>
      <c r="D719">
        <v>2</v>
      </c>
      <c r="E719">
        <v>2</v>
      </c>
      <c r="F719" t="s">
        <v>33</v>
      </c>
      <c r="G719" t="s">
        <v>25</v>
      </c>
      <c r="H719" t="s">
        <v>26</v>
      </c>
      <c r="I719" t="s">
        <v>27</v>
      </c>
      <c r="J719" t="s">
        <v>28</v>
      </c>
      <c r="K719" t="s">
        <v>188</v>
      </c>
      <c r="L719" t="s">
        <v>30</v>
      </c>
      <c r="M719">
        <v>0</v>
      </c>
      <c r="N719">
        <v>0</v>
      </c>
      <c r="O719" s="17">
        <v>50709</v>
      </c>
      <c r="P719" s="17">
        <v>50708</v>
      </c>
      <c r="Q719">
        <f>33-16</f>
        <v>17</v>
      </c>
      <c r="R719" t="s">
        <v>83</v>
      </c>
      <c r="S719" t="s">
        <v>145</v>
      </c>
      <c r="T719">
        <v>19</v>
      </c>
      <c r="U719">
        <v>85</v>
      </c>
      <c r="V719">
        <v>16</v>
      </c>
      <c r="W719">
        <v>12.7</v>
      </c>
      <c r="X719">
        <v>27</v>
      </c>
      <c r="Z719" t="s">
        <v>32</v>
      </c>
      <c r="AB719" t="s">
        <v>121</v>
      </c>
      <c r="AC719" t="s">
        <v>59</v>
      </c>
    </row>
    <row r="720" spans="1:29" x14ac:dyDescent="0.2">
      <c r="A720" s="3">
        <v>42585</v>
      </c>
      <c r="B720" t="s">
        <v>23</v>
      </c>
      <c r="C720">
        <v>112</v>
      </c>
      <c r="D720">
        <v>2</v>
      </c>
      <c r="E720">
        <v>1</v>
      </c>
      <c r="F720" t="s">
        <v>64</v>
      </c>
      <c r="G720" t="s">
        <v>25</v>
      </c>
      <c r="H720" t="s">
        <v>26</v>
      </c>
      <c r="I720" t="s">
        <v>27</v>
      </c>
      <c r="J720" t="s">
        <v>28</v>
      </c>
      <c r="K720" t="s">
        <v>188</v>
      </c>
      <c r="L720" t="s">
        <v>30</v>
      </c>
      <c r="M720">
        <v>0</v>
      </c>
      <c r="N720">
        <v>0</v>
      </c>
      <c r="O720" s="17">
        <v>50709</v>
      </c>
      <c r="P720" s="17">
        <v>50708</v>
      </c>
      <c r="Q720">
        <f>22-5.5</f>
        <v>16.5</v>
      </c>
      <c r="R720" t="s">
        <v>83</v>
      </c>
      <c r="S720" t="s">
        <v>145</v>
      </c>
      <c r="T720">
        <v>19</v>
      </c>
      <c r="U720">
        <v>87</v>
      </c>
      <c r="V720">
        <v>16</v>
      </c>
      <c r="W720">
        <v>12.8</v>
      </c>
      <c r="X720">
        <v>27.8</v>
      </c>
      <c r="Z720" t="s">
        <v>32</v>
      </c>
      <c r="AB720" t="s">
        <v>53</v>
      </c>
      <c r="AC720" t="s">
        <v>122</v>
      </c>
    </row>
    <row r="721" spans="1:30" x14ac:dyDescent="0.2">
      <c r="A721" s="3">
        <v>42586</v>
      </c>
      <c r="B721" t="s">
        <v>23</v>
      </c>
      <c r="C721">
        <v>112</v>
      </c>
      <c r="D721">
        <v>4</v>
      </c>
      <c r="E721">
        <v>1</v>
      </c>
      <c r="F721" t="s">
        <v>64</v>
      </c>
      <c r="G721" t="s">
        <v>25</v>
      </c>
      <c r="H721" t="s">
        <v>26</v>
      </c>
      <c r="I721" t="s">
        <v>27</v>
      </c>
      <c r="J721" t="s">
        <v>28</v>
      </c>
      <c r="K721" t="s">
        <v>188</v>
      </c>
      <c r="L721" t="s">
        <v>30</v>
      </c>
      <c r="M721">
        <v>0</v>
      </c>
      <c r="N721">
        <v>0</v>
      </c>
      <c r="O721" s="17" t="s">
        <v>960</v>
      </c>
      <c r="P721" s="17" t="s">
        <v>961</v>
      </c>
      <c r="Q721">
        <f>30.5-14.5</f>
        <v>16</v>
      </c>
      <c r="R721" t="s">
        <v>61</v>
      </c>
      <c r="S721" t="s">
        <v>32</v>
      </c>
      <c r="T721">
        <v>19</v>
      </c>
      <c r="U721">
        <v>85</v>
      </c>
      <c r="V721">
        <v>15</v>
      </c>
      <c r="W721">
        <v>12.8</v>
      </c>
      <c r="X721">
        <v>26.7</v>
      </c>
      <c r="Z721" t="s">
        <v>32</v>
      </c>
      <c r="AB721" t="s">
        <v>53</v>
      </c>
      <c r="AC721" t="s">
        <v>122</v>
      </c>
    </row>
    <row r="722" spans="1:30" x14ac:dyDescent="0.2">
      <c r="A722" s="3">
        <v>42587</v>
      </c>
      <c r="B722" t="s">
        <v>23</v>
      </c>
      <c r="C722">
        <v>112</v>
      </c>
      <c r="D722">
        <v>2</v>
      </c>
      <c r="E722">
        <v>2</v>
      </c>
      <c r="F722" t="s">
        <v>64</v>
      </c>
      <c r="G722" t="s">
        <v>25</v>
      </c>
      <c r="H722" t="s">
        <v>26</v>
      </c>
      <c r="I722" t="s">
        <v>27</v>
      </c>
      <c r="J722" t="s">
        <v>28</v>
      </c>
      <c r="K722" t="s">
        <v>188</v>
      </c>
      <c r="L722" t="s">
        <v>30</v>
      </c>
      <c r="M722">
        <v>0</v>
      </c>
      <c r="N722">
        <v>0</v>
      </c>
      <c r="O722" s="17" t="s">
        <v>960</v>
      </c>
      <c r="P722" s="17" t="s">
        <v>961</v>
      </c>
      <c r="Q722">
        <f>32.5-11.5</f>
        <v>21</v>
      </c>
      <c r="R722" t="s">
        <v>61</v>
      </c>
      <c r="S722" t="s">
        <v>32</v>
      </c>
      <c r="T722">
        <v>18</v>
      </c>
      <c r="U722">
        <v>87</v>
      </c>
      <c r="V722">
        <v>16</v>
      </c>
      <c r="W722">
        <v>13</v>
      </c>
      <c r="X722">
        <v>26.8</v>
      </c>
      <c r="Z722" t="s">
        <v>32</v>
      </c>
      <c r="AB722" t="s">
        <v>53</v>
      </c>
      <c r="AC722" t="s">
        <v>254</v>
      </c>
    </row>
    <row r="723" spans="1:30" x14ac:dyDescent="0.2">
      <c r="A723" s="3">
        <v>42570</v>
      </c>
      <c r="B723" t="s">
        <v>23</v>
      </c>
      <c r="C723">
        <v>113</v>
      </c>
      <c r="D723">
        <v>1</v>
      </c>
      <c r="E723">
        <v>2</v>
      </c>
      <c r="F723" t="s">
        <v>24</v>
      </c>
      <c r="G723" t="s">
        <v>25</v>
      </c>
      <c r="H723" t="s">
        <v>26</v>
      </c>
      <c r="I723" t="s">
        <v>27</v>
      </c>
      <c r="J723" t="s">
        <v>34</v>
      </c>
      <c r="K723" t="s">
        <v>188</v>
      </c>
      <c r="L723" t="s">
        <v>30</v>
      </c>
      <c r="M723">
        <v>0</v>
      </c>
      <c r="N723">
        <v>1</v>
      </c>
      <c r="O723" s="17">
        <v>50712</v>
      </c>
      <c r="P723" s="17">
        <v>50711</v>
      </c>
      <c r="Q723">
        <v>18</v>
      </c>
      <c r="R723" t="s">
        <v>31</v>
      </c>
      <c r="S723" t="s">
        <v>32</v>
      </c>
      <c r="T723">
        <v>18</v>
      </c>
      <c r="U723">
        <v>89</v>
      </c>
      <c r="V723">
        <v>14</v>
      </c>
      <c r="W723">
        <v>12.7</v>
      </c>
      <c r="X723">
        <v>27.9</v>
      </c>
      <c r="Z723" t="s">
        <v>32</v>
      </c>
      <c r="AB723" t="s">
        <v>582</v>
      </c>
      <c r="AC723" t="s">
        <v>59</v>
      </c>
    </row>
    <row r="724" spans="1:30" x14ac:dyDescent="0.2">
      <c r="A724" s="3">
        <v>42571</v>
      </c>
      <c r="B724" t="s">
        <v>23</v>
      </c>
      <c r="C724">
        <v>113</v>
      </c>
      <c r="D724">
        <v>3</v>
      </c>
      <c r="E724">
        <v>1</v>
      </c>
      <c r="F724" t="s">
        <v>24</v>
      </c>
      <c r="G724" t="s">
        <v>25</v>
      </c>
      <c r="H724" t="s">
        <v>26</v>
      </c>
      <c r="I724" t="s">
        <v>27</v>
      </c>
      <c r="J724" t="s">
        <v>28</v>
      </c>
      <c r="K724" t="s">
        <v>188</v>
      </c>
      <c r="L724" t="s">
        <v>30</v>
      </c>
      <c r="M724">
        <v>0</v>
      </c>
      <c r="N724">
        <v>0</v>
      </c>
      <c r="O724" s="17">
        <v>50712</v>
      </c>
      <c r="P724" s="17">
        <v>50711</v>
      </c>
      <c r="Q724">
        <f>26.5-9.5</f>
        <v>17</v>
      </c>
      <c r="R724" t="s">
        <v>31</v>
      </c>
      <c r="S724" t="s">
        <v>32</v>
      </c>
      <c r="T724">
        <v>18</v>
      </c>
      <c r="U724">
        <v>90.5</v>
      </c>
      <c r="V724">
        <v>17</v>
      </c>
      <c r="W724">
        <v>12.6</v>
      </c>
      <c r="X724">
        <v>25.9</v>
      </c>
      <c r="Z724" t="s">
        <v>32</v>
      </c>
      <c r="AB724" t="s">
        <v>44</v>
      </c>
      <c r="AC724" t="s">
        <v>59</v>
      </c>
    </row>
    <row r="725" spans="1:30" x14ac:dyDescent="0.2">
      <c r="A725" s="3">
        <v>42570</v>
      </c>
      <c r="B725" t="s">
        <v>23</v>
      </c>
      <c r="C725">
        <v>113</v>
      </c>
      <c r="D725">
        <v>8</v>
      </c>
      <c r="E725">
        <v>2</v>
      </c>
      <c r="F725" t="s">
        <v>24</v>
      </c>
      <c r="G725" t="s">
        <v>25</v>
      </c>
      <c r="H725" t="s">
        <v>26</v>
      </c>
      <c r="I725" t="s">
        <v>27</v>
      </c>
      <c r="J725" t="s">
        <v>34</v>
      </c>
      <c r="K725" t="s">
        <v>188</v>
      </c>
      <c r="L725" t="s">
        <v>35</v>
      </c>
      <c r="M725">
        <v>0</v>
      </c>
      <c r="N725">
        <v>1</v>
      </c>
      <c r="O725" s="17">
        <v>50716</v>
      </c>
      <c r="P725" s="17">
        <v>50715</v>
      </c>
      <c r="Q725">
        <f>30-12</f>
        <v>18</v>
      </c>
      <c r="R725" t="s">
        <v>63</v>
      </c>
      <c r="T725">
        <v>19</v>
      </c>
      <c r="U725">
        <v>85</v>
      </c>
      <c r="V725">
        <v>16</v>
      </c>
      <c r="W725">
        <v>12.8</v>
      </c>
      <c r="X725">
        <v>24</v>
      </c>
      <c r="Z725" t="s">
        <v>32</v>
      </c>
      <c r="AB725" t="s">
        <v>582</v>
      </c>
      <c r="AC725" t="s">
        <v>59</v>
      </c>
    </row>
    <row r="726" spans="1:30" x14ac:dyDescent="0.2">
      <c r="A726" s="3">
        <v>42571</v>
      </c>
      <c r="B726" t="s">
        <v>23</v>
      </c>
      <c r="C726">
        <v>113</v>
      </c>
      <c r="D726">
        <v>10</v>
      </c>
      <c r="E726">
        <v>2</v>
      </c>
      <c r="F726" t="s">
        <v>24</v>
      </c>
      <c r="G726" t="s">
        <v>25</v>
      </c>
      <c r="H726" t="s">
        <v>26</v>
      </c>
      <c r="I726" t="s">
        <v>27</v>
      </c>
      <c r="J726" t="s">
        <v>28</v>
      </c>
      <c r="K726" t="s">
        <v>188</v>
      </c>
      <c r="L726" t="s">
        <v>35</v>
      </c>
      <c r="M726">
        <v>0</v>
      </c>
      <c r="N726">
        <v>0</v>
      </c>
      <c r="O726" s="17">
        <v>50716</v>
      </c>
      <c r="P726" s="17">
        <v>50715</v>
      </c>
      <c r="Q726">
        <f>28-10.5</f>
        <v>17.5</v>
      </c>
      <c r="R726" t="s">
        <v>63</v>
      </c>
      <c r="T726">
        <v>18</v>
      </c>
      <c r="U726">
        <v>82</v>
      </c>
      <c r="V726">
        <v>15</v>
      </c>
      <c r="W726">
        <v>13</v>
      </c>
      <c r="X726">
        <v>25.6</v>
      </c>
      <c r="Z726" t="s">
        <v>32</v>
      </c>
      <c r="AB726" t="s">
        <v>44</v>
      </c>
      <c r="AC726" t="s">
        <v>59</v>
      </c>
    </row>
    <row r="727" spans="1:30" x14ac:dyDescent="0.2">
      <c r="A727" s="3">
        <v>42572</v>
      </c>
      <c r="B727" t="s">
        <v>23</v>
      </c>
      <c r="C727">
        <v>113</v>
      </c>
      <c r="D727">
        <v>7</v>
      </c>
      <c r="E727">
        <v>1</v>
      </c>
      <c r="F727" t="s">
        <v>24</v>
      </c>
      <c r="G727" t="s">
        <v>25</v>
      </c>
      <c r="H727" t="s">
        <v>26</v>
      </c>
      <c r="I727" t="s">
        <v>27</v>
      </c>
      <c r="J727" t="s">
        <v>28</v>
      </c>
      <c r="K727" t="s">
        <v>188</v>
      </c>
      <c r="L727" t="s">
        <v>35</v>
      </c>
      <c r="M727">
        <v>0</v>
      </c>
      <c r="N727">
        <v>0</v>
      </c>
      <c r="O727" s="17">
        <v>50716</v>
      </c>
      <c r="P727" s="17">
        <v>50715</v>
      </c>
      <c r="Q727">
        <v>16.5</v>
      </c>
      <c r="R727" t="s">
        <v>63</v>
      </c>
      <c r="T727">
        <v>19</v>
      </c>
      <c r="U727">
        <v>84</v>
      </c>
      <c r="V727">
        <v>14</v>
      </c>
      <c r="W727">
        <v>13.2</v>
      </c>
      <c r="X727">
        <v>25.7</v>
      </c>
      <c r="Z727" t="s">
        <v>32</v>
      </c>
      <c r="AB727" t="s">
        <v>121</v>
      </c>
      <c r="AC727" t="s">
        <v>122</v>
      </c>
    </row>
    <row r="728" spans="1:30" x14ac:dyDescent="0.2">
      <c r="A728" s="3">
        <v>42584</v>
      </c>
      <c r="B728" t="s">
        <v>23</v>
      </c>
      <c r="C728">
        <v>113</v>
      </c>
      <c r="D728">
        <v>4</v>
      </c>
      <c r="E728">
        <v>1</v>
      </c>
      <c r="F728" t="s">
        <v>33</v>
      </c>
      <c r="G728" t="s">
        <v>25</v>
      </c>
      <c r="H728" t="s">
        <v>26</v>
      </c>
      <c r="I728" t="s">
        <v>27</v>
      </c>
      <c r="J728" t="s">
        <v>28</v>
      </c>
      <c r="K728" t="s">
        <v>29</v>
      </c>
      <c r="L728" t="s">
        <v>35</v>
      </c>
      <c r="M728">
        <v>0</v>
      </c>
      <c r="N728">
        <v>0</v>
      </c>
      <c r="O728" s="17">
        <v>50716</v>
      </c>
      <c r="P728" s="17">
        <v>50715</v>
      </c>
      <c r="Q728">
        <f>35-14.5</f>
        <v>20.5</v>
      </c>
      <c r="R728" t="s">
        <v>39</v>
      </c>
      <c r="T728">
        <v>19</v>
      </c>
      <c r="U728">
        <v>85</v>
      </c>
      <c r="V728">
        <v>17</v>
      </c>
      <c r="W728">
        <v>13</v>
      </c>
      <c r="X728">
        <v>27.4</v>
      </c>
      <c r="Z728" t="s">
        <v>32</v>
      </c>
      <c r="AB728" t="s">
        <v>121</v>
      </c>
      <c r="AC728" t="s">
        <v>59</v>
      </c>
    </row>
    <row r="729" spans="1:30" x14ac:dyDescent="0.2">
      <c r="A729" s="3">
        <v>42587</v>
      </c>
      <c r="B729" t="s">
        <v>23</v>
      </c>
      <c r="C729">
        <v>113</v>
      </c>
      <c r="D729">
        <v>3</v>
      </c>
      <c r="E729">
        <v>1</v>
      </c>
      <c r="F729" t="s">
        <v>64</v>
      </c>
      <c r="G729" t="s">
        <v>25</v>
      </c>
      <c r="H729" t="s">
        <v>26</v>
      </c>
      <c r="I729" t="s">
        <v>27</v>
      </c>
      <c r="J729" t="s">
        <v>28</v>
      </c>
      <c r="K729" t="s">
        <v>29</v>
      </c>
      <c r="L729" t="s">
        <v>35</v>
      </c>
      <c r="M729">
        <v>0</v>
      </c>
      <c r="N729">
        <v>0</v>
      </c>
      <c r="O729" s="17" t="s">
        <v>1058</v>
      </c>
      <c r="P729" s="17" t="s">
        <v>1059</v>
      </c>
      <c r="Q729">
        <f>38-19</f>
        <v>19</v>
      </c>
      <c r="R729" t="s">
        <v>39</v>
      </c>
      <c r="T729">
        <v>19</v>
      </c>
      <c r="V729">
        <v>16</v>
      </c>
      <c r="W729">
        <v>13</v>
      </c>
      <c r="Z729" t="s">
        <v>32</v>
      </c>
      <c r="AB729" t="s">
        <v>53</v>
      </c>
      <c r="AC729" t="s">
        <v>254</v>
      </c>
      <c r="AD729" t="s">
        <v>1176</v>
      </c>
    </row>
    <row r="730" spans="1:30" x14ac:dyDescent="0.2">
      <c r="A730" s="3">
        <v>42588</v>
      </c>
      <c r="B730" t="s">
        <v>23</v>
      </c>
      <c r="C730">
        <v>113</v>
      </c>
      <c r="D730">
        <v>4</v>
      </c>
      <c r="E730">
        <v>2</v>
      </c>
      <c r="F730" t="s">
        <v>24</v>
      </c>
      <c r="G730" t="s">
        <v>25</v>
      </c>
      <c r="H730" t="s">
        <v>26</v>
      </c>
      <c r="I730" t="s">
        <v>27</v>
      </c>
      <c r="J730" t="s">
        <v>28</v>
      </c>
      <c r="K730" t="s">
        <v>29</v>
      </c>
      <c r="L730" t="s">
        <v>35</v>
      </c>
      <c r="M730">
        <v>0</v>
      </c>
      <c r="N730">
        <v>0</v>
      </c>
      <c r="O730" s="17" t="s">
        <v>1058</v>
      </c>
      <c r="P730" s="17" t="s">
        <v>1059</v>
      </c>
      <c r="Q730">
        <f>30-12.5</f>
        <v>17.5</v>
      </c>
      <c r="R730" t="s">
        <v>39</v>
      </c>
      <c r="T730">
        <v>20</v>
      </c>
      <c r="U730">
        <v>86</v>
      </c>
      <c r="V730">
        <v>17</v>
      </c>
      <c r="W730">
        <v>13.3</v>
      </c>
      <c r="X730">
        <v>26.4</v>
      </c>
      <c r="Z730" t="s">
        <v>32</v>
      </c>
      <c r="AB730" t="s">
        <v>121</v>
      </c>
      <c r="AC730" t="s">
        <v>59</v>
      </c>
    </row>
    <row r="731" spans="1:30" x14ac:dyDescent="0.2">
      <c r="A731" s="3">
        <v>42598</v>
      </c>
      <c r="B731" t="s">
        <v>23</v>
      </c>
      <c r="C731">
        <v>113</v>
      </c>
      <c r="D731">
        <v>2</v>
      </c>
      <c r="E731">
        <v>2</v>
      </c>
      <c r="F731" t="s">
        <v>24</v>
      </c>
      <c r="G731" t="s">
        <v>25</v>
      </c>
      <c r="H731" t="s">
        <v>26</v>
      </c>
      <c r="I731" t="s">
        <v>27</v>
      </c>
      <c r="J731" t="s">
        <v>28</v>
      </c>
      <c r="K731" t="s">
        <v>29</v>
      </c>
      <c r="L731" t="s">
        <v>35</v>
      </c>
      <c r="M731">
        <v>0</v>
      </c>
      <c r="N731">
        <v>0</v>
      </c>
      <c r="O731" s="17" t="s">
        <v>1058</v>
      </c>
      <c r="P731" s="17" t="s">
        <v>1059</v>
      </c>
      <c r="Q731">
        <f>34-16</f>
        <v>18</v>
      </c>
      <c r="R731" t="s">
        <v>39</v>
      </c>
      <c r="T731">
        <v>20</v>
      </c>
      <c r="V731">
        <v>17</v>
      </c>
      <c r="W731">
        <v>13.1</v>
      </c>
      <c r="X731">
        <v>27.1</v>
      </c>
      <c r="Y731" t="s">
        <v>1801</v>
      </c>
      <c r="AB731" t="s">
        <v>1800</v>
      </c>
      <c r="AC731" t="s">
        <v>122</v>
      </c>
      <c r="AD731" t="s">
        <v>1802</v>
      </c>
    </row>
    <row r="732" spans="1:30" x14ac:dyDescent="0.2">
      <c r="A732" s="3">
        <v>42599</v>
      </c>
      <c r="B732" t="s">
        <v>23</v>
      </c>
      <c r="C732">
        <v>113</v>
      </c>
      <c r="D732">
        <v>4</v>
      </c>
      <c r="E732">
        <v>1</v>
      </c>
      <c r="F732" t="s">
        <v>24</v>
      </c>
      <c r="G732" t="s">
        <v>25</v>
      </c>
      <c r="H732" t="s">
        <v>26</v>
      </c>
      <c r="I732" t="s">
        <v>27</v>
      </c>
      <c r="J732" t="s">
        <v>28</v>
      </c>
      <c r="K732" t="s">
        <v>29</v>
      </c>
      <c r="L732" t="s">
        <v>35</v>
      </c>
      <c r="M732">
        <v>0</v>
      </c>
      <c r="N732">
        <v>0</v>
      </c>
      <c r="O732" s="17" t="s">
        <v>1058</v>
      </c>
      <c r="P732" s="17" t="s">
        <v>1059</v>
      </c>
      <c r="Q732">
        <f>33-14</f>
        <v>19</v>
      </c>
      <c r="R732" t="s">
        <v>39</v>
      </c>
      <c r="T732">
        <v>18</v>
      </c>
      <c r="V732">
        <v>16</v>
      </c>
      <c r="W732">
        <v>13.15</v>
      </c>
      <c r="X732">
        <v>27.95</v>
      </c>
      <c r="AB732" t="s">
        <v>121</v>
      </c>
      <c r="AC732" t="s">
        <v>59</v>
      </c>
      <c r="AD732" t="s">
        <v>1836</v>
      </c>
    </row>
    <row r="733" spans="1:30" x14ac:dyDescent="0.2">
      <c r="A733" s="3">
        <v>42571</v>
      </c>
      <c r="B733" t="s">
        <v>23</v>
      </c>
      <c r="C733">
        <v>111</v>
      </c>
      <c r="D733">
        <v>7</v>
      </c>
      <c r="E733">
        <v>1</v>
      </c>
      <c r="F733" t="s">
        <v>24</v>
      </c>
      <c r="G733" t="s">
        <v>25</v>
      </c>
      <c r="H733" t="s">
        <v>26</v>
      </c>
      <c r="I733" t="s">
        <v>27</v>
      </c>
      <c r="J733" t="s">
        <v>34</v>
      </c>
      <c r="K733" t="s">
        <v>188</v>
      </c>
      <c r="L733" t="s">
        <v>35</v>
      </c>
      <c r="M733">
        <v>0</v>
      </c>
      <c r="N733">
        <v>0</v>
      </c>
      <c r="O733" s="17">
        <v>50719</v>
      </c>
      <c r="P733" s="17">
        <v>50718</v>
      </c>
      <c r="Q733">
        <f>28-11</f>
        <v>17</v>
      </c>
      <c r="R733" t="s">
        <v>63</v>
      </c>
      <c r="T733">
        <v>19</v>
      </c>
      <c r="U733">
        <v>86</v>
      </c>
      <c r="V733">
        <v>18</v>
      </c>
      <c r="W733">
        <v>12.3</v>
      </c>
      <c r="X733">
        <v>26.8</v>
      </c>
      <c r="Z733" t="s">
        <v>32</v>
      </c>
      <c r="AB733" t="s">
        <v>44</v>
      </c>
      <c r="AC733" t="s">
        <v>59</v>
      </c>
    </row>
    <row r="734" spans="1:30" x14ac:dyDescent="0.2">
      <c r="A734" s="3">
        <v>42571</v>
      </c>
      <c r="B734" t="s">
        <v>23</v>
      </c>
      <c r="C734">
        <v>111</v>
      </c>
      <c r="D734">
        <v>10</v>
      </c>
      <c r="E734">
        <v>2</v>
      </c>
      <c r="F734" t="s">
        <v>24</v>
      </c>
      <c r="G734" t="s">
        <v>25</v>
      </c>
      <c r="H734" t="s">
        <v>26</v>
      </c>
      <c r="I734" t="s">
        <v>27</v>
      </c>
      <c r="J734" t="s">
        <v>34</v>
      </c>
      <c r="K734" t="s">
        <v>123</v>
      </c>
      <c r="L734" t="s">
        <v>30</v>
      </c>
      <c r="M734">
        <v>0</v>
      </c>
      <c r="N734">
        <v>1</v>
      </c>
      <c r="O734" s="17">
        <v>50721</v>
      </c>
      <c r="P734" s="17">
        <v>50720</v>
      </c>
      <c r="Q734">
        <f>21.5-9</f>
        <v>12.5</v>
      </c>
      <c r="R734" t="s">
        <v>31</v>
      </c>
      <c r="S734" t="s">
        <v>32</v>
      </c>
      <c r="T734">
        <v>18</v>
      </c>
      <c r="V734">
        <v>16</v>
      </c>
      <c r="W734">
        <v>12.4</v>
      </c>
      <c r="X734">
        <v>25.7</v>
      </c>
      <c r="Z734" t="s">
        <v>32</v>
      </c>
      <c r="AB734" t="s">
        <v>44</v>
      </c>
      <c r="AC734" t="s">
        <v>59</v>
      </c>
    </row>
    <row r="735" spans="1:30" x14ac:dyDescent="0.2">
      <c r="A735" s="3">
        <v>42572</v>
      </c>
      <c r="B735" t="s">
        <v>23</v>
      </c>
      <c r="C735">
        <v>111</v>
      </c>
      <c r="D735">
        <v>8</v>
      </c>
      <c r="E735">
        <v>2</v>
      </c>
      <c r="F735" t="s">
        <v>24</v>
      </c>
      <c r="G735" t="s">
        <v>25</v>
      </c>
      <c r="H735" t="s">
        <v>26</v>
      </c>
      <c r="I735" t="s">
        <v>27</v>
      </c>
      <c r="J735" t="s">
        <v>28</v>
      </c>
      <c r="K735" t="s">
        <v>123</v>
      </c>
      <c r="L735" t="s">
        <v>30</v>
      </c>
      <c r="M735">
        <v>0</v>
      </c>
      <c r="N735">
        <v>0</v>
      </c>
      <c r="O735" s="17">
        <v>50721</v>
      </c>
      <c r="P735" s="17">
        <v>50720</v>
      </c>
      <c r="Q735">
        <f>22-10.5</f>
        <v>11.5</v>
      </c>
      <c r="R735" t="s">
        <v>31</v>
      </c>
      <c r="S735" t="s">
        <v>32</v>
      </c>
      <c r="T735">
        <v>18</v>
      </c>
      <c r="V735">
        <v>15.5</v>
      </c>
      <c r="W735">
        <v>12.5</v>
      </c>
      <c r="X735">
        <v>24.8</v>
      </c>
      <c r="Z735" t="s">
        <v>32</v>
      </c>
      <c r="AB735" t="s">
        <v>121</v>
      </c>
      <c r="AC735" t="s">
        <v>122</v>
      </c>
    </row>
    <row r="736" spans="1:30" x14ac:dyDescent="0.2">
      <c r="A736" s="3">
        <v>42584</v>
      </c>
      <c r="B736" t="s">
        <v>23</v>
      </c>
      <c r="C736">
        <v>111</v>
      </c>
      <c r="D736">
        <v>10</v>
      </c>
      <c r="E736">
        <v>1</v>
      </c>
      <c r="F736" t="s">
        <v>33</v>
      </c>
      <c r="G736" t="s">
        <v>25</v>
      </c>
      <c r="H736" t="s">
        <v>26</v>
      </c>
      <c r="I736" t="s">
        <v>27</v>
      </c>
      <c r="J736" t="s">
        <v>28</v>
      </c>
      <c r="K736" t="s">
        <v>123</v>
      </c>
      <c r="L736" t="s">
        <v>30</v>
      </c>
      <c r="M736">
        <v>0</v>
      </c>
      <c r="N736">
        <v>0</v>
      </c>
      <c r="O736" s="17">
        <v>50721</v>
      </c>
      <c r="P736" s="17">
        <v>50720</v>
      </c>
      <c r="Q736">
        <f>28-12.5</f>
        <v>15.5</v>
      </c>
      <c r="R736" t="s">
        <v>31</v>
      </c>
      <c r="S736" t="s">
        <v>32</v>
      </c>
      <c r="T736">
        <v>19</v>
      </c>
      <c r="V736">
        <v>17</v>
      </c>
      <c r="W736">
        <v>12.8</v>
      </c>
      <c r="X736">
        <v>26.7</v>
      </c>
      <c r="Z736" t="s">
        <v>32</v>
      </c>
      <c r="AB736" t="s">
        <v>121</v>
      </c>
      <c r="AC736" t="s">
        <v>59</v>
      </c>
    </row>
    <row r="737" spans="1:29" x14ac:dyDescent="0.2">
      <c r="A737" s="3">
        <v>42586</v>
      </c>
      <c r="B737" t="s">
        <v>23</v>
      </c>
      <c r="C737">
        <v>111</v>
      </c>
      <c r="D737">
        <v>8</v>
      </c>
      <c r="E737">
        <v>1</v>
      </c>
      <c r="F737" t="s">
        <v>64</v>
      </c>
      <c r="G737" t="s">
        <v>25</v>
      </c>
      <c r="H737" t="s">
        <v>26</v>
      </c>
      <c r="I737" t="s">
        <v>27</v>
      </c>
      <c r="J737" t="s">
        <v>28</v>
      </c>
      <c r="K737" t="s">
        <v>123</v>
      </c>
      <c r="L737" t="s">
        <v>30</v>
      </c>
      <c r="M737">
        <v>0</v>
      </c>
      <c r="N737">
        <v>0</v>
      </c>
      <c r="O737" s="17" t="s">
        <v>954</v>
      </c>
      <c r="P737" s="17" t="s">
        <v>955</v>
      </c>
      <c r="Q737">
        <f>28-14.5</f>
        <v>13.5</v>
      </c>
      <c r="R737" t="s">
        <v>31</v>
      </c>
      <c r="S737" t="s">
        <v>32</v>
      </c>
      <c r="T737">
        <v>20</v>
      </c>
      <c r="V737">
        <v>16</v>
      </c>
      <c r="W737">
        <v>12.8</v>
      </c>
      <c r="X737">
        <v>27</v>
      </c>
      <c r="Z737" t="s">
        <v>32</v>
      </c>
      <c r="AB737" t="s">
        <v>53</v>
      </c>
      <c r="AC737" t="s">
        <v>122</v>
      </c>
    </row>
    <row r="738" spans="1:29" x14ac:dyDescent="0.2">
      <c r="A738" s="3">
        <v>42588</v>
      </c>
      <c r="B738" t="s">
        <v>23</v>
      </c>
      <c r="C738">
        <v>111</v>
      </c>
      <c r="D738">
        <v>10</v>
      </c>
      <c r="E738">
        <v>1</v>
      </c>
      <c r="F738" t="s">
        <v>64</v>
      </c>
      <c r="G738" t="s">
        <v>25</v>
      </c>
      <c r="H738" t="s">
        <v>26</v>
      </c>
      <c r="I738" t="s">
        <v>27</v>
      </c>
      <c r="J738" t="s">
        <v>28</v>
      </c>
      <c r="K738" t="s">
        <v>123</v>
      </c>
      <c r="L738" t="s">
        <v>30</v>
      </c>
      <c r="M738">
        <v>0</v>
      </c>
      <c r="N738">
        <v>0</v>
      </c>
      <c r="O738" s="17" t="s">
        <v>954</v>
      </c>
      <c r="P738" s="17" t="s">
        <v>955</v>
      </c>
      <c r="Q738">
        <f>27-15</f>
        <v>12</v>
      </c>
      <c r="R738" t="s">
        <v>31</v>
      </c>
      <c r="S738" t="s">
        <v>32</v>
      </c>
      <c r="T738">
        <v>19.5</v>
      </c>
      <c r="V738">
        <v>16</v>
      </c>
      <c r="W738">
        <v>12.8</v>
      </c>
      <c r="X738">
        <v>26.6</v>
      </c>
      <c r="Z738" t="s">
        <v>32</v>
      </c>
      <c r="AB738" t="s">
        <v>121</v>
      </c>
      <c r="AC738" t="s">
        <v>59</v>
      </c>
    </row>
    <row r="739" spans="1:29" x14ac:dyDescent="0.2">
      <c r="A739" s="3">
        <v>42589</v>
      </c>
      <c r="B739" t="s">
        <v>23</v>
      </c>
      <c r="C739">
        <v>111</v>
      </c>
      <c r="D739">
        <v>10</v>
      </c>
      <c r="E739">
        <v>2</v>
      </c>
      <c r="F739" t="s">
        <v>64</v>
      </c>
      <c r="G739" t="s">
        <v>25</v>
      </c>
      <c r="H739" t="s">
        <v>26</v>
      </c>
      <c r="I739" t="s">
        <v>27</v>
      </c>
      <c r="J739" t="s">
        <v>28</v>
      </c>
      <c r="K739" t="s">
        <v>123</v>
      </c>
      <c r="L739" t="s">
        <v>30</v>
      </c>
      <c r="M739">
        <v>0</v>
      </c>
      <c r="N739">
        <v>0</v>
      </c>
      <c r="O739" s="17" t="s">
        <v>954</v>
      </c>
      <c r="P739" s="17" t="s">
        <v>955</v>
      </c>
      <c r="Q739">
        <f>30-14.5</f>
        <v>15.5</v>
      </c>
      <c r="R739" t="s">
        <v>31</v>
      </c>
      <c r="S739" t="s">
        <v>32</v>
      </c>
      <c r="T739">
        <v>19</v>
      </c>
      <c r="V739">
        <v>15</v>
      </c>
      <c r="W739">
        <v>12.5</v>
      </c>
      <c r="X739">
        <v>26.8</v>
      </c>
      <c r="Z739" t="s">
        <v>32</v>
      </c>
      <c r="AB739" t="s">
        <v>121</v>
      </c>
      <c r="AC739" t="s">
        <v>59</v>
      </c>
    </row>
    <row r="740" spans="1:29" x14ac:dyDescent="0.2">
      <c r="A740" s="3">
        <v>42563</v>
      </c>
      <c r="B740" t="s">
        <v>23</v>
      </c>
      <c r="C740">
        <v>501</v>
      </c>
      <c r="D740">
        <v>8</v>
      </c>
      <c r="E740">
        <v>1</v>
      </c>
      <c r="F740" t="s">
        <v>24</v>
      </c>
      <c r="G740" t="s">
        <v>25</v>
      </c>
      <c r="H740" t="s">
        <v>26</v>
      </c>
      <c r="I740" t="s">
        <v>27</v>
      </c>
      <c r="J740" t="s">
        <v>34</v>
      </c>
      <c r="K740" t="s">
        <v>188</v>
      </c>
      <c r="L740" t="s">
        <v>30</v>
      </c>
      <c r="M740">
        <v>0</v>
      </c>
      <c r="N740">
        <v>1</v>
      </c>
      <c r="O740" s="17">
        <v>50729</v>
      </c>
      <c r="P740" s="17">
        <v>50728</v>
      </c>
      <c r="Q740">
        <f>35-16</f>
        <v>19</v>
      </c>
      <c r="R740" t="s">
        <v>94</v>
      </c>
      <c r="S740" t="s">
        <v>32</v>
      </c>
      <c r="T740">
        <v>18</v>
      </c>
      <c r="U740">
        <v>90</v>
      </c>
      <c r="V740">
        <v>15.5</v>
      </c>
      <c r="W740">
        <v>13.1</v>
      </c>
      <c r="X740">
        <v>28</v>
      </c>
      <c r="Z740" t="s">
        <v>32</v>
      </c>
      <c r="AB740" t="s">
        <v>255</v>
      </c>
      <c r="AC740" t="s">
        <v>122</v>
      </c>
    </row>
    <row r="741" spans="1:29" x14ac:dyDescent="0.2">
      <c r="A741" s="3">
        <v>42564</v>
      </c>
      <c r="B741" t="s">
        <v>23</v>
      </c>
      <c r="C741">
        <v>501</v>
      </c>
      <c r="D741">
        <v>6</v>
      </c>
      <c r="E741">
        <v>1</v>
      </c>
      <c r="F741" t="s">
        <v>24</v>
      </c>
      <c r="G741" t="s">
        <v>25</v>
      </c>
      <c r="H741" t="s">
        <v>26</v>
      </c>
      <c r="I741" t="s">
        <v>27</v>
      </c>
      <c r="J741" t="s">
        <v>28</v>
      </c>
      <c r="K741" t="s">
        <v>188</v>
      </c>
      <c r="L741" t="s">
        <v>30</v>
      </c>
      <c r="M741">
        <v>0</v>
      </c>
      <c r="N741">
        <v>0</v>
      </c>
      <c r="O741" s="17">
        <v>50729</v>
      </c>
      <c r="P741" s="17">
        <v>50728</v>
      </c>
      <c r="Q741">
        <v>18.5</v>
      </c>
      <c r="R741" t="s">
        <v>31</v>
      </c>
      <c r="S741" t="s">
        <v>32</v>
      </c>
      <c r="T741">
        <v>18</v>
      </c>
      <c r="U741">
        <v>92.5</v>
      </c>
      <c r="V741">
        <v>13</v>
      </c>
      <c r="W741">
        <v>13.2</v>
      </c>
      <c r="X741">
        <v>27</v>
      </c>
      <c r="Z741" t="s">
        <v>32</v>
      </c>
    </row>
    <row r="742" spans="1:29" x14ac:dyDescent="0.2">
      <c r="A742" s="3">
        <v>42565</v>
      </c>
      <c r="B742" t="s">
        <v>23</v>
      </c>
      <c r="C742">
        <v>501</v>
      </c>
      <c r="D742">
        <v>6</v>
      </c>
      <c r="E742">
        <v>1</v>
      </c>
      <c r="F742" t="s">
        <v>24</v>
      </c>
      <c r="G742" t="s">
        <v>25</v>
      </c>
      <c r="H742" t="s">
        <v>26</v>
      </c>
      <c r="I742" t="s">
        <v>27</v>
      </c>
      <c r="J742" t="s">
        <v>28</v>
      </c>
      <c r="K742" t="s">
        <v>188</v>
      </c>
      <c r="L742" t="s">
        <v>30</v>
      </c>
      <c r="M742">
        <v>0</v>
      </c>
      <c r="N742">
        <v>0</v>
      </c>
      <c r="O742" s="17">
        <v>50729</v>
      </c>
      <c r="P742" s="17">
        <v>50728</v>
      </c>
      <c r="Q742">
        <f>31.5-14</f>
        <v>17.5</v>
      </c>
      <c r="R742" t="s">
        <v>31</v>
      </c>
      <c r="S742" t="s">
        <v>32</v>
      </c>
      <c r="T742">
        <v>20</v>
      </c>
      <c r="U742">
        <v>95</v>
      </c>
      <c r="V742">
        <v>15</v>
      </c>
      <c r="W742">
        <v>13.6</v>
      </c>
      <c r="X742">
        <v>26</v>
      </c>
      <c r="Z742" t="s">
        <v>32</v>
      </c>
      <c r="AB742" t="s">
        <v>489</v>
      </c>
      <c r="AC742" t="s">
        <v>254</v>
      </c>
    </row>
    <row r="743" spans="1:29" x14ac:dyDescent="0.2">
      <c r="A743" s="3">
        <v>42565</v>
      </c>
      <c r="B743" t="s">
        <v>23</v>
      </c>
      <c r="C743">
        <v>503</v>
      </c>
      <c r="D743">
        <v>7</v>
      </c>
      <c r="E743">
        <v>2</v>
      </c>
      <c r="F743" t="s">
        <v>24</v>
      </c>
      <c r="G743" t="s">
        <v>25</v>
      </c>
      <c r="H743" t="s">
        <v>26</v>
      </c>
      <c r="I743" t="s">
        <v>27</v>
      </c>
      <c r="J743" t="s">
        <v>34</v>
      </c>
      <c r="K743" t="s">
        <v>123</v>
      </c>
      <c r="L743" t="s">
        <v>30</v>
      </c>
      <c r="M743">
        <v>0</v>
      </c>
      <c r="N743">
        <v>1</v>
      </c>
      <c r="O743" s="17">
        <v>50742</v>
      </c>
      <c r="P743" s="17">
        <v>50741</v>
      </c>
      <c r="Q743">
        <v>16</v>
      </c>
      <c r="R743" t="s">
        <v>31</v>
      </c>
      <c r="S743" t="s">
        <v>32</v>
      </c>
      <c r="T743">
        <v>17</v>
      </c>
      <c r="U743">
        <v>81</v>
      </c>
      <c r="V743">
        <v>15</v>
      </c>
      <c r="W743">
        <v>12.9</v>
      </c>
      <c r="X743">
        <v>27</v>
      </c>
      <c r="Z743" t="s">
        <v>32</v>
      </c>
      <c r="AB743" t="s">
        <v>489</v>
      </c>
      <c r="AC743" t="s">
        <v>254</v>
      </c>
    </row>
    <row r="744" spans="1:29" x14ac:dyDescent="0.2">
      <c r="A744" s="3">
        <v>42574</v>
      </c>
      <c r="B744" t="s">
        <v>23</v>
      </c>
      <c r="C744">
        <v>503</v>
      </c>
      <c r="D744">
        <v>7</v>
      </c>
      <c r="E744">
        <v>2</v>
      </c>
      <c r="F744" t="s">
        <v>33</v>
      </c>
      <c r="G744" t="s">
        <v>25</v>
      </c>
      <c r="H744" t="s">
        <v>26</v>
      </c>
      <c r="I744" t="s">
        <v>27</v>
      </c>
      <c r="J744" t="s">
        <v>28</v>
      </c>
      <c r="K744" t="s">
        <v>123</v>
      </c>
      <c r="L744" t="s">
        <v>30</v>
      </c>
      <c r="M744">
        <v>0</v>
      </c>
      <c r="N744">
        <v>0</v>
      </c>
      <c r="O744" s="17">
        <v>50742</v>
      </c>
      <c r="P744" s="17">
        <v>50741</v>
      </c>
      <c r="Q744">
        <f>24-10.5</f>
        <v>13.5</v>
      </c>
      <c r="R744" t="s">
        <v>63</v>
      </c>
      <c r="T744">
        <v>19</v>
      </c>
      <c r="U744">
        <v>88</v>
      </c>
      <c r="V744">
        <v>16</v>
      </c>
      <c r="W744">
        <v>12.6</v>
      </c>
      <c r="X744">
        <v>26.5</v>
      </c>
      <c r="Z744" t="s">
        <v>145</v>
      </c>
      <c r="AB744" t="s">
        <v>122</v>
      </c>
      <c r="AC744" t="s">
        <v>121</v>
      </c>
    </row>
    <row r="745" spans="1:29" x14ac:dyDescent="0.2">
      <c r="A745" s="3">
        <v>42575</v>
      </c>
      <c r="B745" t="s">
        <v>23</v>
      </c>
      <c r="C745">
        <v>503</v>
      </c>
      <c r="D745">
        <v>9</v>
      </c>
      <c r="E745">
        <v>2</v>
      </c>
      <c r="F745" t="s">
        <v>33</v>
      </c>
      <c r="G745" t="s">
        <v>25</v>
      </c>
      <c r="H745" t="s">
        <v>26</v>
      </c>
      <c r="I745" t="s">
        <v>27</v>
      </c>
      <c r="J745" t="s">
        <v>28</v>
      </c>
      <c r="K745" t="s">
        <v>123</v>
      </c>
      <c r="L745" t="s">
        <v>30</v>
      </c>
      <c r="M745">
        <v>0</v>
      </c>
      <c r="N745">
        <v>0</v>
      </c>
      <c r="O745" s="17">
        <v>50742</v>
      </c>
      <c r="P745" s="17">
        <v>50741</v>
      </c>
      <c r="Q745">
        <f>28-3</f>
        <v>25</v>
      </c>
      <c r="R745" t="s">
        <v>63</v>
      </c>
      <c r="T745">
        <v>20</v>
      </c>
      <c r="U745">
        <v>83</v>
      </c>
      <c r="V745">
        <v>14</v>
      </c>
      <c r="W745">
        <v>12.8</v>
      </c>
      <c r="X745">
        <v>26.7</v>
      </c>
      <c r="Z745" t="s">
        <v>145</v>
      </c>
      <c r="AA745" t="s">
        <v>260</v>
      </c>
      <c r="AB745" t="s">
        <v>711</v>
      </c>
      <c r="AC745" t="s">
        <v>59</v>
      </c>
    </row>
    <row r="746" spans="1:29" x14ac:dyDescent="0.2">
      <c r="A746" s="3">
        <v>42576</v>
      </c>
      <c r="B746" t="s">
        <v>23</v>
      </c>
      <c r="C746">
        <v>503</v>
      </c>
      <c r="D746">
        <v>10</v>
      </c>
      <c r="E746">
        <v>2</v>
      </c>
      <c r="F746" t="s">
        <v>33</v>
      </c>
      <c r="G746" t="s">
        <v>25</v>
      </c>
      <c r="H746" t="s">
        <v>26</v>
      </c>
      <c r="I746" t="s">
        <v>27</v>
      </c>
      <c r="J746" t="s">
        <v>28</v>
      </c>
      <c r="K746" t="s">
        <v>123</v>
      </c>
      <c r="L746" t="s">
        <v>30</v>
      </c>
      <c r="M746">
        <v>0</v>
      </c>
      <c r="N746">
        <v>0</v>
      </c>
      <c r="O746" s="17">
        <v>50742</v>
      </c>
      <c r="P746" s="17">
        <v>50741</v>
      </c>
      <c r="Q746">
        <f>27-12.5</f>
        <v>14.5</v>
      </c>
      <c r="R746" t="s">
        <v>31</v>
      </c>
      <c r="S746" t="s">
        <v>32</v>
      </c>
      <c r="T746">
        <v>20</v>
      </c>
      <c r="U746">
        <v>81</v>
      </c>
      <c r="V746">
        <v>16</v>
      </c>
      <c r="W746">
        <v>12.9</v>
      </c>
      <c r="X746">
        <v>25.6</v>
      </c>
      <c r="Z746" t="s">
        <v>145</v>
      </c>
      <c r="AB746" t="s">
        <v>121</v>
      </c>
      <c r="AC746" t="s">
        <v>122</v>
      </c>
    </row>
    <row r="747" spans="1:29" x14ac:dyDescent="0.2">
      <c r="A747" s="3">
        <v>42592</v>
      </c>
      <c r="B747" t="s">
        <v>23</v>
      </c>
      <c r="C747">
        <v>503</v>
      </c>
      <c r="D747">
        <v>10</v>
      </c>
      <c r="E747">
        <v>2</v>
      </c>
      <c r="F747" t="s">
        <v>24</v>
      </c>
      <c r="G747" t="s">
        <v>25</v>
      </c>
      <c r="H747" t="s">
        <v>26</v>
      </c>
      <c r="I747" t="s">
        <v>27</v>
      </c>
      <c r="J747" t="s">
        <v>28</v>
      </c>
      <c r="K747" t="s">
        <v>188</v>
      </c>
      <c r="L747" t="s">
        <v>30</v>
      </c>
      <c r="M747">
        <v>0</v>
      </c>
      <c r="N747">
        <v>0</v>
      </c>
      <c r="O747" s="17" t="s">
        <v>1252</v>
      </c>
      <c r="P747" s="17" t="s">
        <v>1253</v>
      </c>
      <c r="Q747">
        <f>32.5-16</f>
        <v>16.5</v>
      </c>
      <c r="R747" t="s">
        <v>31</v>
      </c>
      <c r="T747">
        <v>19</v>
      </c>
      <c r="U747">
        <v>84</v>
      </c>
      <c r="V747">
        <v>15</v>
      </c>
      <c r="W747">
        <v>13.1</v>
      </c>
      <c r="X747">
        <v>25.4</v>
      </c>
      <c r="Z747" t="s">
        <v>32</v>
      </c>
      <c r="AB747" t="s">
        <v>44</v>
      </c>
      <c r="AC747" t="s">
        <v>59</v>
      </c>
    </row>
    <row r="748" spans="1:29" x14ac:dyDescent="0.2">
      <c r="A748" s="3">
        <v>42593</v>
      </c>
      <c r="B748" t="s">
        <v>23</v>
      </c>
      <c r="C748">
        <v>503</v>
      </c>
      <c r="D748">
        <v>9</v>
      </c>
      <c r="E748">
        <v>1</v>
      </c>
      <c r="F748" t="s">
        <v>24</v>
      </c>
      <c r="G748" t="s">
        <v>25</v>
      </c>
      <c r="H748" t="s">
        <v>26</v>
      </c>
      <c r="I748" t="s">
        <v>27</v>
      </c>
      <c r="J748" t="s">
        <v>28</v>
      </c>
      <c r="K748" t="s">
        <v>188</v>
      </c>
      <c r="L748" t="s">
        <v>30</v>
      </c>
      <c r="M748">
        <v>0</v>
      </c>
      <c r="N748">
        <v>0</v>
      </c>
      <c r="O748" s="17" t="s">
        <v>1252</v>
      </c>
      <c r="P748" s="17" t="s">
        <v>1253</v>
      </c>
      <c r="Q748">
        <f>30.5-15.5</f>
        <v>15</v>
      </c>
      <c r="R748" t="s">
        <v>31</v>
      </c>
      <c r="S748" t="s">
        <v>32</v>
      </c>
      <c r="T748">
        <v>19</v>
      </c>
      <c r="U748">
        <v>83</v>
      </c>
      <c r="V748">
        <v>17</v>
      </c>
      <c r="W748">
        <v>13</v>
      </c>
      <c r="X748">
        <v>26</v>
      </c>
      <c r="Z748" t="s">
        <v>32</v>
      </c>
      <c r="AB748" t="s">
        <v>44</v>
      </c>
      <c r="AC748" t="s">
        <v>122</v>
      </c>
    </row>
    <row r="749" spans="1:29" x14ac:dyDescent="0.2">
      <c r="A749" s="3">
        <v>42565</v>
      </c>
      <c r="B749" t="s">
        <v>23</v>
      </c>
      <c r="C749">
        <v>503</v>
      </c>
      <c r="D749">
        <v>9</v>
      </c>
      <c r="E749">
        <v>1</v>
      </c>
      <c r="F749" t="s">
        <v>24</v>
      </c>
      <c r="G749" t="s">
        <v>25</v>
      </c>
      <c r="H749" t="s">
        <v>26</v>
      </c>
      <c r="I749" t="s">
        <v>27</v>
      </c>
      <c r="J749" t="s">
        <v>34</v>
      </c>
      <c r="K749" t="s">
        <v>29</v>
      </c>
      <c r="L749" t="s">
        <v>35</v>
      </c>
      <c r="M749">
        <v>0</v>
      </c>
      <c r="N749">
        <v>1</v>
      </c>
      <c r="O749" s="17">
        <v>50744</v>
      </c>
      <c r="P749" s="17">
        <v>50743</v>
      </c>
      <c r="Q749">
        <f>32-13</f>
        <v>19</v>
      </c>
      <c r="R749" t="s">
        <v>39</v>
      </c>
      <c r="T749">
        <v>18</v>
      </c>
      <c r="U749">
        <v>80</v>
      </c>
      <c r="V749">
        <v>17</v>
      </c>
      <c r="W749">
        <v>13.2</v>
      </c>
      <c r="X749">
        <v>28.4</v>
      </c>
      <c r="Z749" t="s">
        <v>32</v>
      </c>
      <c r="AB749" t="s">
        <v>490</v>
      </c>
      <c r="AC749" t="s">
        <v>254</v>
      </c>
    </row>
    <row r="750" spans="1:29" x14ac:dyDescent="0.2">
      <c r="A750" s="3">
        <v>42576</v>
      </c>
      <c r="B750" t="s">
        <v>23</v>
      </c>
      <c r="C750">
        <v>503</v>
      </c>
      <c r="D750">
        <v>10</v>
      </c>
      <c r="E750">
        <v>1</v>
      </c>
      <c r="F750" t="s">
        <v>33</v>
      </c>
      <c r="G750" t="s">
        <v>25</v>
      </c>
      <c r="H750" t="s">
        <v>26</v>
      </c>
      <c r="I750" t="s">
        <v>27</v>
      </c>
      <c r="J750" t="s">
        <v>28</v>
      </c>
      <c r="K750" t="s">
        <v>29</v>
      </c>
      <c r="L750" t="s">
        <v>35</v>
      </c>
      <c r="M750">
        <v>0</v>
      </c>
      <c r="N750">
        <v>0</v>
      </c>
      <c r="O750" s="17">
        <v>50744</v>
      </c>
      <c r="P750" s="17">
        <v>50743</v>
      </c>
      <c r="Q750">
        <f>30.5-10.5</f>
        <v>20</v>
      </c>
      <c r="R750" t="s">
        <v>39</v>
      </c>
      <c r="T750">
        <v>19</v>
      </c>
      <c r="U750">
        <v>79</v>
      </c>
      <c r="V750">
        <v>15</v>
      </c>
      <c r="W750">
        <v>13</v>
      </c>
      <c r="X750">
        <v>27.1</v>
      </c>
      <c r="Z750" t="s">
        <v>32</v>
      </c>
      <c r="AB750" t="s">
        <v>121</v>
      </c>
      <c r="AC750" t="s">
        <v>122</v>
      </c>
    </row>
    <row r="751" spans="1:29" x14ac:dyDescent="0.2">
      <c r="A751" s="3">
        <v>42592</v>
      </c>
      <c r="B751" t="s">
        <v>23</v>
      </c>
      <c r="C751">
        <v>503</v>
      </c>
      <c r="D751">
        <v>9</v>
      </c>
      <c r="E751">
        <v>2</v>
      </c>
      <c r="F751" t="s">
        <v>24</v>
      </c>
      <c r="G751" t="s">
        <v>25</v>
      </c>
      <c r="H751" t="s">
        <v>26</v>
      </c>
      <c r="I751" t="s">
        <v>27</v>
      </c>
      <c r="J751" t="s">
        <v>28</v>
      </c>
      <c r="K751" t="s">
        <v>29</v>
      </c>
      <c r="L751" t="s">
        <v>35</v>
      </c>
      <c r="M751">
        <v>0</v>
      </c>
      <c r="N751">
        <v>0</v>
      </c>
      <c r="O751" s="17" t="s">
        <v>1250</v>
      </c>
      <c r="P751" s="17" t="s">
        <v>1251</v>
      </c>
      <c r="Q751">
        <f>32-14</f>
        <v>18</v>
      </c>
      <c r="T751">
        <v>19</v>
      </c>
      <c r="U751">
        <v>78</v>
      </c>
      <c r="V751">
        <v>18</v>
      </c>
      <c r="W751">
        <v>12.7</v>
      </c>
      <c r="X751">
        <v>29.2</v>
      </c>
      <c r="Z751" t="s">
        <v>145</v>
      </c>
      <c r="AB751" t="s">
        <v>44</v>
      </c>
      <c r="AC751" t="s">
        <v>59</v>
      </c>
    </row>
    <row r="752" spans="1:29" x14ac:dyDescent="0.2">
      <c r="A752" s="3">
        <v>42593</v>
      </c>
      <c r="B752" t="s">
        <v>23</v>
      </c>
      <c r="C752">
        <v>503</v>
      </c>
      <c r="D752">
        <v>8</v>
      </c>
      <c r="E752">
        <v>1</v>
      </c>
      <c r="F752" t="s">
        <v>24</v>
      </c>
      <c r="G752" t="s">
        <v>25</v>
      </c>
      <c r="H752" t="s">
        <v>26</v>
      </c>
      <c r="I752" t="s">
        <v>27</v>
      </c>
      <c r="J752" t="s">
        <v>28</v>
      </c>
      <c r="K752" t="s">
        <v>29</v>
      </c>
      <c r="L752" t="s">
        <v>35</v>
      </c>
      <c r="M752">
        <v>0</v>
      </c>
      <c r="N752">
        <v>0</v>
      </c>
      <c r="O752" s="17" t="s">
        <v>1250</v>
      </c>
      <c r="P752" s="17" t="s">
        <v>1251</v>
      </c>
      <c r="Q752">
        <f>33.5-16</f>
        <v>17.5</v>
      </c>
      <c r="R752" t="s">
        <v>39</v>
      </c>
      <c r="T752">
        <v>18</v>
      </c>
      <c r="U752">
        <v>79</v>
      </c>
      <c r="V752">
        <v>19</v>
      </c>
      <c r="W752">
        <v>12.9</v>
      </c>
      <c r="X752">
        <v>28</v>
      </c>
      <c r="Y752" t="s">
        <v>1273</v>
      </c>
      <c r="Z752" t="s">
        <v>145</v>
      </c>
      <c r="AB752" t="s">
        <v>44</v>
      </c>
      <c r="AC752" t="s">
        <v>122</v>
      </c>
    </row>
    <row r="753" spans="1:30" x14ac:dyDescent="0.2">
      <c r="A753" s="3">
        <v>42605</v>
      </c>
      <c r="B753" t="s">
        <v>23</v>
      </c>
      <c r="C753">
        <v>503</v>
      </c>
      <c r="D753">
        <v>9</v>
      </c>
      <c r="E753">
        <v>1</v>
      </c>
      <c r="F753" t="s">
        <v>64</v>
      </c>
      <c r="G753" t="s">
        <v>25</v>
      </c>
      <c r="H753" t="s">
        <v>26</v>
      </c>
      <c r="I753" t="s">
        <v>27</v>
      </c>
      <c r="J753" t="s">
        <v>28</v>
      </c>
      <c r="K753" t="s">
        <v>29</v>
      </c>
      <c r="L753" t="s">
        <v>35</v>
      </c>
      <c r="M753">
        <v>0</v>
      </c>
      <c r="N753">
        <v>0</v>
      </c>
      <c r="O753" s="17" t="s">
        <v>1250</v>
      </c>
      <c r="P753" s="17" t="s">
        <v>1251</v>
      </c>
      <c r="Q753">
        <f>37-18</f>
        <v>19</v>
      </c>
      <c r="R753" t="s">
        <v>63</v>
      </c>
      <c r="T753">
        <v>19</v>
      </c>
      <c r="U753">
        <v>83</v>
      </c>
      <c r="V753">
        <v>16</v>
      </c>
      <c r="W753">
        <v>12.9</v>
      </c>
      <c r="X753">
        <v>27</v>
      </c>
      <c r="Z753" t="s">
        <v>145</v>
      </c>
      <c r="AA753" t="s">
        <v>260</v>
      </c>
      <c r="AB753" t="s">
        <v>121</v>
      </c>
      <c r="AC753" t="s">
        <v>59</v>
      </c>
      <c r="AD753" t="s">
        <v>1727</v>
      </c>
    </row>
    <row r="754" spans="1:30" x14ac:dyDescent="0.2">
      <c r="A754" s="3">
        <v>42606</v>
      </c>
      <c r="B754" t="s">
        <v>23</v>
      </c>
      <c r="C754">
        <v>503</v>
      </c>
      <c r="D754">
        <v>8</v>
      </c>
      <c r="E754">
        <v>1</v>
      </c>
      <c r="F754" t="s">
        <v>64</v>
      </c>
      <c r="G754" t="s">
        <v>25</v>
      </c>
      <c r="H754" t="s">
        <v>26</v>
      </c>
      <c r="I754" t="s">
        <v>27</v>
      </c>
      <c r="J754" t="s">
        <v>28</v>
      </c>
      <c r="K754" t="s">
        <v>29</v>
      </c>
      <c r="L754" t="s">
        <v>35</v>
      </c>
      <c r="M754">
        <v>0</v>
      </c>
      <c r="N754">
        <v>0</v>
      </c>
      <c r="O754" s="17" t="s">
        <v>1250</v>
      </c>
      <c r="P754" s="17" t="s">
        <v>1251</v>
      </c>
      <c r="Q754">
        <f>37.5-17.5</f>
        <v>20</v>
      </c>
      <c r="R754" t="s">
        <v>63</v>
      </c>
      <c r="T754">
        <v>19</v>
      </c>
      <c r="U754">
        <v>81</v>
      </c>
      <c r="V754">
        <v>17</v>
      </c>
      <c r="W754">
        <v>13.1</v>
      </c>
      <c r="X754">
        <v>27.3</v>
      </c>
      <c r="Z754" t="s">
        <v>145</v>
      </c>
      <c r="AB754" t="s">
        <v>53</v>
      </c>
      <c r="AC754" t="s">
        <v>122</v>
      </c>
      <c r="AD754" t="s">
        <v>1512</v>
      </c>
    </row>
    <row r="755" spans="1:30" x14ac:dyDescent="0.2">
      <c r="A755" s="3">
        <v>42565</v>
      </c>
      <c r="B755" t="s">
        <v>23</v>
      </c>
      <c r="C755">
        <v>303</v>
      </c>
      <c r="D755">
        <v>1</v>
      </c>
      <c r="E755">
        <v>1</v>
      </c>
      <c r="F755" t="s">
        <v>24</v>
      </c>
      <c r="G755" t="s">
        <v>25</v>
      </c>
      <c r="H755" t="s">
        <v>26</v>
      </c>
      <c r="I755" t="s">
        <v>27</v>
      </c>
      <c r="J755" t="s">
        <v>34</v>
      </c>
      <c r="K755" t="s">
        <v>188</v>
      </c>
      <c r="L755" t="s">
        <v>35</v>
      </c>
      <c r="M755">
        <v>0</v>
      </c>
      <c r="N755">
        <v>1</v>
      </c>
      <c r="O755" s="17">
        <v>50746</v>
      </c>
      <c r="P755" s="17">
        <v>50745</v>
      </c>
      <c r="Q755">
        <f>29.5-11</f>
        <v>18.5</v>
      </c>
      <c r="R755" t="s">
        <v>39</v>
      </c>
      <c r="T755">
        <v>18</v>
      </c>
      <c r="U755">
        <v>90</v>
      </c>
      <c r="V755">
        <v>15</v>
      </c>
      <c r="W755">
        <v>13.2</v>
      </c>
      <c r="X755">
        <v>29.5</v>
      </c>
      <c r="Z755" t="s">
        <v>32</v>
      </c>
      <c r="AB755" t="s">
        <v>489</v>
      </c>
      <c r="AC755" t="s">
        <v>254</v>
      </c>
    </row>
    <row r="756" spans="1:30" x14ac:dyDescent="0.2">
      <c r="A756" s="3">
        <v>42576</v>
      </c>
      <c r="B756" t="s">
        <v>23</v>
      </c>
      <c r="C756">
        <v>303</v>
      </c>
      <c r="D756">
        <v>9</v>
      </c>
      <c r="E756">
        <v>1</v>
      </c>
      <c r="F756" t="s">
        <v>33</v>
      </c>
      <c r="G756" t="s">
        <v>25</v>
      </c>
      <c r="H756" t="s">
        <v>26</v>
      </c>
      <c r="I756" t="s">
        <v>27</v>
      </c>
      <c r="J756" t="s">
        <v>28</v>
      </c>
      <c r="K756" t="s">
        <v>188</v>
      </c>
      <c r="L756" t="s">
        <v>35</v>
      </c>
      <c r="M756">
        <v>0</v>
      </c>
      <c r="N756">
        <v>0</v>
      </c>
      <c r="O756" s="17">
        <v>50746</v>
      </c>
      <c r="P756" s="17">
        <v>50745</v>
      </c>
      <c r="Q756">
        <f>26-9.5</f>
        <v>16.5</v>
      </c>
      <c r="R756" t="s">
        <v>63</v>
      </c>
      <c r="T756">
        <v>19.5</v>
      </c>
      <c r="U756">
        <v>90</v>
      </c>
      <c r="V756">
        <v>14</v>
      </c>
      <c r="W756">
        <v>12.9</v>
      </c>
      <c r="X756">
        <v>26.4</v>
      </c>
      <c r="Z756" t="s">
        <v>32</v>
      </c>
      <c r="AB756" t="s">
        <v>121</v>
      </c>
      <c r="AC756" t="s">
        <v>122</v>
      </c>
    </row>
    <row r="757" spans="1:30" x14ac:dyDescent="0.2">
      <c r="A757" s="3">
        <v>42565</v>
      </c>
      <c r="B757" t="s">
        <v>23</v>
      </c>
      <c r="C757">
        <v>303</v>
      </c>
      <c r="D757">
        <v>2</v>
      </c>
      <c r="E757">
        <v>1</v>
      </c>
      <c r="F757" t="s">
        <v>24</v>
      </c>
      <c r="G757" t="s">
        <v>25</v>
      </c>
      <c r="H757" t="s">
        <v>26</v>
      </c>
      <c r="I757" t="s">
        <v>27</v>
      </c>
      <c r="J757" t="s">
        <v>34</v>
      </c>
      <c r="K757" t="s">
        <v>29</v>
      </c>
      <c r="L757" t="s">
        <v>35</v>
      </c>
      <c r="M757">
        <v>0</v>
      </c>
      <c r="N757">
        <v>1</v>
      </c>
      <c r="O757" s="17">
        <v>50749</v>
      </c>
      <c r="P757" s="17">
        <v>50748</v>
      </c>
      <c r="Q757">
        <f>31-11</f>
        <v>20</v>
      </c>
      <c r="R757" t="s">
        <v>39</v>
      </c>
      <c r="T757">
        <v>16</v>
      </c>
      <c r="U757">
        <v>71</v>
      </c>
      <c r="V757">
        <v>18</v>
      </c>
      <c r="W757">
        <v>13.4</v>
      </c>
      <c r="X757">
        <v>28.8</v>
      </c>
      <c r="Z757" t="s">
        <v>32</v>
      </c>
      <c r="AB757" t="s">
        <v>489</v>
      </c>
      <c r="AC757" t="s">
        <v>254</v>
      </c>
    </row>
    <row r="758" spans="1:30" x14ac:dyDescent="0.2">
      <c r="A758" s="3">
        <v>42565</v>
      </c>
      <c r="B758" t="s">
        <v>23</v>
      </c>
      <c r="C758">
        <v>701</v>
      </c>
      <c r="D758">
        <v>8</v>
      </c>
      <c r="E758">
        <v>1</v>
      </c>
      <c r="F758" t="s">
        <v>33</v>
      </c>
      <c r="G758" t="s">
        <v>25</v>
      </c>
      <c r="H758" t="s">
        <v>26</v>
      </c>
      <c r="I758" t="s">
        <v>27</v>
      </c>
      <c r="J758" t="s">
        <v>34</v>
      </c>
      <c r="K758" t="s">
        <v>29</v>
      </c>
      <c r="L758" t="s">
        <v>30</v>
      </c>
      <c r="M758">
        <v>0</v>
      </c>
      <c r="N758">
        <v>1</v>
      </c>
      <c r="O758" s="17">
        <v>50758</v>
      </c>
      <c r="P758" s="17">
        <v>50757</v>
      </c>
      <c r="Q758">
        <v>21</v>
      </c>
      <c r="R758" t="s">
        <v>273</v>
      </c>
      <c r="S758" t="s">
        <v>145</v>
      </c>
      <c r="T758">
        <v>19</v>
      </c>
      <c r="U758">
        <v>81</v>
      </c>
      <c r="V758">
        <v>16</v>
      </c>
      <c r="X758">
        <v>27.4</v>
      </c>
      <c r="Z758" t="s">
        <v>145</v>
      </c>
      <c r="AA758" t="s">
        <v>595</v>
      </c>
      <c r="AB758" t="s">
        <v>121</v>
      </c>
      <c r="AC758" t="s">
        <v>254</v>
      </c>
    </row>
    <row r="759" spans="1:30" x14ac:dyDescent="0.2">
      <c r="A759" s="3">
        <v>42576</v>
      </c>
      <c r="B759" t="s">
        <v>23</v>
      </c>
      <c r="C759">
        <v>701</v>
      </c>
      <c r="D759">
        <v>5</v>
      </c>
      <c r="E759">
        <v>2</v>
      </c>
      <c r="F759" t="s">
        <v>66</v>
      </c>
      <c r="G759" t="s">
        <v>25</v>
      </c>
      <c r="H759" t="s">
        <v>26</v>
      </c>
      <c r="I759" t="s">
        <v>27</v>
      </c>
      <c r="J759" t="s">
        <v>28</v>
      </c>
      <c r="K759" t="s">
        <v>29</v>
      </c>
      <c r="L759" t="s">
        <v>30</v>
      </c>
      <c r="M759">
        <v>0</v>
      </c>
      <c r="N759">
        <v>0</v>
      </c>
      <c r="O759" s="17">
        <v>50758</v>
      </c>
      <c r="P759" s="17">
        <v>50757</v>
      </c>
      <c r="Q759">
        <v>21</v>
      </c>
      <c r="R759" t="s">
        <v>31</v>
      </c>
      <c r="S759" t="s">
        <v>32</v>
      </c>
      <c r="T759">
        <v>20</v>
      </c>
      <c r="U759">
        <v>84</v>
      </c>
      <c r="V759">
        <v>14</v>
      </c>
      <c r="W759">
        <v>13</v>
      </c>
      <c r="X759">
        <v>29.4</v>
      </c>
      <c r="Z759" t="s">
        <v>145</v>
      </c>
      <c r="AB759" t="s">
        <v>121</v>
      </c>
      <c r="AC759" t="s">
        <v>122</v>
      </c>
    </row>
    <row r="760" spans="1:30" x14ac:dyDescent="0.2">
      <c r="A760" s="3">
        <v>42591</v>
      </c>
      <c r="B760" t="s">
        <v>23</v>
      </c>
      <c r="C760">
        <v>701</v>
      </c>
      <c r="D760">
        <v>3</v>
      </c>
      <c r="E760">
        <v>2</v>
      </c>
      <c r="F760" t="s">
        <v>64</v>
      </c>
      <c r="G760" t="s">
        <v>25</v>
      </c>
      <c r="H760" t="s">
        <v>26</v>
      </c>
      <c r="I760" t="s">
        <v>27</v>
      </c>
      <c r="J760" t="s">
        <v>28</v>
      </c>
      <c r="K760" t="s">
        <v>29</v>
      </c>
      <c r="L760" t="s">
        <v>30</v>
      </c>
      <c r="M760">
        <v>0</v>
      </c>
      <c r="N760">
        <v>0</v>
      </c>
      <c r="O760" s="17" t="s">
        <v>1363</v>
      </c>
      <c r="P760" s="17" t="s">
        <v>1364</v>
      </c>
      <c r="Q760">
        <f>32-17</f>
        <v>15</v>
      </c>
      <c r="R760" t="s">
        <v>31</v>
      </c>
      <c r="S760" t="s">
        <v>32</v>
      </c>
      <c r="T760">
        <v>18</v>
      </c>
      <c r="U760">
        <v>88</v>
      </c>
      <c r="V760">
        <v>16</v>
      </c>
      <c r="W760">
        <v>13.2</v>
      </c>
      <c r="X760">
        <v>29.6</v>
      </c>
      <c r="Z760" t="s">
        <v>145</v>
      </c>
      <c r="AA760" t="s">
        <v>260</v>
      </c>
      <c r="AB760" t="s">
        <v>44</v>
      </c>
      <c r="AC760" t="s">
        <v>59</v>
      </c>
    </row>
    <row r="761" spans="1:30" x14ac:dyDescent="0.2">
      <c r="A761" s="3">
        <v>42592</v>
      </c>
      <c r="B761" t="s">
        <v>23</v>
      </c>
      <c r="C761">
        <v>701</v>
      </c>
      <c r="D761">
        <v>1</v>
      </c>
      <c r="E761">
        <v>1</v>
      </c>
      <c r="F761" t="s">
        <v>64</v>
      </c>
      <c r="G761" t="s">
        <v>25</v>
      </c>
      <c r="H761" t="s">
        <v>26</v>
      </c>
      <c r="I761" t="s">
        <v>27</v>
      </c>
      <c r="J761" t="s">
        <v>28</v>
      </c>
      <c r="K761" t="s">
        <v>29</v>
      </c>
      <c r="L761" t="s">
        <v>30</v>
      </c>
      <c r="M761">
        <v>0</v>
      </c>
      <c r="N761">
        <v>0</v>
      </c>
      <c r="O761" s="17" t="s">
        <v>1363</v>
      </c>
      <c r="P761" s="17" t="s">
        <v>1364</v>
      </c>
      <c r="Q761">
        <f>36-17</f>
        <v>19</v>
      </c>
      <c r="R761" t="s">
        <v>31</v>
      </c>
      <c r="T761">
        <v>18</v>
      </c>
      <c r="U761">
        <v>87</v>
      </c>
      <c r="V761">
        <v>15</v>
      </c>
      <c r="W761">
        <v>13.1</v>
      </c>
      <c r="X761">
        <v>28</v>
      </c>
      <c r="Z761" t="s">
        <v>145</v>
      </c>
      <c r="AA761" t="s">
        <v>260</v>
      </c>
      <c r="AB761" t="s">
        <v>53</v>
      </c>
      <c r="AC761" t="s">
        <v>59</v>
      </c>
    </row>
    <row r="762" spans="1:30" x14ac:dyDescent="0.2">
      <c r="A762" s="3">
        <v>42593</v>
      </c>
      <c r="B762" t="s">
        <v>23</v>
      </c>
      <c r="C762">
        <v>701</v>
      </c>
      <c r="D762">
        <v>3</v>
      </c>
      <c r="E762">
        <v>2</v>
      </c>
      <c r="F762" t="s">
        <v>64</v>
      </c>
      <c r="G762" t="s">
        <v>25</v>
      </c>
      <c r="H762" t="s">
        <v>26</v>
      </c>
      <c r="I762" t="s">
        <v>27</v>
      </c>
      <c r="J762" t="s">
        <v>28</v>
      </c>
      <c r="K762" t="s">
        <v>29</v>
      </c>
      <c r="L762" t="s">
        <v>30</v>
      </c>
      <c r="M762">
        <v>0</v>
      </c>
      <c r="N762">
        <v>0</v>
      </c>
      <c r="O762" s="17" t="s">
        <v>1363</v>
      </c>
      <c r="P762" s="17" t="s">
        <v>1364</v>
      </c>
      <c r="Q762">
        <f>33-15</f>
        <v>18</v>
      </c>
      <c r="R762" t="s">
        <v>31</v>
      </c>
      <c r="S762" t="s">
        <v>32</v>
      </c>
      <c r="T762">
        <v>19</v>
      </c>
      <c r="U762">
        <v>88</v>
      </c>
      <c r="V762">
        <v>16</v>
      </c>
      <c r="W762">
        <v>12.7</v>
      </c>
      <c r="X762">
        <v>27.6</v>
      </c>
      <c r="Z762" t="s">
        <v>145</v>
      </c>
      <c r="AA762" t="s">
        <v>260</v>
      </c>
      <c r="AB762" t="s">
        <v>44</v>
      </c>
      <c r="AC762" t="s">
        <v>122</v>
      </c>
    </row>
    <row r="763" spans="1:30" x14ac:dyDescent="0.2">
      <c r="A763" s="3">
        <v>42604</v>
      </c>
      <c r="B763" t="s">
        <v>23</v>
      </c>
      <c r="C763">
        <v>701</v>
      </c>
      <c r="D763">
        <v>6</v>
      </c>
      <c r="E763">
        <v>1</v>
      </c>
      <c r="F763" t="s">
        <v>24</v>
      </c>
      <c r="G763" t="s">
        <v>25</v>
      </c>
      <c r="H763" t="s">
        <v>26</v>
      </c>
      <c r="I763" t="s">
        <v>27</v>
      </c>
      <c r="J763" t="s">
        <v>28</v>
      </c>
      <c r="K763" t="s">
        <v>29</v>
      </c>
      <c r="L763" t="s">
        <v>30</v>
      </c>
      <c r="M763">
        <v>0</v>
      </c>
      <c r="N763">
        <v>0</v>
      </c>
      <c r="O763" s="17" t="s">
        <v>1363</v>
      </c>
      <c r="P763" s="17" t="s">
        <v>1364</v>
      </c>
      <c r="Q763">
        <f>36-15.5</f>
        <v>20.5</v>
      </c>
      <c r="R763" t="s">
        <v>31</v>
      </c>
      <c r="S763" t="s">
        <v>32</v>
      </c>
      <c r="T763">
        <v>18</v>
      </c>
      <c r="U763">
        <v>86</v>
      </c>
      <c r="V763">
        <v>14</v>
      </c>
      <c r="W763">
        <v>13</v>
      </c>
      <c r="X763">
        <v>26.4</v>
      </c>
      <c r="Z763" t="s">
        <v>145</v>
      </c>
      <c r="AB763" t="s">
        <v>582</v>
      </c>
      <c r="AC763" t="s">
        <v>116</v>
      </c>
      <c r="AD763" t="s">
        <v>1068</v>
      </c>
    </row>
    <row r="764" spans="1:30" x14ac:dyDescent="0.2">
      <c r="A764" s="3">
        <v>42605</v>
      </c>
      <c r="B764" t="s">
        <v>23</v>
      </c>
      <c r="C764">
        <v>701</v>
      </c>
      <c r="D764">
        <v>8</v>
      </c>
      <c r="E764">
        <v>2</v>
      </c>
      <c r="F764" t="s">
        <v>24</v>
      </c>
      <c r="G764" t="s">
        <v>25</v>
      </c>
      <c r="H764" t="s">
        <v>26</v>
      </c>
      <c r="I764" t="s">
        <v>27</v>
      </c>
      <c r="J764" t="s">
        <v>28</v>
      </c>
      <c r="K764" t="s">
        <v>29</v>
      </c>
      <c r="L764" t="s">
        <v>30</v>
      </c>
      <c r="M764">
        <v>0</v>
      </c>
      <c r="N764">
        <v>0</v>
      </c>
      <c r="O764" s="17" t="s">
        <v>1363</v>
      </c>
      <c r="P764" s="17" t="s">
        <v>1364</v>
      </c>
      <c r="Q764">
        <f>32-13</f>
        <v>19</v>
      </c>
      <c r="R764" t="s">
        <v>63</v>
      </c>
      <c r="T764">
        <v>18</v>
      </c>
      <c r="U764">
        <v>86</v>
      </c>
      <c r="V764">
        <v>15</v>
      </c>
      <c r="W764">
        <v>13.5</v>
      </c>
      <c r="X764">
        <v>27.7</v>
      </c>
      <c r="Z764" t="s">
        <v>145</v>
      </c>
      <c r="AB764" t="s">
        <v>44</v>
      </c>
      <c r="AC764" t="s">
        <v>59</v>
      </c>
      <c r="AD764" t="s">
        <v>1908</v>
      </c>
    </row>
    <row r="765" spans="1:30" x14ac:dyDescent="0.2">
      <c r="A765" s="3">
        <v>42606</v>
      </c>
      <c r="B765" t="s">
        <v>23</v>
      </c>
      <c r="C765">
        <v>701</v>
      </c>
      <c r="D765">
        <v>4</v>
      </c>
      <c r="E765">
        <v>1</v>
      </c>
      <c r="F765" t="s">
        <v>24</v>
      </c>
      <c r="G765" t="s">
        <v>25</v>
      </c>
      <c r="H765" t="s">
        <v>26</v>
      </c>
      <c r="I765" t="s">
        <v>27</v>
      </c>
      <c r="J765" t="s">
        <v>28</v>
      </c>
      <c r="K765" t="s">
        <v>29</v>
      </c>
      <c r="L765" t="s">
        <v>30</v>
      </c>
      <c r="M765">
        <v>0</v>
      </c>
      <c r="N765">
        <v>0</v>
      </c>
      <c r="O765" s="17" t="s">
        <v>1363</v>
      </c>
      <c r="P765" s="17" t="s">
        <v>1364</v>
      </c>
      <c r="Q765">
        <f>34-14</f>
        <v>20</v>
      </c>
      <c r="R765" t="s">
        <v>31</v>
      </c>
      <c r="S765" t="s">
        <v>32</v>
      </c>
      <c r="T765">
        <v>19</v>
      </c>
      <c r="U765">
        <v>87</v>
      </c>
      <c r="V765">
        <v>15</v>
      </c>
      <c r="W765">
        <v>13.1</v>
      </c>
      <c r="X765">
        <v>28</v>
      </c>
      <c r="Z765" t="s">
        <v>145</v>
      </c>
      <c r="AB765" t="s">
        <v>44</v>
      </c>
      <c r="AC765" t="s">
        <v>59</v>
      </c>
    </row>
    <row r="766" spans="1:30" x14ac:dyDescent="0.2">
      <c r="A766" s="3">
        <v>42565</v>
      </c>
      <c r="B766" t="s">
        <v>23</v>
      </c>
      <c r="C766">
        <v>701</v>
      </c>
      <c r="D766">
        <v>6</v>
      </c>
      <c r="E766">
        <v>1</v>
      </c>
      <c r="F766" t="s">
        <v>33</v>
      </c>
      <c r="G766" t="s">
        <v>25</v>
      </c>
      <c r="H766" t="s">
        <v>26</v>
      </c>
      <c r="I766" t="s">
        <v>27</v>
      </c>
      <c r="J766" t="s">
        <v>34</v>
      </c>
      <c r="K766" t="s">
        <v>188</v>
      </c>
      <c r="L766" t="s">
        <v>35</v>
      </c>
      <c r="M766">
        <v>0</v>
      </c>
      <c r="N766">
        <v>1</v>
      </c>
      <c r="O766" s="17">
        <v>50761</v>
      </c>
      <c r="P766" s="17">
        <v>50760</v>
      </c>
      <c r="R766" t="s">
        <v>63</v>
      </c>
      <c r="T766">
        <v>20</v>
      </c>
      <c r="U766">
        <v>81</v>
      </c>
      <c r="V766">
        <v>10</v>
      </c>
      <c r="W766">
        <v>12.8</v>
      </c>
      <c r="X766">
        <v>27.4</v>
      </c>
      <c r="Z766" t="s">
        <v>32</v>
      </c>
      <c r="AB766" t="s">
        <v>121</v>
      </c>
      <c r="AC766" t="s">
        <v>254</v>
      </c>
    </row>
    <row r="767" spans="1:30" x14ac:dyDescent="0.2">
      <c r="A767" s="3">
        <v>42575</v>
      </c>
      <c r="B767" t="s">
        <v>23</v>
      </c>
      <c r="C767">
        <v>701</v>
      </c>
      <c r="D767">
        <v>6</v>
      </c>
      <c r="E767">
        <v>2</v>
      </c>
      <c r="F767" t="s">
        <v>24</v>
      </c>
      <c r="G767" t="s">
        <v>25</v>
      </c>
      <c r="H767" t="s">
        <v>26</v>
      </c>
      <c r="I767" t="s">
        <v>27</v>
      </c>
      <c r="J767" t="s">
        <v>28</v>
      </c>
      <c r="K767" t="s">
        <v>188</v>
      </c>
      <c r="L767" t="s">
        <v>35</v>
      </c>
      <c r="M767">
        <v>0</v>
      </c>
      <c r="N767">
        <v>0</v>
      </c>
      <c r="O767" s="17">
        <v>50761</v>
      </c>
      <c r="P767" s="17">
        <v>50760</v>
      </c>
      <c r="Q767">
        <v>17</v>
      </c>
      <c r="R767" t="s">
        <v>63</v>
      </c>
      <c r="T767">
        <v>19</v>
      </c>
      <c r="U767">
        <v>86</v>
      </c>
      <c r="V767">
        <v>18</v>
      </c>
      <c r="W767">
        <v>13</v>
      </c>
      <c r="X767">
        <v>27.5</v>
      </c>
      <c r="Z767" t="s">
        <v>145</v>
      </c>
      <c r="AB767" t="s">
        <v>582</v>
      </c>
      <c r="AC767" t="s">
        <v>59</v>
      </c>
    </row>
    <row r="768" spans="1:30" x14ac:dyDescent="0.2">
      <c r="A768" s="3">
        <v>42576</v>
      </c>
      <c r="B768" t="s">
        <v>23</v>
      </c>
      <c r="C768">
        <v>701</v>
      </c>
      <c r="D768">
        <v>5</v>
      </c>
      <c r="E768">
        <v>1</v>
      </c>
      <c r="F768" t="s">
        <v>24</v>
      </c>
      <c r="G768" t="s">
        <v>25</v>
      </c>
      <c r="H768" t="s">
        <v>26</v>
      </c>
      <c r="I768" t="s">
        <v>27</v>
      </c>
      <c r="J768" t="s">
        <v>28</v>
      </c>
      <c r="K768" t="s">
        <v>188</v>
      </c>
      <c r="L768" t="s">
        <v>35</v>
      </c>
      <c r="M768">
        <v>0</v>
      </c>
      <c r="N768">
        <v>0</v>
      </c>
      <c r="O768" s="17">
        <v>50761</v>
      </c>
      <c r="P768" s="17">
        <v>50760</v>
      </c>
      <c r="Q768">
        <f>27.5-10</f>
        <v>17.5</v>
      </c>
      <c r="R768" t="s">
        <v>63</v>
      </c>
      <c r="T768">
        <v>19</v>
      </c>
      <c r="U768">
        <v>85</v>
      </c>
      <c r="V768">
        <v>17</v>
      </c>
      <c r="W768">
        <v>13.3</v>
      </c>
      <c r="X768">
        <v>30.1</v>
      </c>
      <c r="Z768" t="s">
        <v>145</v>
      </c>
      <c r="AB768" t="s">
        <v>121</v>
      </c>
      <c r="AC768" t="s">
        <v>122</v>
      </c>
    </row>
    <row r="769" spans="1:29" x14ac:dyDescent="0.2">
      <c r="A769" s="3">
        <v>42591</v>
      </c>
      <c r="B769" t="s">
        <v>23</v>
      </c>
      <c r="C769">
        <v>701</v>
      </c>
      <c r="D769">
        <v>4</v>
      </c>
      <c r="E769">
        <v>1</v>
      </c>
      <c r="F769" t="s">
        <v>64</v>
      </c>
      <c r="G769" t="s">
        <v>25</v>
      </c>
      <c r="H769" t="s">
        <v>26</v>
      </c>
      <c r="I769" t="s">
        <v>27</v>
      </c>
      <c r="J769" t="s">
        <v>28</v>
      </c>
      <c r="K769" t="s">
        <v>188</v>
      </c>
      <c r="L769" t="s">
        <v>35</v>
      </c>
      <c r="M769">
        <v>0</v>
      </c>
      <c r="N769">
        <v>0</v>
      </c>
      <c r="O769" s="17" t="s">
        <v>1365</v>
      </c>
      <c r="P769" s="17" t="s">
        <v>1366</v>
      </c>
      <c r="Q769">
        <f>31-14</f>
        <v>17</v>
      </c>
      <c r="R769" t="s">
        <v>63</v>
      </c>
      <c r="T769">
        <v>18</v>
      </c>
      <c r="U769">
        <v>89</v>
      </c>
      <c r="V769">
        <v>16</v>
      </c>
      <c r="W769">
        <v>13.2</v>
      </c>
      <c r="X769">
        <v>28</v>
      </c>
      <c r="Z769" t="s">
        <v>145</v>
      </c>
      <c r="AA769" t="s">
        <v>260</v>
      </c>
      <c r="AB769" t="s">
        <v>44</v>
      </c>
      <c r="AC769" t="s">
        <v>59</v>
      </c>
    </row>
    <row r="770" spans="1:29" x14ac:dyDescent="0.2">
      <c r="A770" s="3">
        <v>42592</v>
      </c>
      <c r="B770" t="s">
        <v>23</v>
      </c>
      <c r="C770">
        <v>701</v>
      </c>
      <c r="D770">
        <v>3</v>
      </c>
      <c r="E770">
        <v>2</v>
      </c>
      <c r="F770" t="s">
        <v>64</v>
      </c>
      <c r="G770" t="s">
        <v>25</v>
      </c>
      <c r="H770" t="s">
        <v>26</v>
      </c>
      <c r="I770" t="s">
        <v>27</v>
      </c>
      <c r="J770" t="s">
        <v>28</v>
      </c>
      <c r="K770" t="s">
        <v>188</v>
      </c>
      <c r="L770" t="s">
        <v>35</v>
      </c>
      <c r="M770">
        <v>0</v>
      </c>
      <c r="N770">
        <v>0</v>
      </c>
      <c r="O770" s="17" t="s">
        <v>1365</v>
      </c>
      <c r="P770" s="17" t="s">
        <v>1366</v>
      </c>
      <c r="Q770">
        <f>29-13</f>
        <v>16</v>
      </c>
      <c r="R770" t="s">
        <v>63</v>
      </c>
      <c r="T770">
        <v>20</v>
      </c>
      <c r="U770">
        <v>87</v>
      </c>
      <c r="V770">
        <v>17</v>
      </c>
      <c r="W770">
        <v>12.9</v>
      </c>
      <c r="X770">
        <v>28.1</v>
      </c>
      <c r="Z770" t="s">
        <v>145</v>
      </c>
      <c r="AA770" t="s">
        <v>260</v>
      </c>
      <c r="AB770" t="s">
        <v>53</v>
      </c>
      <c r="AC770" t="s">
        <v>59</v>
      </c>
    </row>
    <row r="771" spans="1:29" x14ac:dyDescent="0.2">
      <c r="A771" s="3">
        <v>42593</v>
      </c>
      <c r="B771" t="s">
        <v>23</v>
      </c>
      <c r="C771">
        <v>701</v>
      </c>
      <c r="D771">
        <v>5</v>
      </c>
      <c r="E771">
        <v>1</v>
      </c>
      <c r="F771" t="s">
        <v>64</v>
      </c>
      <c r="G771" t="s">
        <v>25</v>
      </c>
      <c r="H771" t="s">
        <v>26</v>
      </c>
      <c r="I771" t="s">
        <v>27</v>
      </c>
      <c r="J771" t="s">
        <v>28</v>
      </c>
      <c r="K771" t="s">
        <v>188</v>
      </c>
      <c r="L771" t="s">
        <v>35</v>
      </c>
      <c r="M771">
        <v>0</v>
      </c>
      <c r="N771">
        <v>0</v>
      </c>
      <c r="O771" s="17" t="s">
        <v>1365</v>
      </c>
      <c r="P771" s="17" t="s">
        <v>1366</v>
      </c>
      <c r="Q771">
        <f>31-16</f>
        <v>15</v>
      </c>
      <c r="R771" t="s">
        <v>63</v>
      </c>
      <c r="T771">
        <v>20</v>
      </c>
      <c r="U771">
        <v>85</v>
      </c>
      <c r="V771">
        <v>15</v>
      </c>
      <c r="W771">
        <v>12.7</v>
      </c>
      <c r="X771">
        <v>27.8</v>
      </c>
      <c r="Z771" t="s">
        <v>145</v>
      </c>
      <c r="AA771" t="s">
        <v>260</v>
      </c>
      <c r="AB771" t="s">
        <v>44</v>
      </c>
      <c r="AC771" t="s">
        <v>122</v>
      </c>
    </row>
    <row r="772" spans="1:29" x14ac:dyDescent="0.2">
      <c r="A772" s="3">
        <v>42604</v>
      </c>
      <c r="B772" t="s">
        <v>23</v>
      </c>
      <c r="C772">
        <v>701</v>
      </c>
      <c r="D772">
        <v>5</v>
      </c>
      <c r="E772">
        <v>2</v>
      </c>
      <c r="F772" t="s">
        <v>24</v>
      </c>
      <c r="G772" t="s">
        <v>25</v>
      </c>
      <c r="H772" t="s">
        <v>26</v>
      </c>
      <c r="I772" t="s">
        <v>27</v>
      </c>
      <c r="J772" t="s">
        <v>28</v>
      </c>
      <c r="K772" t="s">
        <v>188</v>
      </c>
      <c r="L772" t="s">
        <v>35</v>
      </c>
      <c r="M772">
        <v>0</v>
      </c>
      <c r="N772">
        <v>0</v>
      </c>
      <c r="O772" s="17" t="s">
        <v>1365</v>
      </c>
      <c r="P772" s="17" t="s">
        <v>1366</v>
      </c>
      <c r="Q772">
        <f>33-15</f>
        <v>18</v>
      </c>
      <c r="R772" t="s">
        <v>63</v>
      </c>
      <c r="T772">
        <v>19</v>
      </c>
      <c r="U772">
        <v>85</v>
      </c>
      <c r="V772">
        <v>17</v>
      </c>
      <c r="W772">
        <v>13.1</v>
      </c>
      <c r="X772">
        <v>28.2</v>
      </c>
      <c r="Z772" t="s">
        <v>145</v>
      </c>
      <c r="AB772" t="s">
        <v>582</v>
      </c>
      <c r="AC772" t="s">
        <v>116</v>
      </c>
    </row>
    <row r="773" spans="1:29" x14ac:dyDescent="0.2">
      <c r="A773" s="3">
        <v>42605</v>
      </c>
      <c r="B773" t="s">
        <v>23</v>
      </c>
      <c r="C773">
        <v>701</v>
      </c>
      <c r="D773">
        <v>7</v>
      </c>
      <c r="E773">
        <v>1</v>
      </c>
      <c r="F773" t="s">
        <v>24</v>
      </c>
      <c r="G773" t="s">
        <v>25</v>
      </c>
      <c r="H773" t="s">
        <v>26</v>
      </c>
      <c r="I773" t="s">
        <v>27</v>
      </c>
      <c r="J773" t="s">
        <v>28</v>
      </c>
      <c r="K773" t="s">
        <v>188</v>
      </c>
      <c r="L773" t="s">
        <v>35</v>
      </c>
      <c r="M773">
        <v>0</v>
      </c>
      <c r="N773">
        <v>0</v>
      </c>
      <c r="O773" s="17">
        <v>50761</v>
      </c>
      <c r="P773" s="17" t="s">
        <v>1366</v>
      </c>
      <c r="Q773">
        <f>30-13.5</f>
        <v>16.5</v>
      </c>
      <c r="R773" t="s">
        <v>63</v>
      </c>
      <c r="T773">
        <v>19</v>
      </c>
      <c r="U773">
        <v>86</v>
      </c>
      <c r="V773">
        <v>17</v>
      </c>
      <c r="W773">
        <v>13.2</v>
      </c>
      <c r="X773">
        <v>28.2</v>
      </c>
      <c r="Z773" t="s">
        <v>145</v>
      </c>
      <c r="AB773" t="s">
        <v>44</v>
      </c>
      <c r="AC773" t="s">
        <v>59</v>
      </c>
    </row>
    <row r="774" spans="1:29" x14ac:dyDescent="0.2">
      <c r="A774" s="3">
        <v>42606</v>
      </c>
      <c r="B774" t="s">
        <v>23</v>
      </c>
      <c r="C774">
        <v>701</v>
      </c>
      <c r="D774">
        <v>5</v>
      </c>
      <c r="E774">
        <v>2</v>
      </c>
      <c r="F774" t="s">
        <v>24</v>
      </c>
      <c r="G774" t="s">
        <v>25</v>
      </c>
      <c r="H774" t="s">
        <v>26</v>
      </c>
      <c r="I774" t="s">
        <v>27</v>
      </c>
      <c r="J774" t="s">
        <v>28</v>
      </c>
      <c r="K774" t="s">
        <v>188</v>
      </c>
      <c r="L774" t="s">
        <v>35</v>
      </c>
      <c r="M774">
        <v>0</v>
      </c>
      <c r="N774">
        <v>0</v>
      </c>
      <c r="O774" s="17" t="s">
        <v>1365</v>
      </c>
      <c r="P774" s="17" t="s">
        <v>1366</v>
      </c>
      <c r="Q774">
        <f>31.5-15</f>
        <v>16.5</v>
      </c>
      <c r="R774" t="s">
        <v>63</v>
      </c>
      <c r="T774">
        <v>19</v>
      </c>
      <c r="U774">
        <v>85</v>
      </c>
      <c r="V774">
        <v>17.5</v>
      </c>
      <c r="W774">
        <v>13.3</v>
      </c>
      <c r="X774">
        <v>25</v>
      </c>
      <c r="Z774" t="s">
        <v>145</v>
      </c>
      <c r="AB774" t="s">
        <v>44</v>
      </c>
      <c r="AC774" t="s">
        <v>59</v>
      </c>
    </row>
    <row r="775" spans="1:29" x14ac:dyDescent="0.2">
      <c r="A775" s="3">
        <v>42564</v>
      </c>
      <c r="B775" t="s">
        <v>23</v>
      </c>
      <c r="C775">
        <v>901</v>
      </c>
      <c r="D775">
        <v>5</v>
      </c>
      <c r="E775">
        <v>2</v>
      </c>
      <c r="F775" t="s">
        <v>33</v>
      </c>
      <c r="G775" t="s">
        <v>25</v>
      </c>
      <c r="H775" t="s">
        <v>26</v>
      </c>
      <c r="I775" t="s">
        <v>27</v>
      </c>
      <c r="J775" t="s">
        <v>34</v>
      </c>
      <c r="K775" t="s">
        <v>188</v>
      </c>
      <c r="L775" t="s">
        <v>35</v>
      </c>
      <c r="M775">
        <v>0</v>
      </c>
      <c r="N775">
        <v>1</v>
      </c>
      <c r="O775" s="17">
        <v>50766</v>
      </c>
      <c r="P775" s="17">
        <v>50765</v>
      </c>
      <c r="Q775">
        <f>29-12</f>
        <v>17</v>
      </c>
      <c r="R775" t="s">
        <v>39</v>
      </c>
      <c r="T775">
        <v>19</v>
      </c>
      <c r="U775">
        <v>80</v>
      </c>
      <c r="V775">
        <v>17</v>
      </c>
      <c r="W775">
        <v>12.7</v>
      </c>
      <c r="X775">
        <v>27.1</v>
      </c>
      <c r="Z775" t="s">
        <v>32</v>
      </c>
      <c r="AB775" t="s">
        <v>121</v>
      </c>
      <c r="AC775" t="s">
        <v>122</v>
      </c>
    </row>
    <row r="776" spans="1:29" x14ac:dyDescent="0.2">
      <c r="A776" s="3">
        <v>42565</v>
      </c>
      <c r="B776" t="s">
        <v>23</v>
      </c>
      <c r="C776">
        <v>901</v>
      </c>
      <c r="D776">
        <v>8</v>
      </c>
      <c r="E776">
        <v>1</v>
      </c>
      <c r="F776" t="s">
        <v>33</v>
      </c>
      <c r="G776" t="s">
        <v>25</v>
      </c>
      <c r="H776" t="s">
        <v>26</v>
      </c>
      <c r="I776" t="s">
        <v>27</v>
      </c>
      <c r="J776" t="s">
        <v>28</v>
      </c>
      <c r="K776" t="s">
        <v>188</v>
      </c>
      <c r="L776" t="s">
        <v>35</v>
      </c>
      <c r="M776">
        <v>0</v>
      </c>
      <c r="N776">
        <v>0</v>
      </c>
      <c r="O776" s="17">
        <v>50766</v>
      </c>
      <c r="P776" s="17">
        <v>50765</v>
      </c>
      <c r="Q776">
        <f>27-9</f>
        <v>18</v>
      </c>
      <c r="R776" t="s">
        <v>39</v>
      </c>
      <c r="T776">
        <v>19</v>
      </c>
      <c r="U776">
        <v>79</v>
      </c>
      <c r="V776">
        <v>14</v>
      </c>
      <c r="W776">
        <v>12.8</v>
      </c>
      <c r="X776">
        <v>25.9</v>
      </c>
      <c r="Z776" t="s">
        <v>32</v>
      </c>
      <c r="AB776" t="s">
        <v>121</v>
      </c>
      <c r="AC776" t="s">
        <v>254</v>
      </c>
    </row>
    <row r="777" spans="1:29" x14ac:dyDescent="0.2">
      <c r="A777" s="3">
        <v>42574</v>
      </c>
      <c r="B777" t="s">
        <v>23</v>
      </c>
      <c r="C777">
        <v>901</v>
      </c>
      <c r="D777">
        <v>3</v>
      </c>
      <c r="E777">
        <v>2</v>
      </c>
      <c r="F777" t="s">
        <v>24</v>
      </c>
      <c r="G777" t="s">
        <v>25</v>
      </c>
      <c r="H777" t="s">
        <v>26</v>
      </c>
      <c r="I777" t="s">
        <v>27</v>
      </c>
      <c r="J777" t="s">
        <v>28</v>
      </c>
      <c r="K777" t="s">
        <v>188</v>
      </c>
      <c r="L777" t="s">
        <v>35</v>
      </c>
      <c r="M777">
        <v>0</v>
      </c>
      <c r="N777">
        <v>0</v>
      </c>
      <c r="O777" s="17">
        <v>50766</v>
      </c>
      <c r="P777" s="17">
        <v>50675</v>
      </c>
      <c r="Q777">
        <f>31-13</f>
        <v>18</v>
      </c>
      <c r="R777" t="s">
        <v>39</v>
      </c>
      <c r="T777">
        <v>19</v>
      </c>
      <c r="U777">
        <v>86</v>
      </c>
      <c r="V777">
        <v>17</v>
      </c>
      <c r="W777">
        <v>12.9</v>
      </c>
      <c r="X777">
        <v>28</v>
      </c>
      <c r="Z777" t="s">
        <v>32</v>
      </c>
      <c r="AB777" t="s">
        <v>582</v>
      </c>
      <c r="AC777" t="s">
        <v>59</v>
      </c>
    </row>
    <row r="778" spans="1:29" x14ac:dyDescent="0.2">
      <c r="A778" s="3">
        <v>42575</v>
      </c>
      <c r="B778" t="s">
        <v>23</v>
      </c>
      <c r="C778">
        <v>901</v>
      </c>
      <c r="D778">
        <v>2</v>
      </c>
      <c r="E778">
        <v>2</v>
      </c>
      <c r="F778" t="s">
        <v>24</v>
      </c>
      <c r="G778" t="s">
        <v>25</v>
      </c>
      <c r="H778" t="s">
        <v>26</v>
      </c>
      <c r="I778" t="s">
        <v>27</v>
      </c>
      <c r="J778" t="s">
        <v>28</v>
      </c>
      <c r="K778" t="s">
        <v>188</v>
      </c>
      <c r="L778" t="s">
        <v>35</v>
      </c>
      <c r="M778">
        <v>0</v>
      </c>
      <c r="N778">
        <v>0</v>
      </c>
      <c r="O778" s="17">
        <v>50766</v>
      </c>
      <c r="P778" s="17">
        <v>50765</v>
      </c>
      <c r="Q778">
        <v>18</v>
      </c>
      <c r="R778" t="s">
        <v>39</v>
      </c>
      <c r="T778">
        <v>19</v>
      </c>
      <c r="U778">
        <v>81.5</v>
      </c>
      <c r="V778">
        <v>15.5</v>
      </c>
      <c r="W778">
        <v>12.8</v>
      </c>
      <c r="X778">
        <v>25</v>
      </c>
      <c r="Z778" t="s">
        <v>32</v>
      </c>
      <c r="AB778" t="s">
        <v>582</v>
      </c>
      <c r="AC778" t="s">
        <v>59</v>
      </c>
    </row>
    <row r="779" spans="1:29" x14ac:dyDescent="0.2">
      <c r="A779" s="3">
        <v>42576</v>
      </c>
      <c r="B779" t="s">
        <v>23</v>
      </c>
      <c r="C779">
        <v>901</v>
      </c>
      <c r="D779">
        <v>2</v>
      </c>
      <c r="E779">
        <v>1</v>
      </c>
      <c r="F779" t="s">
        <v>24</v>
      </c>
      <c r="G779" t="s">
        <v>25</v>
      </c>
      <c r="H779" t="s">
        <v>26</v>
      </c>
      <c r="I779" t="s">
        <v>27</v>
      </c>
      <c r="J779" t="s">
        <v>28</v>
      </c>
      <c r="K779" t="s">
        <v>188</v>
      </c>
      <c r="L779" t="s">
        <v>35</v>
      </c>
      <c r="M779">
        <v>0</v>
      </c>
      <c r="N779">
        <v>0</v>
      </c>
      <c r="O779" s="17">
        <v>50766</v>
      </c>
      <c r="P779" s="17">
        <v>50765</v>
      </c>
      <c r="Q779">
        <f>26-9.5</f>
        <v>16.5</v>
      </c>
      <c r="R779" t="s">
        <v>39</v>
      </c>
      <c r="T779">
        <v>19</v>
      </c>
      <c r="U779">
        <v>83</v>
      </c>
      <c r="V779">
        <v>17</v>
      </c>
      <c r="W779">
        <v>13.1</v>
      </c>
      <c r="Z779" t="s">
        <v>32</v>
      </c>
      <c r="AB779" t="s">
        <v>121</v>
      </c>
      <c r="AC779" t="s">
        <v>122</v>
      </c>
    </row>
    <row r="780" spans="1:29" x14ac:dyDescent="0.2">
      <c r="A780" s="3">
        <v>42564</v>
      </c>
      <c r="B780" t="s">
        <v>23</v>
      </c>
      <c r="C780">
        <v>901</v>
      </c>
      <c r="D780">
        <v>1</v>
      </c>
      <c r="E780">
        <v>2</v>
      </c>
      <c r="F780" t="s">
        <v>33</v>
      </c>
      <c r="G780" t="s">
        <v>25</v>
      </c>
      <c r="H780" t="s">
        <v>26</v>
      </c>
      <c r="I780" t="s">
        <v>27</v>
      </c>
      <c r="J780" t="s">
        <v>34</v>
      </c>
      <c r="K780" t="s">
        <v>29</v>
      </c>
      <c r="L780" t="s">
        <v>35</v>
      </c>
      <c r="M780">
        <v>0</v>
      </c>
      <c r="N780">
        <v>1</v>
      </c>
      <c r="O780" s="17">
        <v>50769</v>
      </c>
      <c r="P780" s="17">
        <v>50768</v>
      </c>
      <c r="Q780">
        <f>31.5-11</f>
        <v>20.5</v>
      </c>
      <c r="R780" t="s">
        <v>39</v>
      </c>
      <c r="T780">
        <v>19</v>
      </c>
      <c r="U780">
        <v>85</v>
      </c>
      <c r="V780">
        <v>15</v>
      </c>
      <c r="W780">
        <v>13</v>
      </c>
      <c r="X780">
        <v>26.1</v>
      </c>
      <c r="Z780" t="s">
        <v>32</v>
      </c>
      <c r="AB780" t="s">
        <v>121</v>
      </c>
      <c r="AC780" t="s">
        <v>122</v>
      </c>
    </row>
    <row r="781" spans="1:29" x14ac:dyDescent="0.2">
      <c r="A781" s="3">
        <v>42575</v>
      </c>
      <c r="B781" t="s">
        <v>23</v>
      </c>
      <c r="C781">
        <v>901</v>
      </c>
      <c r="D781">
        <v>2</v>
      </c>
      <c r="E781">
        <v>1</v>
      </c>
      <c r="F781" t="s">
        <v>24</v>
      </c>
      <c r="G781" t="s">
        <v>25</v>
      </c>
      <c r="H781" t="s">
        <v>26</v>
      </c>
      <c r="I781" t="s">
        <v>27</v>
      </c>
      <c r="J781" t="s">
        <v>28</v>
      </c>
      <c r="K781" t="s">
        <v>29</v>
      </c>
      <c r="L781" t="s">
        <v>35</v>
      </c>
      <c r="M781">
        <v>0</v>
      </c>
      <c r="N781">
        <v>0</v>
      </c>
      <c r="O781" s="17">
        <v>50769</v>
      </c>
      <c r="P781" s="17">
        <v>50768</v>
      </c>
      <c r="Q781">
        <f>34.5-14</f>
        <v>20.5</v>
      </c>
      <c r="R781" t="s">
        <v>63</v>
      </c>
      <c r="T781">
        <v>19</v>
      </c>
      <c r="U781">
        <v>88</v>
      </c>
      <c r="V781">
        <v>15</v>
      </c>
      <c r="W781">
        <v>13.2</v>
      </c>
      <c r="X781">
        <v>26.4</v>
      </c>
      <c r="Z781" t="s">
        <v>32</v>
      </c>
      <c r="AB781" t="s">
        <v>582</v>
      </c>
      <c r="AC781" t="s">
        <v>59</v>
      </c>
    </row>
    <row r="782" spans="1:29" x14ac:dyDescent="0.2">
      <c r="A782" s="3">
        <v>42564</v>
      </c>
      <c r="B782" t="s">
        <v>23</v>
      </c>
      <c r="C782">
        <v>801</v>
      </c>
      <c r="D782">
        <v>10</v>
      </c>
      <c r="E782">
        <v>1</v>
      </c>
      <c r="F782" t="s">
        <v>33</v>
      </c>
      <c r="G782" t="s">
        <v>25</v>
      </c>
      <c r="H782" t="s">
        <v>26</v>
      </c>
      <c r="I782" t="s">
        <v>27</v>
      </c>
      <c r="J782" t="s">
        <v>34</v>
      </c>
      <c r="K782" t="s">
        <v>29</v>
      </c>
      <c r="L782" t="s">
        <v>35</v>
      </c>
      <c r="M782">
        <v>0</v>
      </c>
      <c r="N782">
        <v>1</v>
      </c>
      <c r="O782" s="17">
        <v>50773</v>
      </c>
      <c r="P782" s="17">
        <v>50772</v>
      </c>
      <c r="Q782">
        <f>30.5-11</f>
        <v>19.5</v>
      </c>
      <c r="R782" t="s">
        <v>39</v>
      </c>
      <c r="T782">
        <v>17</v>
      </c>
      <c r="U782">
        <v>80</v>
      </c>
      <c r="V782">
        <v>14</v>
      </c>
      <c r="W782">
        <v>12.7</v>
      </c>
      <c r="X782">
        <v>26.3</v>
      </c>
      <c r="Z782" t="s">
        <v>145</v>
      </c>
      <c r="AB782" t="s">
        <v>121</v>
      </c>
      <c r="AC782" t="s">
        <v>122</v>
      </c>
    </row>
    <row r="783" spans="1:29" x14ac:dyDescent="0.2">
      <c r="A783" s="3">
        <v>42565</v>
      </c>
      <c r="B783" t="s">
        <v>23</v>
      </c>
      <c r="C783">
        <v>801</v>
      </c>
      <c r="D783">
        <v>9</v>
      </c>
      <c r="E783">
        <v>2</v>
      </c>
      <c r="F783" t="s">
        <v>33</v>
      </c>
      <c r="G783" t="s">
        <v>25</v>
      </c>
      <c r="H783" t="s">
        <v>26</v>
      </c>
      <c r="I783" t="s">
        <v>27</v>
      </c>
      <c r="J783" t="s">
        <v>28</v>
      </c>
      <c r="K783" t="s">
        <v>29</v>
      </c>
      <c r="L783" t="s">
        <v>35</v>
      </c>
      <c r="M783">
        <v>0</v>
      </c>
      <c r="N783">
        <v>0</v>
      </c>
      <c r="O783" s="17">
        <v>50773</v>
      </c>
      <c r="P783" s="17">
        <v>50772</v>
      </c>
      <c r="Q783">
        <f>33-13</f>
        <v>20</v>
      </c>
      <c r="R783" t="s">
        <v>39</v>
      </c>
      <c r="T783">
        <v>19</v>
      </c>
      <c r="U783">
        <v>75</v>
      </c>
      <c r="V783">
        <v>16</v>
      </c>
      <c r="W783">
        <v>12.9</v>
      </c>
      <c r="X783">
        <v>26.4</v>
      </c>
      <c r="Z783" t="s">
        <v>145</v>
      </c>
      <c r="AB783" t="s">
        <v>121</v>
      </c>
      <c r="AC783" t="s">
        <v>254</v>
      </c>
    </row>
    <row r="784" spans="1:29" x14ac:dyDescent="0.2">
      <c r="A784" s="3">
        <v>42564</v>
      </c>
      <c r="B784" t="s">
        <v>23</v>
      </c>
      <c r="C784">
        <v>801</v>
      </c>
      <c r="D784">
        <v>4</v>
      </c>
      <c r="E784">
        <v>2</v>
      </c>
      <c r="F784" t="s">
        <v>33</v>
      </c>
      <c r="G784" t="s">
        <v>25</v>
      </c>
      <c r="H784" t="s">
        <v>26</v>
      </c>
      <c r="I784" t="s">
        <v>27</v>
      </c>
      <c r="J784" t="s">
        <v>34</v>
      </c>
      <c r="K784" t="s">
        <v>188</v>
      </c>
      <c r="L784" t="s">
        <v>30</v>
      </c>
      <c r="M784">
        <v>0</v>
      </c>
      <c r="N784">
        <v>1</v>
      </c>
      <c r="O784" s="17">
        <v>50775</v>
      </c>
      <c r="P784" s="17">
        <v>50774</v>
      </c>
      <c r="Q784">
        <f>25.5-9</f>
        <v>16.5</v>
      </c>
      <c r="R784" t="s">
        <v>61</v>
      </c>
      <c r="S784" t="s">
        <v>32</v>
      </c>
      <c r="T784">
        <v>21</v>
      </c>
      <c r="U784">
        <v>73</v>
      </c>
      <c r="V784">
        <v>15</v>
      </c>
      <c r="W784">
        <v>12.7</v>
      </c>
      <c r="X784">
        <v>26.7</v>
      </c>
      <c r="Z784" t="s">
        <v>32</v>
      </c>
      <c r="AB784" t="s">
        <v>121</v>
      </c>
      <c r="AC784" t="s">
        <v>122</v>
      </c>
    </row>
    <row r="785" spans="1:30" x14ac:dyDescent="0.2">
      <c r="A785" s="3">
        <v>42571</v>
      </c>
      <c r="B785" t="s">
        <v>23</v>
      </c>
      <c r="C785">
        <v>202</v>
      </c>
      <c r="D785">
        <v>2</v>
      </c>
      <c r="E785">
        <v>1</v>
      </c>
      <c r="F785" t="s">
        <v>33</v>
      </c>
      <c r="G785" t="s">
        <v>25</v>
      </c>
      <c r="H785" t="s">
        <v>26</v>
      </c>
      <c r="I785" t="s">
        <v>27</v>
      </c>
      <c r="J785" t="s">
        <v>34</v>
      </c>
      <c r="K785" t="s">
        <v>123</v>
      </c>
      <c r="L785" t="s">
        <v>30</v>
      </c>
      <c r="M785">
        <v>0</v>
      </c>
      <c r="N785">
        <v>1</v>
      </c>
      <c r="O785" s="17">
        <v>50778</v>
      </c>
      <c r="P785" s="17">
        <v>50777</v>
      </c>
      <c r="Q785">
        <f>26.5-11.5</f>
        <v>15</v>
      </c>
      <c r="R785" t="s">
        <v>31</v>
      </c>
      <c r="S785" t="s">
        <v>32</v>
      </c>
      <c r="T785">
        <v>19</v>
      </c>
      <c r="V785">
        <v>14</v>
      </c>
      <c r="W785">
        <v>12.7</v>
      </c>
      <c r="X785">
        <v>26.5</v>
      </c>
      <c r="Z785" t="s">
        <v>32</v>
      </c>
      <c r="AB785" t="s">
        <v>121</v>
      </c>
      <c r="AC785" t="s">
        <v>116</v>
      </c>
    </row>
    <row r="786" spans="1:30" x14ac:dyDescent="0.2">
      <c r="A786" s="3">
        <v>42572</v>
      </c>
      <c r="B786" t="s">
        <v>23</v>
      </c>
      <c r="C786">
        <v>202</v>
      </c>
      <c r="D786">
        <v>5</v>
      </c>
      <c r="E786">
        <v>1</v>
      </c>
      <c r="F786" t="s">
        <v>33</v>
      </c>
      <c r="G786" t="s">
        <v>25</v>
      </c>
      <c r="H786" t="s">
        <v>26</v>
      </c>
      <c r="I786" t="s">
        <v>27</v>
      </c>
      <c r="J786" t="s">
        <v>28</v>
      </c>
      <c r="K786" t="s">
        <v>123</v>
      </c>
      <c r="L786" t="s">
        <v>30</v>
      </c>
      <c r="M786">
        <v>0</v>
      </c>
      <c r="N786">
        <v>0</v>
      </c>
      <c r="O786" s="17">
        <v>50778</v>
      </c>
      <c r="P786" s="17">
        <v>50777</v>
      </c>
      <c r="Q786">
        <f>26-12</f>
        <v>14</v>
      </c>
      <c r="R786" t="s">
        <v>31</v>
      </c>
      <c r="S786" t="s">
        <v>32</v>
      </c>
      <c r="T786">
        <v>19</v>
      </c>
      <c r="V786">
        <v>14</v>
      </c>
      <c r="W786">
        <v>12.6</v>
      </c>
      <c r="X786">
        <v>26.6</v>
      </c>
      <c r="Z786" t="s">
        <v>145</v>
      </c>
      <c r="AA786" t="s">
        <v>260</v>
      </c>
      <c r="AB786" t="s">
        <v>121</v>
      </c>
      <c r="AC786" t="s">
        <v>59</v>
      </c>
    </row>
    <row r="787" spans="1:30" x14ac:dyDescent="0.2">
      <c r="A787" s="3">
        <v>42584</v>
      </c>
      <c r="B787" t="s">
        <v>23</v>
      </c>
      <c r="C787">
        <v>202</v>
      </c>
      <c r="D787">
        <v>1</v>
      </c>
      <c r="E787">
        <v>1</v>
      </c>
      <c r="F787" t="s">
        <v>24</v>
      </c>
      <c r="G787" t="s">
        <v>25</v>
      </c>
      <c r="H787" t="s">
        <v>26</v>
      </c>
      <c r="I787" t="s">
        <v>27</v>
      </c>
      <c r="J787" t="s">
        <v>28</v>
      </c>
      <c r="K787" t="s">
        <v>188</v>
      </c>
      <c r="L787" t="s">
        <v>30</v>
      </c>
      <c r="M787">
        <v>0</v>
      </c>
      <c r="N787">
        <v>0</v>
      </c>
      <c r="O787" s="17">
        <v>50778</v>
      </c>
      <c r="P787" s="17">
        <v>50777</v>
      </c>
      <c r="Q787">
        <v>16</v>
      </c>
      <c r="R787" t="s">
        <v>94</v>
      </c>
      <c r="S787" t="s">
        <v>32</v>
      </c>
      <c r="T787">
        <v>18</v>
      </c>
      <c r="U787">
        <v>75</v>
      </c>
      <c r="V787">
        <v>16</v>
      </c>
      <c r="W787">
        <v>12.3</v>
      </c>
      <c r="X787">
        <v>24.7</v>
      </c>
      <c r="Z787" t="s">
        <v>145</v>
      </c>
      <c r="AB787" t="s">
        <v>44</v>
      </c>
      <c r="AC787" t="s">
        <v>59</v>
      </c>
    </row>
    <row r="788" spans="1:30" x14ac:dyDescent="0.2">
      <c r="A788" s="3">
        <v>42585</v>
      </c>
      <c r="B788" t="s">
        <v>23</v>
      </c>
      <c r="C788">
        <v>202</v>
      </c>
      <c r="D788">
        <v>2</v>
      </c>
      <c r="E788">
        <v>2</v>
      </c>
      <c r="F788" t="s">
        <v>24</v>
      </c>
      <c r="G788" t="s">
        <v>25</v>
      </c>
      <c r="H788" t="s">
        <v>26</v>
      </c>
      <c r="I788" t="s">
        <v>27</v>
      </c>
      <c r="J788" t="s">
        <v>28</v>
      </c>
      <c r="K788" t="s">
        <v>188</v>
      </c>
      <c r="L788" t="s">
        <v>30</v>
      </c>
      <c r="M788">
        <v>0</v>
      </c>
      <c r="N788">
        <v>0</v>
      </c>
      <c r="O788" s="17">
        <v>50778</v>
      </c>
      <c r="P788" s="17">
        <v>50777</v>
      </c>
      <c r="Q788">
        <f>31.5-16.5</f>
        <v>15</v>
      </c>
      <c r="R788" t="s">
        <v>31</v>
      </c>
      <c r="S788" t="s">
        <v>32</v>
      </c>
      <c r="T788">
        <v>18</v>
      </c>
      <c r="V788">
        <v>16</v>
      </c>
      <c r="W788">
        <v>12.1</v>
      </c>
      <c r="X788">
        <v>25.2</v>
      </c>
      <c r="Z788" t="s">
        <v>145</v>
      </c>
      <c r="AB788" t="s">
        <v>44</v>
      </c>
      <c r="AC788" t="s">
        <v>59</v>
      </c>
    </row>
    <row r="789" spans="1:30" x14ac:dyDescent="0.2">
      <c r="A789" s="3">
        <v>42586</v>
      </c>
      <c r="B789" t="s">
        <v>23</v>
      </c>
      <c r="C789">
        <v>202</v>
      </c>
      <c r="D789">
        <v>3</v>
      </c>
      <c r="E789">
        <v>2</v>
      </c>
      <c r="F789" t="s">
        <v>24</v>
      </c>
      <c r="G789" t="s">
        <v>25</v>
      </c>
      <c r="H789" t="s">
        <v>26</v>
      </c>
      <c r="I789" t="s">
        <v>27</v>
      </c>
      <c r="J789" t="s">
        <v>28</v>
      </c>
      <c r="K789" t="s">
        <v>188</v>
      </c>
      <c r="L789" t="s">
        <v>30</v>
      </c>
      <c r="M789">
        <v>0</v>
      </c>
      <c r="N789">
        <v>0</v>
      </c>
      <c r="O789" s="17">
        <v>50778</v>
      </c>
      <c r="P789" s="17">
        <v>50777</v>
      </c>
      <c r="Q789">
        <v>14</v>
      </c>
      <c r="R789" t="s">
        <v>31</v>
      </c>
      <c r="S789" t="s">
        <v>32</v>
      </c>
      <c r="T789">
        <v>18</v>
      </c>
      <c r="V789">
        <v>14</v>
      </c>
      <c r="W789">
        <v>12.2</v>
      </c>
      <c r="X789">
        <v>26.5</v>
      </c>
      <c r="Z789" t="s">
        <v>145</v>
      </c>
      <c r="AB789" t="s">
        <v>44</v>
      </c>
      <c r="AC789" t="s">
        <v>59</v>
      </c>
    </row>
    <row r="790" spans="1:30" x14ac:dyDescent="0.2">
      <c r="A790" s="3">
        <v>42572</v>
      </c>
      <c r="B790" t="s">
        <v>23</v>
      </c>
      <c r="C790">
        <v>201</v>
      </c>
      <c r="D790">
        <v>2</v>
      </c>
      <c r="E790">
        <v>1</v>
      </c>
      <c r="F790" t="s">
        <v>33</v>
      </c>
      <c r="G790" t="s">
        <v>25</v>
      </c>
      <c r="H790" t="s">
        <v>26</v>
      </c>
      <c r="I790" t="s">
        <v>27</v>
      </c>
      <c r="J790" t="s">
        <v>34</v>
      </c>
      <c r="K790" t="s">
        <v>188</v>
      </c>
      <c r="L790" t="s">
        <v>30</v>
      </c>
      <c r="M790">
        <v>0</v>
      </c>
      <c r="N790">
        <v>1</v>
      </c>
      <c r="O790" s="17">
        <v>50780</v>
      </c>
      <c r="P790" s="17">
        <v>50779</v>
      </c>
      <c r="Q790">
        <f>33-11</f>
        <v>22</v>
      </c>
      <c r="R790" t="s">
        <v>273</v>
      </c>
      <c r="S790" t="s">
        <v>145</v>
      </c>
      <c r="T790">
        <v>18</v>
      </c>
      <c r="U790">
        <v>85</v>
      </c>
      <c r="V790">
        <v>14</v>
      </c>
      <c r="W790">
        <v>12.9</v>
      </c>
      <c r="X790">
        <v>27.4</v>
      </c>
      <c r="Z790" t="s">
        <v>145</v>
      </c>
      <c r="AA790" t="s">
        <v>618</v>
      </c>
      <c r="AB790" t="s">
        <v>121</v>
      </c>
      <c r="AC790" t="s">
        <v>59</v>
      </c>
    </row>
    <row r="791" spans="1:30" x14ac:dyDescent="0.2">
      <c r="A791" s="3">
        <v>42584</v>
      </c>
      <c r="B791" t="s">
        <v>23</v>
      </c>
      <c r="C791">
        <v>201</v>
      </c>
      <c r="D791">
        <v>1</v>
      </c>
      <c r="E791">
        <v>1</v>
      </c>
      <c r="F791" t="s">
        <v>24</v>
      </c>
      <c r="G791" t="s">
        <v>25</v>
      </c>
      <c r="H791" t="s">
        <v>26</v>
      </c>
      <c r="I791" t="s">
        <v>27</v>
      </c>
      <c r="J791" t="s">
        <v>28</v>
      </c>
      <c r="K791" t="s">
        <v>188</v>
      </c>
      <c r="L791" t="s">
        <v>30</v>
      </c>
      <c r="M791">
        <v>0</v>
      </c>
      <c r="N791">
        <v>0</v>
      </c>
      <c r="O791" s="17">
        <v>50780</v>
      </c>
      <c r="P791" s="17">
        <v>50779</v>
      </c>
      <c r="Q791">
        <f>31-12.5</f>
        <v>18.5</v>
      </c>
      <c r="R791" t="s">
        <v>31</v>
      </c>
      <c r="S791" t="s">
        <v>32</v>
      </c>
      <c r="T791">
        <v>17</v>
      </c>
      <c r="U791">
        <v>86</v>
      </c>
      <c r="V791">
        <v>16</v>
      </c>
      <c r="W791">
        <v>13.3</v>
      </c>
      <c r="X791">
        <v>27.8</v>
      </c>
      <c r="Z791" t="s">
        <v>145</v>
      </c>
      <c r="AA791" t="s">
        <v>260</v>
      </c>
      <c r="AB791" t="s">
        <v>44</v>
      </c>
      <c r="AC791" t="s">
        <v>59</v>
      </c>
    </row>
    <row r="792" spans="1:30" x14ac:dyDescent="0.2">
      <c r="A792" s="3">
        <v>42585</v>
      </c>
      <c r="B792" t="s">
        <v>23</v>
      </c>
      <c r="C792">
        <v>201</v>
      </c>
      <c r="D792">
        <v>1</v>
      </c>
      <c r="E792">
        <v>1</v>
      </c>
      <c r="F792" t="s">
        <v>24</v>
      </c>
      <c r="G792" t="s">
        <v>25</v>
      </c>
      <c r="H792" t="s">
        <v>26</v>
      </c>
      <c r="I792" t="s">
        <v>27</v>
      </c>
      <c r="J792" t="s">
        <v>28</v>
      </c>
      <c r="K792" t="s">
        <v>188</v>
      </c>
      <c r="L792" t="s">
        <v>30</v>
      </c>
      <c r="M792">
        <v>0</v>
      </c>
      <c r="N792">
        <v>0</v>
      </c>
      <c r="O792" s="17">
        <v>50780</v>
      </c>
      <c r="P792" s="17">
        <v>50779</v>
      </c>
      <c r="Q792">
        <f>33-13</f>
        <v>20</v>
      </c>
      <c r="R792" t="s">
        <v>31</v>
      </c>
      <c r="S792" t="s">
        <v>32</v>
      </c>
      <c r="T792">
        <v>17</v>
      </c>
      <c r="U792">
        <v>81</v>
      </c>
      <c r="V792">
        <v>18</v>
      </c>
      <c r="W792">
        <v>13.1</v>
      </c>
      <c r="X792">
        <v>27.1</v>
      </c>
      <c r="Z792" t="s">
        <v>145</v>
      </c>
      <c r="AB792" t="s">
        <v>44</v>
      </c>
      <c r="AC792" t="s">
        <v>59</v>
      </c>
    </row>
    <row r="793" spans="1:30" x14ac:dyDescent="0.2">
      <c r="A793" s="3">
        <v>42586</v>
      </c>
      <c r="B793" t="s">
        <v>23</v>
      </c>
      <c r="C793">
        <v>201</v>
      </c>
      <c r="D793">
        <v>1</v>
      </c>
      <c r="E793">
        <v>1</v>
      </c>
      <c r="F793" t="s">
        <v>24</v>
      </c>
      <c r="G793" t="s">
        <v>25</v>
      </c>
      <c r="H793" t="s">
        <v>26</v>
      </c>
      <c r="I793" t="s">
        <v>27</v>
      </c>
      <c r="J793" t="s">
        <v>28</v>
      </c>
      <c r="K793" t="s">
        <v>188</v>
      </c>
      <c r="L793" t="s">
        <v>30</v>
      </c>
      <c r="M793">
        <v>0</v>
      </c>
      <c r="N793">
        <v>0</v>
      </c>
      <c r="O793" s="17">
        <v>50780</v>
      </c>
      <c r="P793" s="17">
        <v>50779</v>
      </c>
      <c r="Q793">
        <f>31.5-13</f>
        <v>18.5</v>
      </c>
      <c r="R793" t="s">
        <v>31</v>
      </c>
      <c r="S793" t="s">
        <v>32</v>
      </c>
      <c r="T793">
        <v>18</v>
      </c>
      <c r="U793">
        <v>81</v>
      </c>
      <c r="V793">
        <v>16</v>
      </c>
      <c r="W793">
        <v>13.4</v>
      </c>
      <c r="X793">
        <v>27</v>
      </c>
      <c r="Z793" t="s">
        <v>145</v>
      </c>
      <c r="AB793" t="s">
        <v>44</v>
      </c>
      <c r="AC793" t="s">
        <v>59</v>
      </c>
    </row>
    <row r="794" spans="1:30" x14ac:dyDescent="0.2">
      <c r="A794" s="3">
        <v>42598</v>
      </c>
      <c r="B794" t="s">
        <v>23</v>
      </c>
      <c r="C794">
        <v>201</v>
      </c>
      <c r="D794">
        <v>1</v>
      </c>
      <c r="E794">
        <v>1</v>
      </c>
      <c r="F794" t="s">
        <v>64</v>
      </c>
      <c r="G794" t="s">
        <v>25</v>
      </c>
      <c r="H794" t="s">
        <v>26</v>
      </c>
      <c r="I794" t="s">
        <v>27</v>
      </c>
      <c r="J794" t="s">
        <v>28</v>
      </c>
      <c r="K794" t="s">
        <v>188</v>
      </c>
      <c r="L794" t="s">
        <v>30</v>
      </c>
      <c r="M794">
        <v>0</v>
      </c>
      <c r="N794">
        <v>0</v>
      </c>
      <c r="O794" s="17" t="s">
        <v>1138</v>
      </c>
      <c r="P794" s="17" t="s">
        <v>1139</v>
      </c>
      <c r="Q794">
        <f>31-14</f>
        <v>17</v>
      </c>
      <c r="R794" t="s">
        <v>251</v>
      </c>
      <c r="S794" t="s">
        <v>145</v>
      </c>
      <c r="T794">
        <v>19</v>
      </c>
      <c r="U794">
        <v>84</v>
      </c>
      <c r="V794">
        <v>16</v>
      </c>
      <c r="W794">
        <v>13.1</v>
      </c>
      <c r="X794">
        <v>28</v>
      </c>
      <c r="Z794" t="s">
        <v>145</v>
      </c>
      <c r="AB794" t="s">
        <v>121</v>
      </c>
      <c r="AC794" t="s">
        <v>122</v>
      </c>
      <c r="AD794" t="s">
        <v>1534</v>
      </c>
    </row>
    <row r="795" spans="1:30" x14ac:dyDescent="0.2">
      <c r="A795" s="3">
        <v>42599</v>
      </c>
      <c r="B795" t="s">
        <v>23</v>
      </c>
      <c r="C795">
        <v>201</v>
      </c>
      <c r="D795">
        <v>1</v>
      </c>
      <c r="E795">
        <v>1</v>
      </c>
      <c r="F795" t="s">
        <v>64</v>
      </c>
      <c r="G795" t="s">
        <v>25</v>
      </c>
      <c r="H795" t="s">
        <v>26</v>
      </c>
      <c r="I795" t="s">
        <v>27</v>
      </c>
      <c r="J795" t="s">
        <v>28</v>
      </c>
      <c r="K795" t="s">
        <v>188</v>
      </c>
      <c r="L795" t="s">
        <v>30</v>
      </c>
      <c r="M795">
        <v>0</v>
      </c>
      <c r="N795">
        <v>0</v>
      </c>
      <c r="O795" s="17" t="s">
        <v>1138</v>
      </c>
      <c r="P795" s="17" t="s">
        <v>1139</v>
      </c>
      <c r="Q795">
        <f>32.5-15</f>
        <v>17.5</v>
      </c>
      <c r="R795" t="s">
        <v>31</v>
      </c>
      <c r="S795" t="s">
        <v>32</v>
      </c>
      <c r="T795">
        <v>19</v>
      </c>
      <c r="U795">
        <v>85</v>
      </c>
      <c r="V795">
        <v>15</v>
      </c>
      <c r="W795">
        <v>13.3</v>
      </c>
      <c r="X795">
        <v>28.7</v>
      </c>
      <c r="Z795" t="s">
        <v>145</v>
      </c>
      <c r="AA795" t="s">
        <v>260</v>
      </c>
      <c r="AB795" t="s">
        <v>121</v>
      </c>
      <c r="AC795" t="s">
        <v>59</v>
      </c>
    </row>
    <row r="796" spans="1:30" x14ac:dyDescent="0.2">
      <c r="A796" s="3">
        <v>42600</v>
      </c>
      <c r="B796" t="s">
        <v>23</v>
      </c>
      <c r="C796">
        <v>201</v>
      </c>
      <c r="D796">
        <v>1</v>
      </c>
      <c r="E796">
        <v>1</v>
      </c>
      <c r="F796" t="s">
        <v>64</v>
      </c>
      <c r="G796" t="s">
        <v>25</v>
      </c>
      <c r="H796" t="s">
        <v>26</v>
      </c>
      <c r="I796" t="s">
        <v>27</v>
      </c>
      <c r="J796" t="s">
        <v>28</v>
      </c>
      <c r="K796" t="s">
        <v>188</v>
      </c>
      <c r="L796" t="s">
        <v>30</v>
      </c>
      <c r="M796">
        <v>0</v>
      </c>
      <c r="N796">
        <v>0</v>
      </c>
      <c r="O796" s="17" t="s">
        <v>1138</v>
      </c>
      <c r="P796" s="17" t="s">
        <v>1139</v>
      </c>
      <c r="Q796">
        <f>31-14.5</f>
        <v>16.5</v>
      </c>
      <c r="R796" t="s">
        <v>251</v>
      </c>
      <c r="S796" t="s">
        <v>145</v>
      </c>
      <c r="T796">
        <v>19</v>
      </c>
      <c r="U796">
        <v>84</v>
      </c>
      <c r="V796">
        <v>16</v>
      </c>
      <c r="W796">
        <v>13.2</v>
      </c>
      <c r="X796">
        <v>27.8</v>
      </c>
      <c r="Z796" t="s">
        <v>145</v>
      </c>
      <c r="AA796" t="s">
        <v>260</v>
      </c>
      <c r="AB796" t="s">
        <v>121</v>
      </c>
      <c r="AC796" t="s">
        <v>122</v>
      </c>
    </row>
    <row r="797" spans="1:30" x14ac:dyDescent="0.2">
      <c r="A797" s="3">
        <v>42570</v>
      </c>
      <c r="B797" t="s">
        <v>23</v>
      </c>
      <c r="C797">
        <v>304</v>
      </c>
      <c r="D797">
        <v>1</v>
      </c>
      <c r="E797">
        <v>1</v>
      </c>
      <c r="F797" t="s">
        <v>33</v>
      </c>
      <c r="G797" t="s">
        <v>25</v>
      </c>
      <c r="H797" t="s">
        <v>26</v>
      </c>
      <c r="I797" t="s">
        <v>27</v>
      </c>
      <c r="J797" t="s">
        <v>34</v>
      </c>
      <c r="K797" t="s">
        <v>29</v>
      </c>
      <c r="L797" t="s">
        <v>30</v>
      </c>
      <c r="M797">
        <v>0</v>
      </c>
      <c r="N797">
        <v>1</v>
      </c>
      <c r="O797" s="17">
        <v>50784</v>
      </c>
      <c r="P797" s="17">
        <v>50783</v>
      </c>
      <c r="Q797">
        <f>35-13.5</f>
        <v>21.5</v>
      </c>
      <c r="R797" t="s">
        <v>273</v>
      </c>
      <c r="S797" t="s">
        <v>145</v>
      </c>
      <c r="T797">
        <v>20</v>
      </c>
      <c r="U797">
        <v>89</v>
      </c>
      <c r="V797">
        <v>15</v>
      </c>
      <c r="W797">
        <v>12.9</v>
      </c>
      <c r="X797">
        <v>27.5</v>
      </c>
      <c r="Z797" t="s">
        <v>32</v>
      </c>
      <c r="AB797" t="s">
        <v>121</v>
      </c>
      <c r="AC797" t="s">
        <v>59</v>
      </c>
    </row>
    <row r="798" spans="1:30" x14ac:dyDescent="0.2">
      <c r="A798" s="3">
        <v>42570</v>
      </c>
      <c r="B798" t="s">
        <v>23</v>
      </c>
      <c r="C798">
        <v>202</v>
      </c>
      <c r="D798">
        <v>6</v>
      </c>
      <c r="E798">
        <v>2</v>
      </c>
      <c r="F798" t="s">
        <v>33</v>
      </c>
      <c r="G798" t="s">
        <v>25</v>
      </c>
      <c r="H798" t="s">
        <v>26</v>
      </c>
      <c r="I798" t="s">
        <v>27</v>
      </c>
      <c r="J798" t="s">
        <v>34</v>
      </c>
      <c r="K798" t="s">
        <v>123</v>
      </c>
      <c r="L798" t="s">
        <v>35</v>
      </c>
      <c r="M798">
        <v>0</v>
      </c>
      <c r="N798">
        <v>1</v>
      </c>
      <c r="O798" s="17">
        <v>50786</v>
      </c>
      <c r="P798" s="17">
        <v>50785</v>
      </c>
      <c r="Q798">
        <f>27.5-16</f>
        <v>11.5</v>
      </c>
      <c r="R798" t="s">
        <v>63</v>
      </c>
      <c r="T798">
        <v>19</v>
      </c>
      <c r="V798">
        <v>14</v>
      </c>
      <c r="W798">
        <v>12.6</v>
      </c>
      <c r="X798">
        <v>25.6</v>
      </c>
      <c r="Z798" t="s">
        <v>145</v>
      </c>
      <c r="AA798" t="s">
        <v>555</v>
      </c>
      <c r="AB798" t="s">
        <v>121</v>
      </c>
      <c r="AC798" t="s">
        <v>59</v>
      </c>
    </row>
    <row r="799" spans="1:30" x14ac:dyDescent="0.2">
      <c r="A799" s="3">
        <v>42572</v>
      </c>
      <c r="B799" t="s">
        <v>23</v>
      </c>
      <c r="C799">
        <v>202</v>
      </c>
      <c r="D799">
        <v>8</v>
      </c>
      <c r="E799">
        <v>2</v>
      </c>
      <c r="F799" t="s">
        <v>33</v>
      </c>
      <c r="G799" t="s">
        <v>25</v>
      </c>
      <c r="H799" t="s">
        <v>26</v>
      </c>
      <c r="I799" t="s">
        <v>27</v>
      </c>
      <c r="J799" t="s">
        <v>28</v>
      </c>
      <c r="K799" t="s">
        <v>123</v>
      </c>
      <c r="L799" t="s">
        <v>35</v>
      </c>
      <c r="M799">
        <v>0</v>
      </c>
      <c r="N799">
        <v>0</v>
      </c>
      <c r="O799" s="17">
        <v>50786</v>
      </c>
      <c r="P799" s="17">
        <v>50785</v>
      </c>
      <c r="Q799">
        <f>27-14.5</f>
        <v>12.5</v>
      </c>
      <c r="R799" t="s">
        <v>63</v>
      </c>
      <c r="T799">
        <v>18</v>
      </c>
      <c r="V799">
        <v>13.5</v>
      </c>
      <c r="W799">
        <v>12.6</v>
      </c>
      <c r="X799">
        <v>25.5</v>
      </c>
      <c r="Z799" t="s">
        <v>145</v>
      </c>
      <c r="AA799" t="s">
        <v>631</v>
      </c>
      <c r="AB799" t="s">
        <v>121</v>
      </c>
      <c r="AC799" t="s">
        <v>59</v>
      </c>
    </row>
    <row r="800" spans="1:30" x14ac:dyDescent="0.2">
      <c r="A800" s="3">
        <v>42585</v>
      </c>
      <c r="B800" t="s">
        <v>23</v>
      </c>
      <c r="C800">
        <v>202</v>
      </c>
      <c r="D800">
        <v>6</v>
      </c>
      <c r="E800">
        <v>1</v>
      </c>
      <c r="F800" t="s">
        <v>24</v>
      </c>
      <c r="G800" t="s">
        <v>25</v>
      </c>
      <c r="H800" t="s">
        <v>26</v>
      </c>
      <c r="I800" t="s">
        <v>27</v>
      </c>
      <c r="J800" t="s">
        <v>28</v>
      </c>
      <c r="K800" t="s">
        <v>188</v>
      </c>
      <c r="L800" t="s">
        <v>648</v>
      </c>
      <c r="M800">
        <v>0</v>
      </c>
      <c r="N800">
        <v>0</v>
      </c>
      <c r="O800" s="17">
        <v>50786</v>
      </c>
      <c r="P800" s="17">
        <v>50785</v>
      </c>
      <c r="Q800">
        <f>29-14.5</f>
        <v>14.5</v>
      </c>
      <c r="R800" t="s">
        <v>31</v>
      </c>
      <c r="S800" t="s">
        <v>32</v>
      </c>
      <c r="T800">
        <v>18</v>
      </c>
      <c r="V800">
        <v>16.5</v>
      </c>
      <c r="W800">
        <v>12.5</v>
      </c>
      <c r="X800">
        <v>25.5</v>
      </c>
      <c r="Z800" t="s">
        <v>145</v>
      </c>
      <c r="AB800" t="s">
        <v>44</v>
      </c>
      <c r="AC800" t="s">
        <v>59</v>
      </c>
    </row>
    <row r="801" spans="1:30" x14ac:dyDescent="0.2">
      <c r="A801" s="3">
        <v>42586</v>
      </c>
      <c r="B801" t="s">
        <v>23</v>
      </c>
      <c r="C801">
        <v>202</v>
      </c>
      <c r="D801">
        <v>5</v>
      </c>
      <c r="E801">
        <v>1</v>
      </c>
      <c r="F801" t="s">
        <v>24</v>
      </c>
      <c r="G801" t="s">
        <v>25</v>
      </c>
      <c r="H801" t="s">
        <v>26</v>
      </c>
      <c r="I801" t="s">
        <v>27</v>
      </c>
      <c r="J801" t="s">
        <v>28</v>
      </c>
      <c r="K801" t="s">
        <v>188</v>
      </c>
      <c r="L801" t="s">
        <v>35</v>
      </c>
      <c r="M801">
        <v>0</v>
      </c>
      <c r="N801">
        <v>0</v>
      </c>
      <c r="O801" s="17">
        <v>50786</v>
      </c>
      <c r="P801" s="17">
        <v>50785</v>
      </c>
      <c r="Q801">
        <f>30-15.5</f>
        <v>14.5</v>
      </c>
      <c r="R801" t="s">
        <v>63</v>
      </c>
      <c r="T801">
        <v>18</v>
      </c>
      <c r="U801">
        <v>77</v>
      </c>
      <c r="V801">
        <v>15</v>
      </c>
      <c r="W801">
        <v>12.1</v>
      </c>
      <c r="X801">
        <v>27</v>
      </c>
      <c r="Z801" t="s">
        <v>145</v>
      </c>
      <c r="AB801" t="s">
        <v>44</v>
      </c>
      <c r="AC801" t="s">
        <v>59</v>
      </c>
    </row>
    <row r="802" spans="1:30" x14ac:dyDescent="0.2">
      <c r="A802" s="3">
        <v>42598</v>
      </c>
      <c r="B802" t="s">
        <v>23</v>
      </c>
      <c r="C802">
        <v>202</v>
      </c>
      <c r="D802">
        <v>5</v>
      </c>
      <c r="E802">
        <v>1</v>
      </c>
      <c r="F802" t="s">
        <v>64</v>
      </c>
      <c r="G802" t="s">
        <v>25</v>
      </c>
      <c r="H802" t="s">
        <v>26</v>
      </c>
      <c r="I802" t="s">
        <v>27</v>
      </c>
      <c r="J802" t="s">
        <v>28</v>
      </c>
      <c r="K802" t="s">
        <v>188</v>
      </c>
      <c r="L802" t="s">
        <v>35</v>
      </c>
      <c r="M802">
        <v>0</v>
      </c>
      <c r="N802">
        <v>0</v>
      </c>
      <c r="O802" s="17" t="s">
        <v>1316</v>
      </c>
      <c r="P802" s="17" t="s">
        <v>1317</v>
      </c>
      <c r="R802" t="s">
        <v>63</v>
      </c>
      <c r="T802">
        <v>18</v>
      </c>
      <c r="U802">
        <v>81</v>
      </c>
      <c r="V802">
        <v>17</v>
      </c>
      <c r="W802">
        <v>12.9</v>
      </c>
      <c r="X802">
        <v>26.7</v>
      </c>
      <c r="Z802" t="s">
        <v>145</v>
      </c>
      <c r="AA802" t="s">
        <v>260</v>
      </c>
      <c r="AB802" t="s">
        <v>121</v>
      </c>
      <c r="AC802" t="s">
        <v>122</v>
      </c>
    </row>
    <row r="803" spans="1:30" x14ac:dyDescent="0.2">
      <c r="A803" s="3">
        <v>42570</v>
      </c>
      <c r="B803" t="s">
        <v>23</v>
      </c>
      <c r="C803">
        <v>202</v>
      </c>
      <c r="D803">
        <v>5</v>
      </c>
      <c r="E803">
        <v>2</v>
      </c>
      <c r="F803" t="s">
        <v>33</v>
      </c>
      <c r="G803" t="s">
        <v>25</v>
      </c>
      <c r="H803" t="s">
        <v>26</v>
      </c>
      <c r="I803" t="s">
        <v>27</v>
      </c>
      <c r="J803" t="s">
        <v>34</v>
      </c>
      <c r="K803" t="s">
        <v>188</v>
      </c>
      <c r="L803" t="s">
        <v>35</v>
      </c>
      <c r="M803">
        <v>0</v>
      </c>
      <c r="N803">
        <v>1</v>
      </c>
      <c r="O803" s="17">
        <v>50788</v>
      </c>
      <c r="P803" s="17">
        <v>50787</v>
      </c>
      <c r="Q803">
        <f>28-9.5</f>
        <v>18.5</v>
      </c>
      <c r="R803" t="s">
        <v>63</v>
      </c>
      <c r="T803">
        <v>19</v>
      </c>
      <c r="U803">
        <v>87</v>
      </c>
      <c r="V803">
        <v>15</v>
      </c>
      <c r="W803">
        <v>12.8</v>
      </c>
      <c r="X803">
        <v>26.4</v>
      </c>
      <c r="Z803" t="s">
        <v>145</v>
      </c>
      <c r="AA803" t="s">
        <v>260</v>
      </c>
      <c r="AB803" t="s">
        <v>121</v>
      </c>
      <c r="AC803" t="s">
        <v>59</v>
      </c>
    </row>
    <row r="804" spans="1:30" x14ac:dyDescent="0.2">
      <c r="A804" s="3">
        <v>42571</v>
      </c>
      <c r="B804" t="s">
        <v>23</v>
      </c>
      <c r="C804">
        <v>202</v>
      </c>
      <c r="D804">
        <v>5</v>
      </c>
      <c r="E804">
        <v>2</v>
      </c>
      <c r="F804" t="s">
        <v>33</v>
      </c>
      <c r="G804" t="s">
        <v>25</v>
      </c>
      <c r="H804" t="s">
        <v>26</v>
      </c>
      <c r="I804" t="s">
        <v>27</v>
      </c>
      <c r="J804" t="s">
        <v>28</v>
      </c>
      <c r="K804" t="s">
        <v>188</v>
      </c>
      <c r="L804" t="s">
        <v>35</v>
      </c>
      <c r="M804">
        <v>0</v>
      </c>
      <c r="N804">
        <v>0</v>
      </c>
      <c r="O804" s="17">
        <v>50788</v>
      </c>
      <c r="P804" s="17">
        <v>50787</v>
      </c>
      <c r="Q804">
        <f>24.5-9</f>
        <v>15.5</v>
      </c>
      <c r="R804" t="s">
        <v>63</v>
      </c>
      <c r="T804">
        <v>20</v>
      </c>
      <c r="U804">
        <v>77</v>
      </c>
      <c r="V804">
        <v>14</v>
      </c>
      <c r="W804">
        <v>12.8</v>
      </c>
      <c r="X804">
        <v>26.4</v>
      </c>
      <c r="Z804" t="s">
        <v>145</v>
      </c>
      <c r="AB804" t="s">
        <v>121</v>
      </c>
      <c r="AC804" t="s">
        <v>116</v>
      </c>
    </row>
    <row r="805" spans="1:30" x14ac:dyDescent="0.2">
      <c r="A805" s="3">
        <v>42570</v>
      </c>
      <c r="B805" t="s">
        <v>23</v>
      </c>
      <c r="C805">
        <v>202</v>
      </c>
      <c r="D805">
        <v>2</v>
      </c>
      <c r="E805">
        <v>1</v>
      </c>
      <c r="F805" t="s">
        <v>33</v>
      </c>
      <c r="G805" t="s">
        <v>25</v>
      </c>
      <c r="H805" t="s">
        <v>26</v>
      </c>
      <c r="I805" t="s">
        <v>27</v>
      </c>
      <c r="J805" t="s">
        <v>34</v>
      </c>
      <c r="K805" t="s">
        <v>123</v>
      </c>
      <c r="L805" t="s">
        <v>30</v>
      </c>
      <c r="M805">
        <v>0</v>
      </c>
      <c r="N805">
        <v>1</v>
      </c>
      <c r="O805" s="17">
        <v>50790</v>
      </c>
      <c r="P805" s="17">
        <v>50789</v>
      </c>
      <c r="Q805">
        <f>26.5-13</f>
        <v>13.5</v>
      </c>
      <c r="R805" t="s">
        <v>31</v>
      </c>
      <c r="S805" t="s">
        <v>32</v>
      </c>
      <c r="T805">
        <v>20</v>
      </c>
      <c r="V805">
        <v>15</v>
      </c>
      <c r="W805">
        <v>12.7</v>
      </c>
      <c r="X805">
        <v>26.6</v>
      </c>
      <c r="Z805" t="s">
        <v>32</v>
      </c>
      <c r="AB805" t="s">
        <v>121</v>
      </c>
      <c r="AC805" t="s">
        <v>59</v>
      </c>
    </row>
    <row r="806" spans="1:30" x14ac:dyDescent="0.2">
      <c r="A806" s="3">
        <v>42570</v>
      </c>
      <c r="B806" t="s">
        <v>23</v>
      </c>
      <c r="C806">
        <v>201</v>
      </c>
      <c r="D806">
        <v>7</v>
      </c>
      <c r="E806">
        <v>2</v>
      </c>
      <c r="F806" t="s">
        <v>33</v>
      </c>
      <c r="G806" t="s">
        <v>25</v>
      </c>
      <c r="H806" t="s">
        <v>26</v>
      </c>
      <c r="I806" t="s">
        <v>27</v>
      </c>
      <c r="J806" t="s">
        <v>34</v>
      </c>
      <c r="K806" t="s">
        <v>29</v>
      </c>
      <c r="L806" t="s">
        <v>35</v>
      </c>
      <c r="M806">
        <v>0</v>
      </c>
      <c r="N806">
        <v>1</v>
      </c>
      <c r="O806" s="17">
        <v>50792</v>
      </c>
      <c r="P806" s="17">
        <v>50791</v>
      </c>
      <c r="Q806">
        <f>35-9</f>
        <v>26</v>
      </c>
      <c r="R806" t="s">
        <v>39</v>
      </c>
      <c r="T806">
        <v>20</v>
      </c>
      <c r="U806">
        <v>103</v>
      </c>
      <c r="V806">
        <v>16</v>
      </c>
      <c r="W806">
        <v>13</v>
      </c>
      <c r="X806">
        <v>26.8</v>
      </c>
      <c r="Z806" t="s">
        <v>32</v>
      </c>
      <c r="AB806" t="s">
        <v>121</v>
      </c>
      <c r="AC806" t="s">
        <v>59</v>
      </c>
    </row>
    <row r="807" spans="1:30" x14ac:dyDescent="0.2">
      <c r="A807" s="3">
        <v>42565</v>
      </c>
      <c r="B807" t="s">
        <v>23</v>
      </c>
      <c r="C807">
        <v>901</v>
      </c>
      <c r="D807">
        <v>3</v>
      </c>
      <c r="E807">
        <v>1</v>
      </c>
      <c r="F807" t="s">
        <v>33</v>
      </c>
      <c r="G807" t="s">
        <v>25</v>
      </c>
      <c r="H807" t="s">
        <v>26</v>
      </c>
      <c r="I807" t="s">
        <v>27</v>
      </c>
      <c r="J807" t="s">
        <v>34</v>
      </c>
      <c r="K807" t="s">
        <v>123</v>
      </c>
      <c r="L807" t="s">
        <v>30</v>
      </c>
      <c r="M807">
        <v>0</v>
      </c>
      <c r="N807">
        <v>1</v>
      </c>
      <c r="O807" s="17">
        <v>50797</v>
      </c>
      <c r="P807" s="17">
        <v>50796</v>
      </c>
      <c r="Q807">
        <v>14</v>
      </c>
      <c r="R807" t="s">
        <v>31</v>
      </c>
      <c r="S807" t="s">
        <v>32</v>
      </c>
      <c r="T807">
        <v>18</v>
      </c>
      <c r="U807">
        <v>77</v>
      </c>
      <c r="V807">
        <v>15</v>
      </c>
      <c r="W807">
        <v>12.8</v>
      </c>
      <c r="X807">
        <v>26.8</v>
      </c>
      <c r="Z807" t="s">
        <v>32</v>
      </c>
      <c r="AB807" t="s">
        <v>121</v>
      </c>
      <c r="AC807" t="s">
        <v>254</v>
      </c>
    </row>
    <row r="808" spans="1:30" x14ac:dyDescent="0.2">
      <c r="A808" s="3">
        <v>42565</v>
      </c>
      <c r="B808" t="s">
        <v>23</v>
      </c>
      <c r="C808">
        <v>901</v>
      </c>
      <c r="D808">
        <v>2</v>
      </c>
      <c r="E808">
        <v>2</v>
      </c>
      <c r="F808" t="s">
        <v>33</v>
      </c>
      <c r="G808" t="s">
        <v>25</v>
      </c>
      <c r="H808" t="s">
        <v>26</v>
      </c>
      <c r="I808" t="s">
        <v>27</v>
      </c>
      <c r="J808" t="s">
        <v>34</v>
      </c>
      <c r="K808" t="s">
        <v>188</v>
      </c>
      <c r="L808" t="s">
        <v>35</v>
      </c>
      <c r="M808">
        <v>0</v>
      </c>
      <c r="N808">
        <v>1</v>
      </c>
      <c r="O808" s="17">
        <v>50799</v>
      </c>
      <c r="P808" s="17">
        <v>50798</v>
      </c>
      <c r="Q808">
        <v>16</v>
      </c>
      <c r="R808" t="s">
        <v>39</v>
      </c>
      <c r="T808">
        <v>19</v>
      </c>
      <c r="U808">
        <v>81</v>
      </c>
      <c r="V808">
        <v>14</v>
      </c>
      <c r="W808">
        <v>12.8</v>
      </c>
      <c r="X808">
        <v>25.8</v>
      </c>
      <c r="Z808" t="s">
        <v>32</v>
      </c>
      <c r="AB808" t="s">
        <v>121</v>
      </c>
      <c r="AC808" t="s">
        <v>254</v>
      </c>
    </row>
    <row r="809" spans="1:30" x14ac:dyDescent="0.2">
      <c r="A809" s="3">
        <v>42575</v>
      </c>
      <c r="B809" t="s">
        <v>23</v>
      </c>
      <c r="C809">
        <v>901</v>
      </c>
      <c r="D809">
        <v>3</v>
      </c>
      <c r="E809">
        <v>1</v>
      </c>
      <c r="F809" t="s">
        <v>24</v>
      </c>
      <c r="G809" t="s">
        <v>25</v>
      </c>
      <c r="H809" t="s">
        <v>26</v>
      </c>
      <c r="I809" t="s">
        <v>27</v>
      </c>
      <c r="J809" t="s">
        <v>28</v>
      </c>
      <c r="K809" t="s">
        <v>188</v>
      </c>
      <c r="L809" t="s">
        <v>35</v>
      </c>
      <c r="M809">
        <v>0</v>
      </c>
      <c r="N809">
        <v>0</v>
      </c>
      <c r="O809" s="17">
        <v>50799</v>
      </c>
      <c r="P809" s="17">
        <v>50798</v>
      </c>
      <c r="Q809">
        <v>15</v>
      </c>
      <c r="R809" t="s">
        <v>63</v>
      </c>
      <c r="T809">
        <v>19</v>
      </c>
      <c r="U809">
        <v>85</v>
      </c>
      <c r="V809">
        <v>15</v>
      </c>
      <c r="W809">
        <v>12.3</v>
      </c>
      <c r="X809">
        <v>26.1</v>
      </c>
      <c r="Z809" t="s">
        <v>145</v>
      </c>
      <c r="AB809" t="s">
        <v>582</v>
      </c>
      <c r="AC809" t="s">
        <v>59</v>
      </c>
    </row>
    <row r="810" spans="1:30" x14ac:dyDescent="0.2">
      <c r="A810" s="3">
        <v>42576</v>
      </c>
      <c r="B810" t="s">
        <v>23</v>
      </c>
      <c r="C810">
        <v>901</v>
      </c>
      <c r="D810">
        <v>3</v>
      </c>
      <c r="E810">
        <v>1</v>
      </c>
      <c r="F810" t="s">
        <v>66</v>
      </c>
      <c r="G810" t="s">
        <v>25</v>
      </c>
      <c r="H810" t="s">
        <v>26</v>
      </c>
      <c r="I810" t="s">
        <v>27</v>
      </c>
      <c r="J810" t="s">
        <v>28</v>
      </c>
      <c r="K810" t="s">
        <v>188</v>
      </c>
      <c r="L810" t="s">
        <v>35</v>
      </c>
      <c r="M810">
        <v>0</v>
      </c>
      <c r="N810">
        <v>0</v>
      </c>
      <c r="O810" s="17">
        <v>50799</v>
      </c>
      <c r="P810" s="17">
        <v>50798</v>
      </c>
      <c r="Q810">
        <v>14</v>
      </c>
      <c r="R810" t="s">
        <v>39</v>
      </c>
      <c r="T810">
        <v>19</v>
      </c>
      <c r="U810">
        <v>85</v>
      </c>
      <c r="V810">
        <v>18</v>
      </c>
      <c r="W810">
        <v>11.6</v>
      </c>
      <c r="X810">
        <v>28.7</v>
      </c>
      <c r="Z810" t="s">
        <v>145</v>
      </c>
      <c r="AB810" t="s">
        <v>121</v>
      </c>
      <c r="AC810" t="s">
        <v>122</v>
      </c>
    </row>
    <row r="811" spans="1:30" x14ac:dyDescent="0.2">
      <c r="A811" s="3">
        <v>42605</v>
      </c>
      <c r="B811" t="s">
        <v>23</v>
      </c>
      <c r="C811">
        <v>901</v>
      </c>
      <c r="D811">
        <v>2</v>
      </c>
      <c r="E811">
        <v>1</v>
      </c>
      <c r="F811" t="s">
        <v>24</v>
      </c>
      <c r="G811" t="s">
        <v>25</v>
      </c>
      <c r="H811" t="s">
        <v>26</v>
      </c>
      <c r="I811" t="s">
        <v>27</v>
      </c>
      <c r="J811" t="s">
        <v>28</v>
      </c>
      <c r="K811" t="s">
        <v>188</v>
      </c>
      <c r="L811" t="s">
        <v>35</v>
      </c>
      <c r="M811">
        <v>0</v>
      </c>
      <c r="N811">
        <v>0</v>
      </c>
      <c r="O811" s="17" t="s">
        <v>1912</v>
      </c>
      <c r="P811" s="17" t="s">
        <v>1913</v>
      </c>
      <c r="Q811">
        <f>30-13.5</f>
        <v>16.5</v>
      </c>
      <c r="R811" t="s">
        <v>63</v>
      </c>
      <c r="T811">
        <v>18</v>
      </c>
      <c r="U811">
        <v>89</v>
      </c>
      <c r="V811">
        <v>16.5</v>
      </c>
      <c r="W811">
        <v>12.9</v>
      </c>
      <c r="AB811" t="s">
        <v>44</v>
      </c>
      <c r="AC811" t="s">
        <v>59</v>
      </c>
    </row>
    <row r="812" spans="1:30" x14ac:dyDescent="0.2">
      <c r="A812" s="3">
        <v>42606</v>
      </c>
      <c r="B812" t="s">
        <v>23</v>
      </c>
      <c r="C812">
        <v>901</v>
      </c>
      <c r="D812">
        <v>2</v>
      </c>
      <c r="E812">
        <v>1</v>
      </c>
      <c r="F812" t="s">
        <v>24</v>
      </c>
      <c r="G812" t="s">
        <v>25</v>
      </c>
      <c r="H812" t="s">
        <v>26</v>
      </c>
      <c r="I812" t="s">
        <v>27</v>
      </c>
      <c r="J812" t="s">
        <v>28</v>
      </c>
      <c r="K812" t="s">
        <v>188</v>
      </c>
      <c r="L812" t="s">
        <v>35</v>
      </c>
      <c r="M812">
        <v>0</v>
      </c>
      <c r="N812">
        <v>0</v>
      </c>
      <c r="O812" s="17" t="s">
        <v>1912</v>
      </c>
      <c r="P812" s="17" t="s">
        <v>1913</v>
      </c>
      <c r="Q812">
        <f>31-14.5</f>
        <v>16.5</v>
      </c>
      <c r="R812" t="s">
        <v>63</v>
      </c>
      <c r="AB812" t="s">
        <v>44</v>
      </c>
      <c r="AC812" t="s">
        <v>59</v>
      </c>
      <c r="AD812" t="s">
        <v>1936</v>
      </c>
    </row>
    <row r="813" spans="1:30" x14ac:dyDescent="0.2">
      <c r="A813" s="3">
        <v>42571</v>
      </c>
      <c r="B813" t="s">
        <v>23</v>
      </c>
      <c r="C813">
        <v>112</v>
      </c>
      <c r="D813">
        <v>7</v>
      </c>
      <c r="E813">
        <v>2</v>
      </c>
      <c r="F813" t="s">
        <v>24</v>
      </c>
      <c r="G813" t="s">
        <v>25</v>
      </c>
      <c r="H813" t="s">
        <v>26</v>
      </c>
      <c r="I813" t="s">
        <v>27</v>
      </c>
      <c r="J813" t="s">
        <v>34</v>
      </c>
      <c r="K813" t="s">
        <v>188</v>
      </c>
      <c r="L813" t="s">
        <v>30</v>
      </c>
      <c r="M813">
        <v>0</v>
      </c>
      <c r="N813">
        <v>1</v>
      </c>
      <c r="O813" s="17">
        <v>50804</v>
      </c>
      <c r="P813" s="17">
        <v>50803</v>
      </c>
      <c r="Q813">
        <f>33-10.5</f>
        <v>22.5</v>
      </c>
      <c r="R813" t="s">
        <v>94</v>
      </c>
      <c r="S813" t="s">
        <v>145</v>
      </c>
      <c r="T813">
        <v>19</v>
      </c>
      <c r="U813">
        <v>93</v>
      </c>
      <c r="V813">
        <v>17</v>
      </c>
      <c r="W813">
        <v>12.9</v>
      </c>
      <c r="X813">
        <v>28</v>
      </c>
      <c r="Z813" t="s">
        <v>32</v>
      </c>
      <c r="AB813" t="s">
        <v>44</v>
      </c>
      <c r="AC813" t="s">
        <v>59</v>
      </c>
    </row>
    <row r="814" spans="1:30" x14ac:dyDescent="0.2">
      <c r="A814" s="3">
        <v>42572</v>
      </c>
      <c r="B814" t="s">
        <v>23</v>
      </c>
      <c r="C814">
        <v>112</v>
      </c>
      <c r="D814">
        <v>7</v>
      </c>
      <c r="E814">
        <v>2</v>
      </c>
      <c r="F814" t="s">
        <v>24</v>
      </c>
      <c r="G814" t="s">
        <v>25</v>
      </c>
      <c r="H814" t="s">
        <v>26</v>
      </c>
      <c r="I814" t="s">
        <v>27</v>
      </c>
      <c r="J814" t="s">
        <v>28</v>
      </c>
      <c r="K814" t="s">
        <v>188</v>
      </c>
      <c r="L814" t="s">
        <v>30</v>
      </c>
      <c r="M814">
        <v>0</v>
      </c>
      <c r="N814">
        <v>0</v>
      </c>
      <c r="O814" s="17">
        <v>50804</v>
      </c>
      <c r="P814" s="17">
        <v>50803</v>
      </c>
      <c r="Q814">
        <f>34.5-11</f>
        <v>23.5</v>
      </c>
      <c r="R814" t="s">
        <v>94</v>
      </c>
      <c r="S814" t="s">
        <v>32</v>
      </c>
      <c r="T814">
        <v>17</v>
      </c>
      <c r="U814">
        <v>94</v>
      </c>
      <c r="V814">
        <v>15</v>
      </c>
      <c r="W814">
        <v>12.9</v>
      </c>
      <c r="X814">
        <v>27.4</v>
      </c>
      <c r="Z814" t="s">
        <v>32</v>
      </c>
      <c r="AB814" t="s">
        <v>121</v>
      </c>
      <c r="AC814" t="s">
        <v>122</v>
      </c>
    </row>
    <row r="815" spans="1:30" x14ac:dyDescent="0.2">
      <c r="A815" s="3">
        <v>42587</v>
      </c>
      <c r="B815" t="s">
        <v>23</v>
      </c>
      <c r="C815">
        <v>112</v>
      </c>
      <c r="D815">
        <v>9</v>
      </c>
      <c r="E815">
        <v>1</v>
      </c>
      <c r="F815" t="s">
        <v>64</v>
      </c>
      <c r="G815" t="s">
        <v>25</v>
      </c>
      <c r="H815" t="s">
        <v>26</v>
      </c>
      <c r="I815" t="s">
        <v>27</v>
      </c>
      <c r="J815" t="s">
        <v>28</v>
      </c>
      <c r="K815" t="s">
        <v>188</v>
      </c>
      <c r="L815" t="s">
        <v>30</v>
      </c>
      <c r="M815">
        <v>0</v>
      </c>
      <c r="N815">
        <v>0</v>
      </c>
      <c r="O815" s="17" t="s">
        <v>1077</v>
      </c>
      <c r="P815" s="17" t="s">
        <v>1078</v>
      </c>
      <c r="Q815">
        <f>39-17</f>
        <v>22</v>
      </c>
      <c r="R815" t="s">
        <v>273</v>
      </c>
      <c r="S815" t="s">
        <v>145</v>
      </c>
      <c r="T815">
        <v>19</v>
      </c>
      <c r="U815">
        <v>94</v>
      </c>
      <c r="V815">
        <v>16</v>
      </c>
      <c r="W815">
        <v>13.1</v>
      </c>
      <c r="X815">
        <v>28.3</v>
      </c>
      <c r="Z815" t="s">
        <v>145</v>
      </c>
      <c r="AA815" t="s">
        <v>260</v>
      </c>
      <c r="AB815" t="s">
        <v>53</v>
      </c>
      <c r="AC815" t="s">
        <v>254</v>
      </c>
    </row>
    <row r="816" spans="1:30" x14ac:dyDescent="0.2">
      <c r="A816" s="3">
        <v>42588</v>
      </c>
      <c r="B816" t="s">
        <v>23</v>
      </c>
      <c r="C816">
        <v>112</v>
      </c>
      <c r="D816">
        <v>7</v>
      </c>
      <c r="E816">
        <v>2</v>
      </c>
      <c r="F816" t="s">
        <v>64</v>
      </c>
      <c r="G816" t="s">
        <v>25</v>
      </c>
      <c r="H816" t="s">
        <v>26</v>
      </c>
      <c r="I816" t="s">
        <v>27</v>
      </c>
      <c r="J816" t="s">
        <v>28</v>
      </c>
      <c r="K816" t="s">
        <v>188</v>
      </c>
      <c r="L816" t="s">
        <v>30</v>
      </c>
      <c r="M816">
        <v>0</v>
      </c>
      <c r="N816">
        <v>0</v>
      </c>
      <c r="O816" s="17" t="s">
        <v>1077</v>
      </c>
      <c r="P816" s="17" t="s">
        <v>1078</v>
      </c>
      <c r="Q816">
        <f>34-16</f>
        <v>18</v>
      </c>
      <c r="R816" t="s">
        <v>251</v>
      </c>
      <c r="S816" t="s">
        <v>145</v>
      </c>
      <c r="T816">
        <v>20</v>
      </c>
      <c r="U816">
        <v>95</v>
      </c>
      <c r="V816">
        <v>17</v>
      </c>
      <c r="W816">
        <v>12.8</v>
      </c>
      <c r="X816">
        <v>27.5</v>
      </c>
      <c r="Z816" t="s">
        <v>145</v>
      </c>
      <c r="AB816" t="s">
        <v>121</v>
      </c>
      <c r="AC816" t="s">
        <v>59</v>
      </c>
    </row>
    <row r="817" spans="1:29" x14ac:dyDescent="0.2">
      <c r="A817" s="3">
        <v>42589</v>
      </c>
      <c r="B817" t="s">
        <v>23</v>
      </c>
      <c r="C817">
        <v>112</v>
      </c>
      <c r="D817">
        <v>7</v>
      </c>
      <c r="E817">
        <v>1</v>
      </c>
      <c r="F817" t="s">
        <v>24</v>
      </c>
      <c r="G817" t="s">
        <v>25</v>
      </c>
      <c r="H817" t="s">
        <v>26</v>
      </c>
      <c r="I817" t="s">
        <v>27</v>
      </c>
      <c r="J817" t="s">
        <v>28</v>
      </c>
      <c r="K817" t="s">
        <v>188</v>
      </c>
      <c r="L817" t="s">
        <v>30</v>
      </c>
      <c r="M817">
        <v>0</v>
      </c>
      <c r="N817">
        <v>0</v>
      </c>
      <c r="O817" s="17" t="s">
        <v>1077</v>
      </c>
      <c r="P817" s="17" t="s">
        <v>1078</v>
      </c>
      <c r="Q817">
        <f>33-13.5</f>
        <v>19.5</v>
      </c>
      <c r="R817" t="s">
        <v>31</v>
      </c>
      <c r="S817" t="s">
        <v>32</v>
      </c>
      <c r="T817">
        <v>19</v>
      </c>
      <c r="V817">
        <v>17</v>
      </c>
      <c r="W817">
        <v>13.1</v>
      </c>
      <c r="X817">
        <v>27.1</v>
      </c>
      <c r="Z817" t="s">
        <v>145</v>
      </c>
      <c r="AB817" t="s">
        <v>121</v>
      </c>
      <c r="AC817" t="s">
        <v>59</v>
      </c>
    </row>
    <row r="818" spans="1:29" x14ac:dyDescent="0.2">
      <c r="A818" s="3">
        <v>42599</v>
      </c>
      <c r="B818" t="s">
        <v>23</v>
      </c>
      <c r="C818">
        <v>112</v>
      </c>
      <c r="D818">
        <v>7</v>
      </c>
      <c r="E818">
        <v>1</v>
      </c>
      <c r="F818" t="s">
        <v>24</v>
      </c>
      <c r="G818" t="s">
        <v>25</v>
      </c>
      <c r="H818" t="s">
        <v>26</v>
      </c>
      <c r="I818" t="s">
        <v>27</v>
      </c>
      <c r="J818" t="s">
        <v>28</v>
      </c>
      <c r="K818" t="s">
        <v>29</v>
      </c>
      <c r="L818" t="s">
        <v>30</v>
      </c>
      <c r="M818">
        <v>0</v>
      </c>
      <c r="N818">
        <v>0</v>
      </c>
      <c r="O818" s="17" t="s">
        <v>1077</v>
      </c>
      <c r="P818" s="17" t="s">
        <v>1078</v>
      </c>
      <c r="Q818">
        <f>35-15.5</f>
        <v>19.5</v>
      </c>
      <c r="R818" t="s">
        <v>75</v>
      </c>
      <c r="S818" t="s">
        <v>145</v>
      </c>
      <c r="T818">
        <v>18</v>
      </c>
      <c r="U818">
        <v>96</v>
      </c>
      <c r="V818">
        <v>16</v>
      </c>
      <c r="W818">
        <v>13.1</v>
      </c>
      <c r="X818">
        <v>27.1</v>
      </c>
      <c r="Y818" t="s">
        <v>1829</v>
      </c>
      <c r="AB818" t="s">
        <v>121</v>
      </c>
      <c r="AC818" t="s">
        <v>59</v>
      </c>
    </row>
    <row r="819" spans="1:29" x14ac:dyDescent="0.2">
      <c r="A819" s="3">
        <v>42600</v>
      </c>
      <c r="B819" t="s">
        <v>23</v>
      </c>
      <c r="C819">
        <v>112</v>
      </c>
      <c r="D819">
        <v>7</v>
      </c>
      <c r="E819">
        <v>2</v>
      </c>
      <c r="F819" t="s">
        <v>66</v>
      </c>
      <c r="G819" t="s">
        <v>25</v>
      </c>
      <c r="H819" t="s">
        <v>26</v>
      </c>
      <c r="I819" t="s">
        <v>27</v>
      </c>
      <c r="J819" t="s">
        <v>28</v>
      </c>
      <c r="K819" t="s">
        <v>29</v>
      </c>
      <c r="L819" t="s">
        <v>30</v>
      </c>
      <c r="M819">
        <v>0</v>
      </c>
      <c r="N819">
        <v>0</v>
      </c>
      <c r="O819" s="17" t="s">
        <v>1077</v>
      </c>
      <c r="P819" s="17" t="s">
        <v>1078</v>
      </c>
      <c r="Q819">
        <v>21.5</v>
      </c>
      <c r="R819" t="s">
        <v>94</v>
      </c>
      <c r="S819" t="s">
        <v>32</v>
      </c>
      <c r="T819">
        <v>18</v>
      </c>
      <c r="U819">
        <v>90</v>
      </c>
      <c r="V819">
        <v>16</v>
      </c>
      <c r="W819">
        <v>14.5</v>
      </c>
      <c r="X819">
        <v>29.5</v>
      </c>
    </row>
    <row r="820" spans="1:29" x14ac:dyDescent="0.2">
      <c r="A820" s="3">
        <v>42572</v>
      </c>
      <c r="B820" t="s">
        <v>23</v>
      </c>
      <c r="C820">
        <v>111</v>
      </c>
      <c r="D820">
        <v>3</v>
      </c>
      <c r="E820">
        <v>1</v>
      </c>
      <c r="F820" t="s">
        <v>24</v>
      </c>
      <c r="G820" t="s">
        <v>25</v>
      </c>
      <c r="H820" t="s">
        <v>26</v>
      </c>
      <c r="I820" t="s">
        <v>27</v>
      </c>
      <c r="J820" t="s">
        <v>34</v>
      </c>
      <c r="K820" t="s">
        <v>647</v>
      </c>
      <c r="L820" t="s">
        <v>648</v>
      </c>
      <c r="M820">
        <v>0</v>
      </c>
      <c r="N820">
        <v>1</v>
      </c>
      <c r="O820" s="17">
        <v>50809</v>
      </c>
      <c r="P820" s="17">
        <v>50808</v>
      </c>
      <c r="Q820">
        <f>26-12</f>
        <v>14</v>
      </c>
      <c r="R820" t="s">
        <v>63</v>
      </c>
      <c r="T820">
        <v>19</v>
      </c>
      <c r="V820">
        <v>17</v>
      </c>
      <c r="W820">
        <v>12.6</v>
      </c>
      <c r="X820">
        <v>26.3</v>
      </c>
      <c r="Z820" t="s">
        <v>32</v>
      </c>
      <c r="AB820" t="s">
        <v>121</v>
      </c>
      <c r="AC820" t="s">
        <v>122</v>
      </c>
    </row>
    <row r="821" spans="1:29" x14ac:dyDescent="0.2">
      <c r="A821" s="3">
        <v>42584</v>
      </c>
      <c r="B821" t="s">
        <v>23</v>
      </c>
      <c r="C821">
        <v>111</v>
      </c>
      <c r="D821">
        <v>2</v>
      </c>
      <c r="E821">
        <v>1</v>
      </c>
      <c r="F821" t="s">
        <v>33</v>
      </c>
      <c r="G821" t="s">
        <v>25</v>
      </c>
      <c r="H821" t="s">
        <v>26</v>
      </c>
      <c r="I821" t="s">
        <v>27</v>
      </c>
      <c r="J821" t="s">
        <v>28</v>
      </c>
      <c r="K821" t="s">
        <v>123</v>
      </c>
      <c r="L821" t="s">
        <v>35</v>
      </c>
      <c r="M821">
        <v>0</v>
      </c>
      <c r="N821">
        <v>0</v>
      </c>
      <c r="O821" s="17">
        <v>50809</v>
      </c>
      <c r="P821" s="17">
        <v>50808</v>
      </c>
      <c r="Q821">
        <f>25-10</f>
        <v>15</v>
      </c>
      <c r="R821" t="s">
        <v>63</v>
      </c>
      <c r="T821">
        <v>19</v>
      </c>
      <c r="V821">
        <v>15</v>
      </c>
      <c r="W821">
        <v>12.9</v>
      </c>
      <c r="X821">
        <v>27.7</v>
      </c>
      <c r="Z821" t="s">
        <v>32</v>
      </c>
      <c r="AB821" t="s">
        <v>121</v>
      </c>
      <c r="AC821" t="s">
        <v>59</v>
      </c>
    </row>
    <row r="822" spans="1:29" x14ac:dyDescent="0.2">
      <c r="A822" s="3">
        <v>42572</v>
      </c>
      <c r="B822" t="s">
        <v>23</v>
      </c>
      <c r="C822">
        <v>111</v>
      </c>
      <c r="D822">
        <v>2</v>
      </c>
      <c r="E822">
        <v>2</v>
      </c>
      <c r="F822" t="s">
        <v>24</v>
      </c>
      <c r="G822" t="s">
        <v>25</v>
      </c>
      <c r="H822" t="s">
        <v>26</v>
      </c>
      <c r="I822" t="s">
        <v>27</v>
      </c>
      <c r="J822" t="s">
        <v>34</v>
      </c>
      <c r="K822" t="s">
        <v>188</v>
      </c>
      <c r="L822" t="s">
        <v>30</v>
      </c>
      <c r="M822">
        <v>0</v>
      </c>
      <c r="N822">
        <v>1</v>
      </c>
      <c r="O822" s="17">
        <v>50811</v>
      </c>
      <c r="P822" s="17">
        <v>50810</v>
      </c>
      <c r="Q822">
        <v>21</v>
      </c>
      <c r="R822" t="s">
        <v>273</v>
      </c>
      <c r="S822" t="s">
        <v>145</v>
      </c>
      <c r="T822">
        <v>19</v>
      </c>
      <c r="U822">
        <v>98</v>
      </c>
      <c r="V822">
        <v>17.5</v>
      </c>
      <c r="W822">
        <v>13.2</v>
      </c>
      <c r="X822">
        <v>27.9</v>
      </c>
      <c r="Z822" t="s">
        <v>32</v>
      </c>
      <c r="AB822" t="s">
        <v>121</v>
      </c>
      <c r="AC822" t="s">
        <v>122</v>
      </c>
    </row>
    <row r="823" spans="1:29" x14ac:dyDescent="0.2">
      <c r="A823" s="3">
        <v>42584</v>
      </c>
      <c r="B823" t="s">
        <v>23</v>
      </c>
      <c r="C823">
        <v>111</v>
      </c>
      <c r="D823">
        <v>4</v>
      </c>
      <c r="E823">
        <v>1</v>
      </c>
      <c r="F823" t="s">
        <v>33</v>
      </c>
      <c r="G823" t="s">
        <v>25</v>
      </c>
      <c r="H823" t="s">
        <v>26</v>
      </c>
      <c r="I823" t="s">
        <v>27</v>
      </c>
      <c r="J823" t="s">
        <v>28</v>
      </c>
      <c r="K823" t="s">
        <v>29</v>
      </c>
      <c r="L823" t="s">
        <v>30</v>
      </c>
      <c r="M823">
        <v>0</v>
      </c>
      <c r="N823">
        <v>0</v>
      </c>
      <c r="O823" s="17">
        <v>50811</v>
      </c>
      <c r="P823" s="17">
        <v>50810</v>
      </c>
      <c r="Q823">
        <f>31.5-10.5</f>
        <v>21</v>
      </c>
      <c r="R823" t="s">
        <v>273</v>
      </c>
      <c r="S823" t="s">
        <v>145</v>
      </c>
      <c r="T823">
        <v>20</v>
      </c>
      <c r="U823">
        <v>96</v>
      </c>
      <c r="V823">
        <v>17</v>
      </c>
      <c r="W823">
        <v>13</v>
      </c>
      <c r="X823">
        <v>28</v>
      </c>
      <c r="Z823" t="s">
        <v>32</v>
      </c>
      <c r="AB823" t="s">
        <v>121</v>
      </c>
      <c r="AC823" t="s">
        <v>59</v>
      </c>
    </row>
    <row r="824" spans="1:29" x14ac:dyDescent="0.2">
      <c r="A824" s="3">
        <v>42572</v>
      </c>
      <c r="B824" t="s">
        <v>23</v>
      </c>
      <c r="C824">
        <v>111</v>
      </c>
      <c r="D824">
        <v>9</v>
      </c>
      <c r="E824">
        <v>2</v>
      </c>
      <c r="F824" t="s">
        <v>24</v>
      </c>
      <c r="G824" t="s">
        <v>25</v>
      </c>
      <c r="H824" t="s">
        <v>26</v>
      </c>
      <c r="I824" t="s">
        <v>27</v>
      </c>
      <c r="J824" t="s">
        <v>34</v>
      </c>
      <c r="K824" t="s">
        <v>123</v>
      </c>
      <c r="L824" t="s">
        <v>35</v>
      </c>
      <c r="M824">
        <v>0</v>
      </c>
      <c r="N824">
        <v>1</v>
      </c>
      <c r="O824" s="17">
        <v>50813</v>
      </c>
      <c r="P824" s="17">
        <v>50812</v>
      </c>
      <c r="Q824">
        <f>22-13</f>
        <v>9</v>
      </c>
      <c r="R824" t="s">
        <v>63</v>
      </c>
      <c r="T824">
        <v>18</v>
      </c>
      <c r="V824">
        <v>16</v>
      </c>
      <c r="W824">
        <v>12.7</v>
      </c>
      <c r="X824">
        <v>24.8</v>
      </c>
      <c r="Z824" t="s">
        <v>32</v>
      </c>
      <c r="AB824" t="s">
        <v>121</v>
      </c>
      <c r="AC824" t="s">
        <v>122</v>
      </c>
    </row>
    <row r="825" spans="1:29" x14ac:dyDescent="0.2">
      <c r="A825" s="3">
        <v>42584</v>
      </c>
      <c r="B825" t="s">
        <v>23</v>
      </c>
      <c r="C825">
        <v>111</v>
      </c>
      <c r="D825">
        <v>9</v>
      </c>
      <c r="E825">
        <v>1</v>
      </c>
      <c r="F825" t="s">
        <v>33</v>
      </c>
      <c r="G825" t="s">
        <v>25</v>
      </c>
      <c r="H825" t="s">
        <v>26</v>
      </c>
      <c r="I825" t="s">
        <v>27</v>
      </c>
      <c r="J825" t="s">
        <v>28</v>
      </c>
      <c r="K825" t="s">
        <v>123</v>
      </c>
      <c r="L825" t="s">
        <v>35</v>
      </c>
      <c r="M825">
        <v>0</v>
      </c>
      <c r="N825">
        <v>0</v>
      </c>
      <c r="O825" s="17">
        <v>50813</v>
      </c>
      <c r="P825" s="17">
        <v>50812</v>
      </c>
      <c r="Q825">
        <f>24-10.5</f>
        <v>13.5</v>
      </c>
      <c r="R825" t="s">
        <v>63</v>
      </c>
      <c r="T825">
        <v>19</v>
      </c>
      <c r="V825">
        <v>17</v>
      </c>
      <c r="W825">
        <v>12.6</v>
      </c>
      <c r="X825">
        <v>25</v>
      </c>
      <c r="Z825" t="s">
        <v>32</v>
      </c>
      <c r="AB825" t="s">
        <v>121</v>
      </c>
      <c r="AC825" t="s">
        <v>59</v>
      </c>
    </row>
    <row r="826" spans="1:29" x14ac:dyDescent="0.2">
      <c r="A826" s="3">
        <v>42572</v>
      </c>
      <c r="B826" t="s">
        <v>23</v>
      </c>
      <c r="C826">
        <v>111</v>
      </c>
      <c r="D826">
        <v>10</v>
      </c>
      <c r="E826">
        <v>2</v>
      </c>
      <c r="F826" t="s">
        <v>24</v>
      </c>
      <c r="G826" t="s">
        <v>25</v>
      </c>
      <c r="H826" t="s">
        <v>26</v>
      </c>
      <c r="I826" t="s">
        <v>27</v>
      </c>
      <c r="J826" t="s">
        <v>34</v>
      </c>
      <c r="K826" t="s">
        <v>188</v>
      </c>
      <c r="L826" t="s">
        <v>35</v>
      </c>
      <c r="M826">
        <v>0</v>
      </c>
      <c r="N826">
        <v>1</v>
      </c>
      <c r="O826" s="17">
        <v>50815</v>
      </c>
      <c r="P826" s="17">
        <v>50814</v>
      </c>
      <c r="Q826">
        <f>30.5-13</f>
        <v>17.5</v>
      </c>
      <c r="R826" t="s">
        <v>39</v>
      </c>
      <c r="T826">
        <v>19</v>
      </c>
      <c r="U826">
        <v>91.5</v>
      </c>
      <c r="V826">
        <v>15</v>
      </c>
      <c r="W826">
        <v>12.8</v>
      </c>
      <c r="X826">
        <v>26.7</v>
      </c>
      <c r="Z826" t="s">
        <v>32</v>
      </c>
      <c r="AB826" t="s">
        <v>121</v>
      </c>
      <c r="AC826" t="s">
        <v>122</v>
      </c>
    </row>
    <row r="827" spans="1:29" x14ac:dyDescent="0.2">
      <c r="A827" s="3">
        <v>42589</v>
      </c>
      <c r="B827" t="s">
        <v>23</v>
      </c>
      <c r="C827">
        <v>111</v>
      </c>
      <c r="D827">
        <v>2</v>
      </c>
      <c r="E827">
        <v>1</v>
      </c>
      <c r="F827" t="s">
        <v>64</v>
      </c>
      <c r="G827" t="s">
        <v>25</v>
      </c>
      <c r="H827" t="s">
        <v>26</v>
      </c>
      <c r="I827" t="s">
        <v>27</v>
      </c>
      <c r="J827" t="s">
        <v>28</v>
      </c>
      <c r="K827" t="s">
        <v>188</v>
      </c>
      <c r="L827" t="s">
        <v>35</v>
      </c>
      <c r="M827">
        <v>0</v>
      </c>
      <c r="N827">
        <v>0</v>
      </c>
      <c r="O827" s="17" t="s">
        <v>1231</v>
      </c>
      <c r="P827" s="17" t="s">
        <v>1232</v>
      </c>
      <c r="Q827">
        <f>35-18</f>
        <v>17</v>
      </c>
      <c r="R827" t="s">
        <v>39</v>
      </c>
      <c r="T827">
        <v>19</v>
      </c>
      <c r="U827">
        <v>98</v>
      </c>
      <c r="V827">
        <v>14</v>
      </c>
      <c r="W827">
        <v>12.8</v>
      </c>
      <c r="X827">
        <v>26.8</v>
      </c>
      <c r="Z827" t="s">
        <v>145</v>
      </c>
      <c r="AA827" t="s">
        <v>260</v>
      </c>
      <c r="AB827" t="s">
        <v>121</v>
      </c>
      <c r="AC827" t="s">
        <v>59</v>
      </c>
    </row>
    <row r="828" spans="1:29" x14ac:dyDescent="0.2">
      <c r="A828" s="3">
        <v>42572</v>
      </c>
      <c r="B828" t="s">
        <v>23</v>
      </c>
      <c r="C828">
        <v>113</v>
      </c>
      <c r="D828">
        <v>3</v>
      </c>
      <c r="E828">
        <v>1</v>
      </c>
      <c r="F828" t="s">
        <v>24</v>
      </c>
      <c r="G828" t="s">
        <v>25</v>
      </c>
      <c r="H828" t="s">
        <v>26</v>
      </c>
      <c r="I828" t="s">
        <v>27</v>
      </c>
      <c r="J828" t="s">
        <v>34</v>
      </c>
      <c r="K828" t="s">
        <v>29</v>
      </c>
      <c r="L828" t="s">
        <v>35</v>
      </c>
      <c r="M828">
        <v>0</v>
      </c>
      <c r="N828">
        <v>1</v>
      </c>
      <c r="O828" s="17">
        <v>50821</v>
      </c>
      <c r="P828" s="17">
        <v>50820</v>
      </c>
      <c r="Q828">
        <v>19</v>
      </c>
      <c r="R828" t="s">
        <v>63</v>
      </c>
      <c r="T828">
        <v>17</v>
      </c>
      <c r="U828">
        <v>91</v>
      </c>
      <c r="V828">
        <v>17</v>
      </c>
      <c r="W828">
        <v>13.2</v>
      </c>
      <c r="X828">
        <v>27.7</v>
      </c>
      <c r="Z828" t="s">
        <v>32</v>
      </c>
      <c r="AB828" t="s">
        <v>121</v>
      </c>
      <c r="AC828" t="s">
        <v>122</v>
      </c>
    </row>
    <row r="829" spans="1:29" x14ac:dyDescent="0.2">
      <c r="A829" s="3">
        <v>42572</v>
      </c>
      <c r="B829" t="s">
        <v>23</v>
      </c>
      <c r="C829">
        <v>113</v>
      </c>
      <c r="D829">
        <v>5</v>
      </c>
      <c r="E829">
        <v>1</v>
      </c>
      <c r="F829" t="s">
        <v>24</v>
      </c>
      <c r="G829" t="s">
        <v>25</v>
      </c>
      <c r="H829" t="s">
        <v>26</v>
      </c>
      <c r="I829" t="s">
        <v>27</v>
      </c>
      <c r="J829" t="s">
        <v>34</v>
      </c>
      <c r="K829" t="s">
        <v>123</v>
      </c>
      <c r="L829" t="s">
        <v>35</v>
      </c>
      <c r="M829">
        <v>0</v>
      </c>
      <c r="N829">
        <v>1</v>
      </c>
      <c r="O829" s="17">
        <v>50823</v>
      </c>
      <c r="P829" s="17">
        <v>50822</v>
      </c>
      <c r="Q829">
        <f>20-10.5</f>
        <v>9.5</v>
      </c>
      <c r="R829" t="s">
        <v>63</v>
      </c>
      <c r="T829">
        <v>18</v>
      </c>
      <c r="V829">
        <v>17</v>
      </c>
      <c r="W829">
        <v>12</v>
      </c>
      <c r="X829">
        <v>23.9</v>
      </c>
      <c r="Z829" t="s">
        <v>32</v>
      </c>
      <c r="AB829" t="s">
        <v>121</v>
      </c>
      <c r="AC829" t="s">
        <v>122</v>
      </c>
    </row>
    <row r="830" spans="1:29" x14ac:dyDescent="0.2">
      <c r="A830" s="3">
        <v>42599</v>
      </c>
      <c r="B830" t="s">
        <v>23</v>
      </c>
      <c r="C830">
        <v>113</v>
      </c>
      <c r="D830">
        <v>10</v>
      </c>
      <c r="E830">
        <v>1</v>
      </c>
      <c r="F830" t="s">
        <v>24</v>
      </c>
      <c r="G830" t="s">
        <v>25</v>
      </c>
      <c r="H830" t="s">
        <v>26</v>
      </c>
      <c r="I830" t="s">
        <v>27</v>
      </c>
      <c r="J830" t="s">
        <v>28</v>
      </c>
      <c r="K830" t="s">
        <v>188</v>
      </c>
      <c r="L830" t="s">
        <v>35</v>
      </c>
      <c r="M830">
        <v>0</v>
      </c>
      <c r="N830">
        <v>0</v>
      </c>
      <c r="O830" s="17" t="s">
        <v>1840</v>
      </c>
      <c r="P830" s="17" t="s">
        <v>1841</v>
      </c>
      <c r="R830" t="s">
        <v>31</v>
      </c>
      <c r="S830" t="s">
        <v>32</v>
      </c>
      <c r="T830">
        <v>16</v>
      </c>
      <c r="V830">
        <v>17</v>
      </c>
      <c r="W830">
        <v>12.9</v>
      </c>
      <c r="X830">
        <v>24.3</v>
      </c>
      <c r="AB830" t="s">
        <v>121</v>
      </c>
      <c r="AC830" t="s">
        <v>59</v>
      </c>
    </row>
    <row r="831" spans="1:29" x14ac:dyDescent="0.2">
      <c r="A831" s="3">
        <v>42572</v>
      </c>
      <c r="B831" t="s">
        <v>23</v>
      </c>
      <c r="C831">
        <v>113</v>
      </c>
      <c r="D831">
        <v>6</v>
      </c>
      <c r="E831">
        <v>2</v>
      </c>
      <c r="F831" t="s">
        <v>24</v>
      </c>
      <c r="G831" t="s">
        <v>25</v>
      </c>
      <c r="H831" t="s">
        <v>26</v>
      </c>
      <c r="I831" t="s">
        <v>27</v>
      </c>
      <c r="J831" t="s">
        <v>34</v>
      </c>
      <c r="K831" t="s">
        <v>123</v>
      </c>
      <c r="L831" t="s">
        <v>35</v>
      </c>
      <c r="M831">
        <v>0</v>
      </c>
      <c r="N831">
        <v>1</v>
      </c>
      <c r="O831" s="17">
        <v>50825</v>
      </c>
      <c r="P831" s="17">
        <v>50824</v>
      </c>
      <c r="Q831">
        <v>14.5</v>
      </c>
      <c r="R831" t="s">
        <v>39</v>
      </c>
      <c r="T831">
        <v>19</v>
      </c>
      <c r="V831">
        <v>16.5</v>
      </c>
      <c r="W831">
        <v>12.5</v>
      </c>
      <c r="X831">
        <v>26.8</v>
      </c>
      <c r="Z831" t="s">
        <v>32</v>
      </c>
      <c r="AB831" t="s">
        <v>121</v>
      </c>
      <c r="AC831" t="s">
        <v>122</v>
      </c>
    </row>
    <row r="832" spans="1:29" x14ac:dyDescent="0.2">
      <c r="A832" s="3">
        <v>42585</v>
      </c>
      <c r="B832" t="s">
        <v>23</v>
      </c>
      <c r="C832">
        <v>113</v>
      </c>
      <c r="D832">
        <v>4</v>
      </c>
      <c r="E832">
        <v>2</v>
      </c>
      <c r="F832" t="s">
        <v>64</v>
      </c>
      <c r="G832" t="s">
        <v>25</v>
      </c>
      <c r="H832" t="s">
        <v>26</v>
      </c>
      <c r="I832" t="s">
        <v>27</v>
      </c>
      <c r="J832" t="s">
        <v>28</v>
      </c>
      <c r="K832" t="s">
        <v>188</v>
      </c>
      <c r="L832" t="s">
        <v>35</v>
      </c>
      <c r="M832">
        <v>0</v>
      </c>
      <c r="N832">
        <v>0</v>
      </c>
      <c r="O832" s="17">
        <v>50825</v>
      </c>
      <c r="P832" s="17">
        <v>50824</v>
      </c>
      <c r="Q832">
        <f>23.5-7.5</f>
        <v>16</v>
      </c>
      <c r="R832" t="s">
        <v>39</v>
      </c>
      <c r="T832">
        <v>20.5</v>
      </c>
      <c r="U832">
        <v>80</v>
      </c>
      <c r="V832">
        <v>16</v>
      </c>
      <c r="W832">
        <v>12.9</v>
      </c>
      <c r="X832">
        <v>26.6</v>
      </c>
      <c r="Z832" t="s">
        <v>145</v>
      </c>
      <c r="AA832" t="s">
        <v>260</v>
      </c>
      <c r="AB832" t="s">
        <v>53</v>
      </c>
      <c r="AC832" t="s">
        <v>122</v>
      </c>
    </row>
    <row r="833" spans="1:30" x14ac:dyDescent="0.2">
      <c r="A833" s="3">
        <v>42586</v>
      </c>
      <c r="B833" t="s">
        <v>23</v>
      </c>
      <c r="C833">
        <v>113</v>
      </c>
      <c r="D833">
        <v>6</v>
      </c>
      <c r="E833">
        <v>2</v>
      </c>
      <c r="F833" t="s">
        <v>64</v>
      </c>
      <c r="G833" t="s">
        <v>25</v>
      </c>
      <c r="H833" t="s">
        <v>26</v>
      </c>
      <c r="I833" t="s">
        <v>27</v>
      </c>
      <c r="J833" t="s">
        <v>28</v>
      </c>
      <c r="K833" t="s">
        <v>188</v>
      </c>
      <c r="L833" t="s">
        <v>35</v>
      </c>
      <c r="M833">
        <v>0</v>
      </c>
      <c r="N833">
        <v>0</v>
      </c>
      <c r="O833" s="17" t="s">
        <v>983</v>
      </c>
      <c r="P833" s="17" t="s">
        <v>984</v>
      </c>
      <c r="Q833">
        <f>30.5-15</f>
        <v>15.5</v>
      </c>
      <c r="R833" t="s">
        <v>63</v>
      </c>
      <c r="T833">
        <v>20</v>
      </c>
      <c r="V833">
        <v>16</v>
      </c>
      <c r="W833">
        <v>12.9</v>
      </c>
      <c r="X833">
        <v>27</v>
      </c>
      <c r="Z833" t="s">
        <v>145</v>
      </c>
      <c r="AA833" t="s">
        <v>260</v>
      </c>
      <c r="AB833" t="s">
        <v>53</v>
      </c>
      <c r="AC833" t="s">
        <v>122</v>
      </c>
    </row>
    <row r="834" spans="1:30" x14ac:dyDescent="0.2">
      <c r="A834" s="3">
        <v>42587</v>
      </c>
      <c r="B834" t="s">
        <v>23</v>
      </c>
      <c r="C834">
        <v>113</v>
      </c>
      <c r="D834">
        <v>10</v>
      </c>
      <c r="E834">
        <v>1</v>
      </c>
      <c r="F834" t="s">
        <v>64</v>
      </c>
      <c r="G834" t="s">
        <v>25</v>
      </c>
      <c r="H834" t="s">
        <v>26</v>
      </c>
      <c r="I834" t="s">
        <v>27</v>
      </c>
      <c r="J834" t="s">
        <v>28</v>
      </c>
      <c r="K834" t="s">
        <v>188</v>
      </c>
      <c r="L834" t="s">
        <v>35</v>
      </c>
      <c r="M834">
        <v>0</v>
      </c>
      <c r="N834">
        <v>0</v>
      </c>
      <c r="O834" s="17" t="s">
        <v>983</v>
      </c>
      <c r="P834" s="17" t="s">
        <v>984</v>
      </c>
      <c r="Q834">
        <f>33-17</f>
        <v>16</v>
      </c>
      <c r="R834" t="s">
        <v>39</v>
      </c>
      <c r="T834">
        <v>20</v>
      </c>
      <c r="U834">
        <v>78</v>
      </c>
      <c r="V834">
        <v>18</v>
      </c>
      <c r="W834">
        <v>13</v>
      </c>
      <c r="X834">
        <v>26.9</v>
      </c>
      <c r="Z834" t="s">
        <v>145</v>
      </c>
      <c r="AB834" t="s">
        <v>53</v>
      </c>
      <c r="AC834" t="s">
        <v>254</v>
      </c>
      <c r="AD834" t="s">
        <v>1182</v>
      </c>
    </row>
    <row r="835" spans="1:30" x14ac:dyDescent="0.2">
      <c r="A835" s="3">
        <v>42588</v>
      </c>
      <c r="B835" t="s">
        <v>23</v>
      </c>
      <c r="C835">
        <v>113</v>
      </c>
      <c r="D835">
        <v>4</v>
      </c>
      <c r="E835" t="s">
        <v>900</v>
      </c>
      <c r="F835" t="s">
        <v>64</v>
      </c>
      <c r="G835" t="s">
        <v>25</v>
      </c>
      <c r="H835" t="s">
        <v>26</v>
      </c>
      <c r="I835" t="s">
        <v>27</v>
      </c>
      <c r="J835" t="s">
        <v>28</v>
      </c>
      <c r="K835" t="s">
        <v>188</v>
      </c>
      <c r="L835" t="s">
        <v>35</v>
      </c>
      <c r="M835">
        <v>0</v>
      </c>
      <c r="N835">
        <v>0</v>
      </c>
      <c r="O835" s="17" t="s">
        <v>983</v>
      </c>
      <c r="P835" s="17" t="s">
        <v>984</v>
      </c>
      <c r="Q835">
        <f>29.5-13</f>
        <v>16.5</v>
      </c>
      <c r="R835" t="s">
        <v>39</v>
      </c>
      <c r="T835">
        <v>20</v>
      </c>
      <c r="V835">
        <v>17</v>
      </c>
      <c r="W835">
        <v>12.8</v>
      </c>
      <c r="X835">
        <v>26.9</v>
      </c>
      <c r="Z835" t="s">
        <v>145</v>
      </c>
      <c r="AA835" t="s">
        <v>260</v>
      </c>
      <c r="AB835" t="s">
        <v>121</v>
      </c>
      <c r="AC835" t="s">
        <v>59</v>
      </c>
      <c r="AD835" t="s">
        <v>1209</v>
      </c>
    </row>
    <row r="836" spans="1:30" x14ac:dyDescent="0.2">
      <c r="A836" s="3">
        <v>42589</v>
      </c>
      <c r="B836" t="s">
        <v>23</v>
      </c>
      <c r="C836">
        <v>113</v>
      </c>
      <c r="D836">
        <v>6</v>
      </c>
      <c r="E836">
        <v>1</v>
      </c>
      <c r="F836" t="s">
        <v>64</v>
      </c>
      <c r="G836" t="s">
        <v>25</v>
      </c>
      <c r="H836" t="s">
        <v>26</v>
      </c>
      <c r="I836" t="s">
        <v>27</v>
      </c>
      <c r="J836" t="s">
        <v>56</v>
      </c>
      <c r="O836" s="17" t="s">
        <v>983</v>
      </c>
      <c r="P836" s="17" t="s">
        <v>984</v>
      </c>
      <c r="Z836" t="s">
        <v>145</v>
      </c>
      <c r="AD836" t="s">
        <v>1245</v>
      </c>
    </row>
    <row r="837" spans="1:30" x14ac:dyDescent="0.2">
      <c r="A837" s="3">
        <v>42572</v>
      </c>
      <c r="B837" t="s">
        <v>23</v>
      </c>
      <c r="C837">
        <v>304</v>
      </c>
      <c r="D837">
        <v>1</v>
      </c>
      <c r="E837">
        <v>1</v>
      </c>
      <c r="F837" t="s">
        <v>33</v>
      </c>
      <c r="G837" t="s">
        <v>25</v>
      </c>
      <c r="H837" t="s">
        <v>26</v>
      </c>
      <c r="I837" t="s">
        <v>27</v>
      </c>
      <c r="J837" t="s">
        <v>34</v>
      </c>
      <c r="K837" t="s">
        <v>123</v>
      </c>
      <c r="L837" t="s">
        <v>35</v>
      </c>
      <c r="M837">
        <v>0</v>
      </c>
      <c r="N837">
        <v>1</v>
      </c>
      <c r="O837" s="17">
        <v>50829</v>
      </c>
      <c r="P837" s="17">
        <v>50828</v>
      </c>
      <c r="Q837">
        <f>25-11.5</f>
        <v>13.5</v>
      </c>
      <c r="R837" t="s">
        <v>63</v>
      </c>
      <c r="T837">
        <v>20</v>
      </c>
      <c r="U837">
        <v>86</v>
      </c>
      <c r="V837">
        <v>15</v>
      </c>
      <c r="W837">
        <v>12.9</v>
      </c>
      <c r="X837">
        <v>26.8</v>
      </c>
      <c r="Z837" t="s">
        <v>145</v>
      </c>
      <c r="AB837" t="s">
        <v>121</v>
      </c>
      <c r="AC837" t="s">
        <v>59</v>
      </c>
      <c r="AD837" t="s">
        <v>632</v>
      </c>
    </row>
    <row r="838" spans="1:30" x14ac:dyDescent="0.2">
      <c r="A838" s="3">
        <v>42584</v>
      </c>
      <c r="B838" t="s">
        <v>23</v>
      </c>
      <c r="C838">
        <v>304</v>
      </c>
      <c r="D838">
        <v>7</v>
      </c>
      <c r="E838">
        <v>2</v>
      </c>
      <c r="F838" t="s">
        <v>24</v>
      </c>
      <c r="G838" t="s">
        <v>25</v>
      </c>
      <c r="H838" t="s">
        <v>26</v>
      </c>
      <c r="I838" t="s">
        <v>27</v>
      </c>
      <c r="J838" t="s">
        <v>28</v>
      </c>
      <c r="K838" t="s">
        <v>188</v>
      </c>
      <c r="L838" t="s">
        <v>35</v>
      </c>
      <c r="M838">
        <v>0</v>
      </c>
      <c r="N838">
        <v>0</v>
      </c>
      <c r="O838" s="17">
        <v>50829</v>
      </c>
      <c r="P838" s="17">
        <v>50828</v>
      </c>
      <c r="Q838">
        <f>31-13</f>
        <v>18</v>
      </c>
      <c r="R838" t="s">
        <v>63</v>
      </c>
      <c r="T838">
        <v>20</v>
      </c>
      <c r="U838">
        <v>86</v>
      </c>
      <c r="V838">
        <v>17</v>
      </c>
      <c r="W838">
        <v>13.2</v>
      </c>
      <c r="X838">
        <v>26.5</v>
      </c>
      <c r="Z838" t="s">
        <v>145</v>
      </c>
      <c r="AA838" t="s">
        <v>853</v>
      </c>
      <c r="AB838" t="s">
        <v>44</v>
      </c>
      <c r="AC838" t="s">
        <v>59</v>
      </c>
    </row>
    <row r="839" spans="1:30" x14ac:dyDescent="0.2">
      <c r="A839" s="3">
        <v>42585</v>
      </c>
      <c r="B839" t="s">
        <v>23</v>
      </c>
      <c r="C839">
        <v>403</v>
      </c>
      <c r="D839">
        <v>1</v>
      </c>
      <c r="E839">
        <v>2</v>
      </c>
      <c r="F839" t="s">
        <v>24</v>
      </c>
      <c r="G839" t="s">
        <v>25</v>
      </c>
      <c r="H839" t="s">
        <v>26</v>
      </c>
      <c r="I839" t="s">
        <v>27</v>
      </c>
      <c r="J839" t="s">
        <v>28</v>
      </c>
      <c r="K839" t="s">
        <v>188</v>
      </c>
      <c r="L839" t="s">
        <v>35</v>
      </c>
      <c r="M839">
        <v>0</v>
      </c>
      <c r="N839">
        <v>0</v>
      </c>
      <c r="O839" s="17">
        <v>50829</v>
      </c>
      <c r="P839" s="17">
        <v>50828</v>
      </c>
      <c r="Q839">
        <f>36-18</f>
        <v>18</v>
      </c>
      <c r="R839" t="s">
        <v>63</v>
      </c>
      <c r="T839">
        <v>20.5</v>
      </c>
      <c r="U839">
        <v>87</v>
      </c>
      <c r="V839">
        <v>18.5</v>
      </c>
      <c r="W839">
        <v>13.1</v>
      </c>
      <c r="X839">
        <v>27.3</v>
      </c>
      <c r="Z839" t="s">
        <v>145</v>
      </c>
      <c r="AB839" t="s">
        <v>44</v>
      </c>
      <c r="AC839" t="s">
        <v>59</v>
      </c>
    </row>
    <row r="840" spans="1:30" x14ac:dyDescent="0.2">
      <c r="A840" s="3">
        <v>42586</v>
      </c>
      <c r="B840" t="s">
        <v>23</v>
      </c>
      <c r="C840">
        <v>304</v>
      </c>
      <c r="D840">
        <v>1</v>
      </c>
      <c r="E840">
        <v>1</v>
      </c>
      <c r="F840" t="s">
        <v>64</v>
      </c>
      <c r="G840" t="s">
        <v>25</v>
      </c>
      <c r="H840" t="s">
        <v>26</v>
      </c>
      <c r="I840" t="s">
        <v>27</v>
      </c>
      <c r="J840" t="s">
        <v>28</v>
      </c>
      <c r="K840" t="s">
        <v>188</v>
      </c>
      <c r="L840" t="s">
        <v>35</v>
      </c>
      <c r="M840">
        <v>0</v>
      </c>
      <c r="N840">
        <v>0</v>
      </c>
      <c r="O840" s="17" t="s">
        <v>1006</v>
      </c>
      <c r="P840" s="17" t="s">
        <v>1007</v>
      </c>
      <c r="Q840">
        <f>33.5-18</f>
        <v>15.5</v>
      </c>
      <c r="R840" t="s">
        <v>63</v>
      </c>
      <c r="Z840" t="s">
        <v>145</v>
      </c>
      <c r="AA840" t="s">
        <v>260</v>
      </c>
      <c r="AB840" t="s">
        <v>53</v>
      </c>
      <c r="AC840" t="s">
        <v>122</v>
      </c>
      <c r="AD840" t="s">
        <v>1470</v>
      </c>
    </row>
    <row r="841" spans="1:30" x14ac:dyDescent="0.2">
      <c r="A841" s="3">
        <v>42598</v>
      </c>
      <c r="B841" t="s">
        <v>23</v>
      </c>
      <c r="C841">
        <v>304</v>
      </c>
      <c r="D841">
        <v>1</v>
      </c>
      <c r="E841">
        <v>2</v>
      </c>
      <c r="F841" t="s">
        <v>64</v>
      </c>
      <c r="G841" t="s">
        <v>25</v>
      </c>
      <c r="H841" t="s">
        <v>26</v>
      </c>
      <c r="I841" t="s">
        <v>27</v>
      </c>
      <c r="J841" t="s">
        <v>28</v>
      </c>
      <c r="K841" t="s">
        <v>188</v>
      </c>
      <c r="L841" t="s">
        <v>35</v>
      </c>
      <c r="M841">
        <v>0</v>
      </c>
      <c r="N841">
        <v>0</v>
      </c>
      <c r="O841" s="17" t="s">
        <v>1006</v>
      </c>
      <c r="P841" s="17" t="s">
        <v>1007</v>
      </c>
      <c r="Q841">
        <f>41-23</f>
        <v>18</v>
      </c>
      <c r="R841" t="s">
        <v>63</v>
      </c>
      <c r="Z841" t="s">
        <v>145</v>
      </c>
      <c r="AA841" t="s">
        <v>260</v>
      </c>
      <c r="AB841" t="s">
        <v>1589</v>
      </c>
      <c r="AC841" t="s">
        <v>122</v>
      </c>
      <c r="AD841" t="s">
        <v>1594</v>
      </c>
    </row>
    <row r="842" spans="1:30" x14ac:dyDescent="0.2">
      <c r="A842" s="3">
        <v>42572</v>
      </c>
      <c r="B842" t="s">
        <v>23</v>
      </c>
      <c r="C842">
        <v>202</v>
      </c>
      <c r="D842">
        <v>5</v>
      </c>
      <c r="E842">
        <v>2</v>
      </c>
      <c r="F842" t="s">
        <v>33</v>
      </c>
      <c r="G842" t="s">
        <v>25</v>
      </c>
      <c r="H842" t="s">
        <v>26</v>
      </c>
      <c r="I842" t="s">
        <v>27</v>
      </c>
      <c r="J842" t="s">
        <v>34</v>
      </c>
      <c r="K842" t="s">
        <v>188</v>
      </c>
      <c r="L842" t="s">
        <v>35</v>
      </c>
      <c r="M842">
        <v>0</v>
      </c>
      <c r="N842">
        <v>1</v>
      </c>
      <c r="O842" s="17">
        <v>50833</v>
      </c>
      <c r="Q842">
        <f>33-13</f>
        <v>20</v>
      </c>
      <c r="R842" t="s">
        <v>39</v>
      </c>
      <c r="T842">
        <v>19</v>
      </c>
      <c r="U842">
        <v>93</v>
      </c>
      <c r="V842">
        <v>14</v>
      </c>
      <c r="W842">
        <v>12.8</v>
      </c>
      <c r="X842">
        <v>27.4</v>
      </c>
      <c r="Z842" t="s">
        <v>145</v>
      </c>
      <c r="AA842" t="s">
        <v>260</v>
      </c>
      <c r="AB842" t="s">
        <v>121</v>
      </c>
      <c r="AC842" t="s">
        <v>59</v>
      </c>
    </row>
    <row r="843" spans="1:30" x14ac:dyDescent="0.2">
      <c r="A843" s="3">
        <v>42585</v>
      </c>
      <c r="B843" t="s">
        <v>23</v>
      </c>
      <c r="C843">
        <v>202</v>
      </c>
      <c r="D843">
        <v>4</v>
      </c>
      <c r="E843">
        <v>1</v>
      </c>
      <c r="F843" t="s">
        <v>24</v>
      </c>
      <c r="G843" t="s">
        <v>25</v>
      </c>
      <c r="H843" t="s">
        <v>26</v>
      </c>
      <c r="I843" t="s">
        <v>27</v>
      </c>
      <c r="J843" t="s">
        <v>45</v>
      </c>
      <c r="K843" t="s">
        <v>188</v>
      </c>
      <c r="L843" t="s">
        <v>35</v>
      </c>
      <c r="M843">
        <v>0</v>
      </c>
      <c r="N843">
        <v>0</v>
      </c>
      <c r="O843" s="17">
        <v>50833</v>
      </c>
      <c r="P843" s="17">
        <v>50945</v>
      </c>
      <c r="Q843">
        <f>30-14.5</f>
        <v>15.5</v>
      </c>
      <c r="R843" t="s">
        <v>63</v>
      </c>
      <c r="T843">
        <v>19</v>
      </c>
      <c r="U843">
        <v>95</v>
      </c>
      <c r="V843">
        <v>18.5</v>
      </c>
      <c r="W843">
        <v>13</v>
      </c>
      <c r="X843">
        <v>24.9</v>
      </c>
      <c r="Z843" t="s">
        <v>145</v>
      </c>
      <c r="AB843" t="s">
        <v>44</v>
      </c>
      <c r="AC843" t="s">
        <v>59</v>
      </c>
    </row>
    <row r="844" spans="1:30" x14ac:dyDescent="0.2">
      <c r="A844" s="3">
        <v>42586</v>
      </c>
      <c r="B844" t="s">
        <v>23</v>
      </c>
      <c r="C844">
        <v>202</v>
      </c>
      <c r="D844">
        <v>4</v>
      </c>
      <c r="E844">
        <v>2</v>
      </c>
      <c r="F844" t="s">
        <v>24</v>
      </c>
      <c r="G844" t="s">
        <v>25</v>
      </c>
      <c r="H844" t="s">
        <v>26</v>
      </c>
      <c r="I844" t="s">
        <v>27</v>
      </c>
      <c r="J844" t="s">
        <v>28</v>
      </c>
      <c r="K844" t="s">
        <v>188</v>
      </c>
      <c r="L844" t="s">
        <v>35</v>
      </c>
      <c r="M844">
        <v>0</v>
      </c>
      <c r="N844">
        <v>0</v>
      </c>
      <c r="O844" s="17">
        <v>50833</v>
      </c>
      <c r="P844" s="17">
        <v>50945</v>
      </c>
      <c r="Q844">
        <f>30.5-15.5</f>
        <v>15</v>
      </c>
      <c r="R844" t="s">
        <v>63</v>
      </c>
      <c r="T844">
        <v>17</v>
      </c>
      <c r="U844">
        <v>93</v>
      </c>
      <c r="V844">
        <v>15</v>
      </c>
      <c r="W844">
        <v>13.1</v>
      </c>
      <c r="X844">
        <v>27.3</v>
      </c>
      <c r="Z844" t="s">
        <v>145</v>
      </c>
      <c r="AB844" t="s">
        <v>44</v>
      </c>
      <c r="AC844" t="s">
        <v>59</v>
      </c>
    </row>
    <row r="845" spans="1:30" x14ac:dyDescent="0.2">
      <c r="A845" s="3">
        <v>42572</v>
      </c>
      <c r="B845" t="s">
        <v>23</v>
      </c>
      <c r="C845">
        <v>203</v>
      </c>
      <c r="D845">
        <v>9</v>
      </c>
      <c r="E845">
        <v>1</v>
      </c>
      <c r="F845" t="s">
        <v>33</v>
      </c>
      <c r="G845" t="s">
        <v>25</v>
      </c>
      <c r="H845" t="s">
        <v>26</v>
      </c>
      <c r="I845" t="s">
        <v>27</v>
      </c>
      <c r="J845" t="s">
        <v>34</v>
      </c>
      <c r="K845" t="s">
        <v>123</v>
      </c>
      <c r="L845" t="s">
        <v>35</v>
      </c>
      <c r="M845">
        <v>0</v>
      </c>
      <c r="N845">
        <v>1</v>
      </c>
      <c r="O845" s="17">
        <v>50834</v>
      </c>
      <c r="Q845">
        <f>23-9.5</f>
        <v>13.5</v>
      </c>
      <c r="R845" t="s">
        <v>63</v>
      </c>
      <c r="T845">
        <v>19</v>
      </c>
      <c r="U845">
        <v>85</v>
      </c>
      <c r="V845">
        <v>13</v>
      </c>
      <c r="W845">
        <v>12.9</v>
      </c>
      <c r="X845">
        <v>26.9</v>
      </c>
      <c r="Z845" t="s">
        <v>32</v>
      </c>
      <c r="AB845" t="s">
        <v>121</v>
      </c>
      <c r="AC845" t="s">
        <v>59</v>
      </c>
    </row>
    <row r="846" spans="1:30" x14ac:dyDescent="0.2">
      <c r="A846" s="3">
        <v>42586</v>
      </c>
      <c r="B846" t="s">
        <v>23</v>
      </c>
      <c r="C846">
        <v>203</v>
      </c>
      <c r="D846">
        <v>10</v>
      </c>
      <c r="E846">
        <v>2</v>
      </c>
      <c r="F846" t="s">
        <v>24</v>
      </c>
      <c r="G846" t="s">
        <v>25</v>
      </c>
      <c r="H846" t="s">
        <v>26</v>
      </c>
      <c r="I846" t="s">
        <v>27</v>
      </c>
      <c r="J846" t="s">
        <v>45</v>
      </c>
      <c r="K846" t="s">
        <v>188</v>
      </c>
      <c r="L846" t="s">
        <v>30</v>
      </c>
      <c r="M846">
        <v>0</v>
      </c>
      <c r="N846">
        <v>0</v>
      </c>
      <c r="O846" s="17">
        <v>50834</v>
      </c>
      <c r="P846" s="17" t="s">
        <v>885</v>
      </c>
      <c r="Q846">
        <f>30-14</f>
        <v>16</v>
      </c>
      <c r="R846" t="s">
        <v>31</v>
      </c>
      <c r="S846" t="s">
        <v>32</v>
      </c>
      <c r="T846">
        <v>19</v>
      </c>
      <c r="U846">
        <v>81.5</v>
      </c>
      <c r="V846">
        <v>14</v>
      </c>
      <c r="W846">
        <v>13.1</v>
      </c>
      <c r="X846">
        <v>25.8</v>
      </c>
      <c r="Z846" t="s">
        <v>32</v>
      </c>
      <c r="AB846" t="s">
        <v>44</v>
      </c>
      <c r="AC846" t="s">
        <v>59</v>
      </c>
    </row>
    <row r="847" spans="1:30" x14ac:dyDescent="0.2">
      <c r="A847" s="3">
        <v>42572</v>
      </c>
      <c r="B847" t="s">
        <v>23</v>
      </c>
      <c r="C847">
        <v>203</v>
      </c>
      <c r="D847">
        <v>7</v>
      </c>
      <c r="E847">
        <v>1</v>
      </c>
      <c r="F847" t="s">
        <v>33</v>
      </c>
      <c r="G847" t="s">
        <v>25</v>
      </c>
      <c r="H847" t="s">
        <v>26</v>
      </c>
      <c r="I847" t="s">
        <v>27</v>
      </c>
      <c r="J847" t="s">
        <v>34</v>
      </c>
      <c r="K847" t="s">
        <v>123</v>
      </c>
      <c r="L847" t="s">
        <v>30</v>
      </c>
      <c r="M847">
        <v>0</v>
      </c>
      <c r="N847">
        <v>1</v>
      </c>
      <c r="O847" s="17" t="s">
        <v>1567</v>
      </c>
      <c r="Q847">
        <v>15</v>
      </c>
      <c r="R847" t="s">
        <v>31</v>
      </c>
      <c r="S847" t="s">
        <v>32</v>
      </c>
      <c r="T847">
        <v>18</v>
      </c>
      <c r="U847">
        <v>87</v>
      </c>
      <c r="V847">
        <v>14</v>
      </c>
      <c r="W847">
        <v>12.8</v>
      </c>
      <c r="X847">
        <v>26.5</v>
      </c>
      <c r="Z847" t="s">
        <v>32</v>
      </c>
      <c r="AB847" t="s">
        <v>121</v>
      </c>
      <c r="AC847" t="s">
        <v>59</v>
      </c>
    </row>
    <row r="848" spans="1:30" x14ac:dyDescent="0.2">
      <c r="A848" s="3">
        <v>42584</v>
      </c>
      <c r="B848" t="s">
        <v>23</v>
      </c>
      <c r="C848">
        <v>203</v>
      </c>
      <c r="D848">
        <v>9</v>
      </c>
      <c r="E848">
        <v>1</v>
      </c>
      <c r="F848" t="s">
        <v>24</v>
      </c>
      <c r="G848" t="s">
        <v>25</v>
      </c>
      <c r="H848" t="s">
        <v>26</v>
      </c>
      <c r="I848" t="s">
        <v>27</v>
      </c>
      <c r="J848" t="s">
        <v>45</v>
      </c>
      <c r="K848" t="s">
        <v>188</v>
      </c>
      <c r="L848" t="s">
        <v>30</v>
      </c>
      <c r="M848">
        <v>1</v>
      </c>
      <c r="N848">
        <v>0</v>
      </c>
      <c r="O848" s="17">
        <v>50836</v>
      </c>
      <c r="P848" s="17">
        <v>50935</v>
      </c>
      <c r="Q848">
        <f>29.5-14</f>
        <v>15.5</v>
      </c>
      <c r="R848" t="s">
        <v>31</v>
      </c>
      <c r="S848" t="s">
        <v>32</v>
      </c>
      <c r="T848">
        <v>17</v>
      </c>
      <c r="U848">
        <v>89</v>
      </c>
      <c r="V848">
        <v>17</v>
      </c>
      <c r="W848">
        <v>13.3</v>
      </c>
      <c r="X848">
        <v>26.9</v>
      </c>
      <c r="Z848" t="s">
        <v>32</v>
      </c>
      <c r="AB848" t="s">
        <v>44</v>
      </c>
      <c r="AC848" t="s">
        <v>59</v>
      </c>
    </row>
    <row r="849" spans="1:29" x14ac:dyDescent="0.2">
      <c r="A849" s="3">
        <v>42585</v>
      </c>
      <c r="B849" t="s">
        <v>23</v>
      </c>
      <c r="C849">
        <v>203</v>
      </c>
      <c r="D849">
        <v>10</v>
      </c>
      <c r="E849">
        <v>2</v>
      </c>
      <c r="F849" t="s">
        <v>24</v>
      </c>
      <c r="G849" t="s">
        <v>25</v>
      </c>
      <c r="H849" t="s">
        <v>26</v>
      </c>
      <c r="I849" t="s">
        <v>27</v>
      </c>
      <c r="J849" t="s">
        <v>28</v>
      </c>
      <c r="K849" t="s">
        <v>188</v>
      </c>
      <c r="L849" t="s">
        <v>30</v>
      </c>
      <c r="M849">
        <v>0</v>
      </c>
      <c r="N849">
        <v>0</v>
      </c>
      <c r="O849" s="17">
        <v>50836</v>
      </c>
      <c r="P849" s="17">
        <v>50935</v>
      </c>
      <c r="Q849">
        <f>28-13</f>
        <v>15</v>
      </c>
      <c r="R849" t="s">
        <v>31</v>
      </c>
      <c r="S849" t="s">
        <v>32</v>
      </c>
      <c r="T849">
        <v>19</v>
      </c>
      <c r="U849">
        <v>88</v>
      </c>
      <c r="V849">
        <v>16</v>
      </c>
      <c r="W849">
        <v>13.2</v>
      </c>
      <c r="X849">
        <v>26.5</v>
      </c>
      <c r="Z849" t="s">
        <v>32</v>
      </c>
      <c r="AB849" t="s">
        <v>44</v>
      </c>
      <c r="AC849" t="s">
        <v>59</v>
      </c>
    </row>
    <row r="850" spans="1:29" x14ac:dyDescent="0.2">
      <c r="A850" s="3">
        <v>42586</v>
      </c>
      <c r="B850" t="s">
        <v>23</v>
      </c>
      <c r="C850">
        <v>203</v>
      </c>
      <c r="D850">
        <v>8</v>
      </c>
      <c r="E850">
        <v>2</v>
      </c>
      <c r="F850" t="s">
        <v>24</v>
      </c>
      <c r="G850" t="s">
        <v>25</v>
      </c>
      <c r="H850" t="s">
        <v>26</v>
      </c>
      <c r="I850" t="s">
        <v>27</v>
      </c>
      <c r="J850" t="s">
        <v>28</v>
      </c>
      <c r="K850" t="s">
        <v>188</v>
      </c>
      <c r="L850" t="s">
        <v>30</v>
      </c>
      <c r="M850">
        <v>0</v>
      </c>
      <c r="N850">
        <v>0</v>
      </c>
      <c r="O850" s="17">
        <v>50836</v>
      </c>
      <c r="P850" s="17">
        <v>50935</v>
      </c>
      <c r="Q850">
        <f>29-13</f>
        <v>16</v>
      </c>
      <c r="R850" t="s">
        <v>31</v>
      </c>
      <c r="T850">
        <v>19</v>
      </c>
      <c r="U850">
        <v>88</v>
      </c>
      <c r="V850">
        <v>16</v>
      </c>
      <c r="W850">
        <v>13.5</v>
      </c>
      <c r="X850">
        <v>26.9</v>
      </c>
      <c r="Z850" t="s">
        <v>32</v>
      </c>
      <c r="AB850" t="s">
        <v>44</v>
      </c>
      <c r="AC850" t="s">
        <v>59</v>
      </c>
    </row>
    <row r="851" spans="1:29" x14ac:dyDescent="0.2">
      <c r="A851" s="3">
        <v>42598</v>
      </c>
      <c r="B851" t="s">
        <v>23</v>
      </c>
      <c r="C851">
        <v>203</v>
      </c>
      <c r="D851">
        <v>10</v>
      </c>
      <c r="E851">
        <v>2</v>
      </c>
      <c r="F851" t="s">
        <v>64</v>
      </c>
      <c r="G851" t="s">
        <v>25</v>
      </c>
      <c r="H851" t="s">
        <v>26</v>
      </c>
      <c r="I851" t="s">
        <v>27</v>
      </c>
      <c r="J851" t="s">
        <v>28</v>
      </c>
      <c r="K851" t="s">
        <v>188</v>
      </c>
      <c r="L851" t="s">
        <v>30</v>
      </c>
      <c r="M851">
        <v>0</v>
      </c>
      <c r="N851">
        <v>0</v>
      </c>
      <c r="O851" s="17" t="s">
        <v>1567</v>
      </c>
      <c r="P851" s="17" t="s">
        <v>1568</v>
      </c>
      <c r="Q851">
        <f>33-17</f>
        <v>16</v>
      </c>
      <c r="R851" t="s">
        <v>31</v>
      </c>
      <c r="S851" t="s">
        <v>32</v>
      </c>
      <c r="T851">
        <v>18.5</v>
      </c>
      <c r="U851">
        <v>88</v>
      </c>
      <c r="V851">
        <v>16</v>
      </c>
      <c r="W851">
        <v>13.1</v>
      </c>
      <c r="X851">
        <v>28.7</v>
      </c>
      <c r="Z851" t="s">
        <v>145</v>
      </c>
      <c r="AA851" t="s">
        <v>260</v>
      </c>
      <c r="AB851" t="s">
        <v>121</v>
      </c>
      <c r="AC851" t="s">
        <v>122</v>
      </c>
    </row>
    <row r="852" spans="1:29" x14ac:dyDescent="0.2">
      <c r="A852" s="3">
        <v>42600</v>
      </c>
      <c r="B852" t="s">
        <v>23</v>
      </c>
      <c r="C852">
        <v>203</v>
      </c>
      <c r="D852">
        <v>10</v>
      </c>
      <c r="E852">
        <v>1</v>
      </c>
      <c r="F852" t="s">
        <v>64</v>
      </c>
      <c r="G852" t="s">
        <v>25</v>
      </c>
      <c r="H852" t="s">
        <v>26</v>
      </c>
      <c r="I852" t="s">
        <v>27</v>
      </c>
      <c r="J852" t="s">
        <v>28</v>
      </c>
      <c r="K852" t="s">
        <v>188</v>
      </c>
      <c r="L852" t="s">
        <v>30</v>
      </c>
      <c r="M852">
        <v>0</v>
      </c>
      <c r="N852">
        <v>0</v>
      </c>
      <c r="O852" s="17" t="s">
        <v>1567</v>
      </c>
      <c r="P852" s="17" t="s">
        <v>1568</v>
      </c>
      <c r="Q852">
        <f>31-15.5</f>
        <v>15.5</v>
      </c>
      <c r="R852" t="s">
        <v>31</v>
      </c>
      <c r="S852" t="s">
        <v>32</v>
      </c>
      <c r="T852">
        <v>18</v>
      </c>
      <c r="U852">
        <v>90</v>
      </c>
      <c r="V852">
        <v>16</v>
      </c>
      <c r="W852">
        <v>13.1</v>
      </c>
      <c r="X852">
        <v>27.9</v>
      </c>
      <c r="Z852" t="s">
        <v>145</v>
      </c>
      <c r="AA852" t="s">
        <v>260</v>
      </c>
      <c r="AB852" t="s">
        <v>121</v>
      </c>
      <c r="AC852" t="s">
        <v>122</v>
      </c>
    </row>
    <row r="853" spans="1:29" x14ac:dyDescent="0.2">
      <c r="A853" s="3">
        <v>42572</v>
      </c>
      <c r="B853" t="s">
        <v>23</v>
      </c>
      <c r="C853">
        <v>203</v>
      </c>
      <c r="D853">
        <v>3</v>
      </c>
      <c r="E853">
        <v>1</v>
      </c>
      <c r="F853" t="s">
        <v>33</v>
      </c>
      <c r="G853" t="s">
        <v>25</v>
      </c>
      <c r="H853" t="s">
        <v>26</v>
      </c>
      <c r="I853" t="s">
        <v>27</v>
      </c>
      <c r="J853" t="s">
        <v>34</v>
      </c>
      <c r="K853" t="s">
        <v>188</v>
      </c>
      <c r="L853" t="s">
        <v>35</v>
      </c>
      <c r="M853">
        <v>0</v>
      </c>
      <c r="N853">
        <v>1</v>
      </c>
      <c r="O853" s="17" t="s">
        <v>1659</v>
      </c>
      <c r="Q853">
        <f>29-11</f>
        <v>18</v>
      </c>
      <c r="R853" t="s">
        <v>39</v>
      </c>
      <c r="T853">
        <v>19</v>
      </c>
      <c r="U853">
        <v>80</v>
      </c>
      <c r="V853">
        <v>13</v>
      </c>
      <c r="W853">
        <v>12.9</v>
      </c>
      <c r="X853">
        <v>26.8</v>
      </c>
      <c r="Z853" t="s">
        <v>32</v>
      </c>
      <c r="AB853" t="s">
        <v>121</v>
      </c>
      <c r="AC853" t="s">
        <v>59</v>
      </c>
    </row>
    <row r="854" spans="1:29" x14ac:dyDescent="0.2">
      <c r="A854" s="3">
        <v>42584</v>
      </c>
      <c r="B854" t="s">
        <v>23</v>
      </c>
      <c r="C854">
        <v>203</v>
      </c>
      <c r="D854">
        <v>4</v>
      </c>
      <c r="E854">
        <v>2</v>
      </c>
      <c r="F854" t="s">
        <v>24</v>
      </c>
      <c r="G854" t="s">
        <v>25</v>
      </c>
      <c r="H854" t="s">
        <v>26</v>
      </c>
      <c r="I854" t="s">
        <v>27</v>
      </c>
      <c r="J854" t="s">
        <v>45</v>
      </c>
      <c r="K854" t="s">
        <v>188</v>
      </c>
      <c r="L854" t="s">
        <v>35</v>
      </c>
      <c r="M854">
        <v>1</v>
      </c>
      <c r="N854">
        <v>0</v>
      </c>
      <c r="O854" s="17">
        <v>50840</v>
      </c>
      <c r="P854" s="17">
        <v>50933</v>
      </c>
      <c r="Q854">
        <f>31.5-13.5</f>
        <v>18</v>
      </c>
      <c r="R854" t="s">
        <v>39</v>
      </c>
      <c r="T854">
        <v>19</v>
      </c>
      <c r="U854">
        <v>90</v>
      </c>
      <c r="V854">
        <v>18</v>
      </c>
      <c r="W854">
        <v>13.3</v>
      </c>
      <c r="X854">
        <v>27.7</v>
      </c>
      <c r="Z854" t="s">
        <v>32</v>
      </c>
      <c r="AA854" t="s">
        <v>260</v>
      </c>
      <c r="AB854" t="s">
        <v>44</v>
      </c>
      <c r="AC854" t="s">
        <v>59</v>
      </c>
    </row>
    <row r="855" spans="1:29" x14ac:dyDescent="0.2">
      <c r="A855" s="3">
        <v>42585</v>
      </c>
      <c r="B855" t="s">
        <v>23</v>
      </c>
      <c r="C855">
        <v>203</v>
      </c>
      <c r="D855">
        <v>4</v>
      </c>
      <c r="E855">
        <v>1</v>
      </c>
      <c r="F855" t="s">
        <v>24</v>
      </c>
      <c r="G855" t="s">
        <v>25</v>
      </c>
      <c r="H855" t="s">
        <v>26</v>
      </c>
      <c r="I855" t="s">
        <v>27</v>
      </c>
      <c r="J855" t="s">
        <v>28</v>
      </c>
      <c r="K855" t="s">
        <v>188</v>
      </c>
      <c r="L855" t="s">
        <v>35</v>
      </c>
      <c r="M855">
        <v>0</v>
      </c>
      <c r="N855">
        <v>0</v>
      </c>
      <c r="O855" s="17">
        <v>50840</v>
      </c>
      <c r="P855" s="17">
        <v>50933</v>
      </c>
      <c r="Q855">
        <f>33.5-14</f>
        <v>19.5</v>
      </c>
      <c r="R855" t="s">
        <v>39</v>
      </c>
      <c r="T855">
        <v>19</v>
      </c>
      <c r="U855">
        <v>85</v>
      </c>
      <c r="V855">
        <v>16</v>
      </c>
      <c r="W855">
        <v>13.4</v>
      </c>
      <c r="X855">
        <v>27</v>
      </c>
      <c r="Z855" t="s">
        <v>32</v>
      </c>
      <c r="AB855" t="s">
        <v>44</v>
      </c>
      <c r="AC855" t="s">
        <v>59</v>
      </c>
    </row>
    <row r="856" spans="1:29" x14ac:dyDescent="0.2">
      <c r="A856" s="3">
        <v>42586</v>
      </c>
      <c r="B856" t="s">
        <v>23</v>
      </c>
      <c r="C856">
        <v>203</v>
      </c>
      <c r="D856">
        <v>4</v>
      </c>
      <c r="E856">
        <v>1</v>
      </c>
      <c r="F856" t="s">
        <v>24</v>
      </c>
      <c r="G856" t="s">
        <v>25</v>
      </c>
      <c r="H856" t="s">
        <v>26</v>
      </c>
      <c r="I856" t="s">
        <v>27</v>
      </c>
      <c r="J856" t="s">
        <v>28</v>
      </c>
      <c r="K856" t="s">
        <v>188</v>
      </c>
      <c r="L856" t="s">
        <v>35</v>
      </c>
      <c r="M856">
        <v>0</v>
      </c>
      <c r="N856">
        <v>0</v>
      </c>
      <c r="O856" s="17">
        <v>50840</v>
      </c>
      <c r="P856" s="17">
        <v>50933</v>
      </c>
      <c r="Q856">
        <f>31-12.5</f>
        <v>18.5</v>
      </c>
      <c r="R856" t="s">
        <v>39</v>
      </c>
      <c r="T856">
        <v>18.5</v>
      </c>
      <c r="U856">
        <v>87</v>
      </c>
      <c r="V856">
        <v>14.5</v>
      </c>
      <c r="W856">
        <v>13.4</v>
      </c>
      <c r="X856">
        <v>27.5</v>
      </c>
      <c r="Z856" t="s">
        <v>32</v>
      </c>
      <c r="AB856" t="s">
        <v>44</v>
      </c>
      <c r="AC856" t="s">
        <v>59</v>
      </c>
    </row>
    <row r="857" spans="1:29" x14ac:dyDescent="0.2">
      <c r="A857" s="3">
        <v>42572</v>
      </c>
      <c r="B857" t="s">
        <v>23</v>
      </c>
      <c r="C857">
        <v>203</v>
      </c>
      <c r="D857">
        <v>2</v>
      </c>
      <c r="E857">
        <v>2</v>
      </c>
      <c r="F857" t="s">
        <v>33</v>
      </c>
      <c r="G857" t="s">
        <v>25</v>
      </c>
      <c r="H857" t="s">
        <v>26</v>
      </c>
      <c r="I857" t="s">
        <v>27</v>
      </c>
      <c r="J857" t="s">
        <v>34</v>
      </c>
      <c r="K857" t="s">
        <v>123</v>
      </c>
      <c r="L857" t="s">
        <v>30</v>
      </c>
      <c r="M857">
        <v>0</v>
      </c>
      <c r="N857">
        <v>1</v>
      </c>
      <c r="O857" s="17">
        <v>50841</v>
      </c>
      <c r="Q857">
        <v>15</v>
      </c>
      <c r="R857" t="s">
        <v>31</v>
      </c>
      <c r="S857" t="s">
        <v>32</v>
      </c>
      <c r="T857">
        <v>19</v>
      </c>
      <c r="U857">
        <v>90</v>
      </c>
      <c r="V857">
        <v>14</v>
      </c>
      <c r="Z857" t="s">
        <v>32</v>
      </c>
      <c r="AB857" t="s">
        <v>121</v>
      </c>
      <c r="AC857" t="s">
        <v>59</v>
      </c>
    </row>
    <row r="858" spans="1:29" x14ac:dyDescent="0.2">
      <c r="A858" s="3">
        <v>42584</v>
      </c>
      <c r="B858" t="s">
        <v>23</v>
      </c>
      <c r="C858">
        <v>203</v>
      </c>
      <c r="D858">
        <v>1</v>
      </c>
      <c r="E858">
        <v>1</v>
      </c>
      <c r="F858" t="s">
        <v>24</v>
      </c>
      <c r="G858" t="s">
        <v>25</v>
      </c>
      <c r="H858" t="s">
        <v>26</v>
      </c>
      <c r="I858" t="s">
        <v>27</v>
      </c>
      <c r="J858" t="s">
        <v>45</v>
      </c>
      <c r="K858" t="s">
        <v>188</v>
      </c>
      <c r="L858" t="s">
        <v>30</v>
      </c>
      <c r="M858">
        <v>1</v>
      </c>
      <c r="N858">
        <v>0</v>
      </c>
      <c r="O858" s="17">
        <v>50841</v>
      </c>
      <c r="P858" s="17">
        <v>50950</v>
      </c>
      <c r="Q858">
        <f>31-14</f>
        <v>17</v>
      </c>
      <c r="R858" t="s">
        <v>31</v>
      </c>
      <c r="S858" t="s">
        <v>32</v>
      </c>
      <c r="T858">
        <v>18</v>
      </c>
      <c r="U858">
        <v>93</v>
      </c>
      <c r="V858">
        <v>15</v>
      </c>
      <c r="W858">
        <v>12.8</v>
      </c>
      <c r="X858">
        <v>25.3</v>
      </c>
      <c r="Z858" t="s">
        <v>145</v>
      </c>
      <c r="AA858" t="s">
        <v>260</v>
      </c>
      <c r="AB858" t="s">
        <v>44</v>
      </c>
      <c r="AC858" t="s">
        <v>59</v>
      </c>
    </row>
    <row r="859" spans="1:29" x14ac:dyDescent="0.2">
      <c r="A859" s="3">
        <v>42585</v>
      </c>
      <c r="B859" t="s">
        <v>23</v>
      </c>
      <c r="C859">
        <v>203</v>
      </c>
      <c r="D859">
        <v>3</v>
      </c>
      <c r="E859">
        <v>1</v>
      </c>
      <c r="F859" t="s">
        <v>24</v>
      </c>
      <c r="G859" t="s">
        <v>25</v>
      </c>
      <c r="H859" t="s">
        <v>26</v>
      </c>
      <c r="I859" t="s">
        <v>27</v>
      </c>
      <c r="J859" t="s">
        <v>28</v>
      </c>
      <c r="K859" t="s">
        <v>188</v>
      </c>
      <c r="L859" t="s">
        <v>30</v>
      </c>
      <c r="M859">
        <v>0</v>
      </c>
      <c r="N859">
        <v>0</v>
      </c>
      <c r="O859" s="17">
        <v>50841</v>
      </c>
      <c r="P859" s="17">
        <v>50950</v>
      </c>
      <c r="Q859">
        <f>30.5-15</f>
        <v>15.5</v>
      </c>
      <c r="R859" t="s">
        <v>31</v>
      </c>
      <c r="S859" t="s">
        <v>32</v>
      </c>
      <c r="T859">
        <v>18</v>
      </c>
      <c r="U859">
        <v>91</v>
      </c>
      <c r="V859">
        <v>17</v>
      </c>
      <c r="W859">
        <v>13.1</v>
      </c>
      <c r="X859">
        <v>26.4</v>
      </c>
      <c r="Z859" t="s">
        <v>145</v>
      </c>
      <c r="AB859" t="s">
        <v>44</v>
      </c>
      <c r="AC859" t="s">
        <v>59</v>
      </c>
    </row>
    <row r="860" spans="1:29" x14ac:dyDescent="0.2">
      <c r="A860" s="3">
        <v>42586</v>
      </c>
      <c r="B860" t="s">
        <v>23</v>
      </c>
      <c r="C860">
        <v>203</v>
      </c>
      <c r="D860">
        <v>3</v>
      </c>
      <c r="E860">
        <v>2</v>
      </c>
      <c r="F860" t="s">
        <v>24</v>
      </c>
      <c r="G860" t="s">
        <v>25</v>
      </c>
      <c r="H860" t="s">
        <v>26</v>
      </c>
      <c r="I860" t="s">
        <v>27</v>
      </c>
      <c r="J860" t="s">
        <v>28</v>
      </c>
      <c r="K860" t="s">
        <v>188</v>
      </c>
      <c r="L860" t="s">
        <v>30</v>
      </c>
      <c r="M860">
        <v>0</v>
      </c>
      <c r="N860">
        <v>0</v>
      </c>
      <c r="O860" s="17">
        <v>50841</v>
      </c>
      <c r="P860" s="17">
        <v>50950</v>
      </c>
      <c r="Q860">
        <f>30-14.5</f>
        <v>15.5</v>
      </c>
      <c r="R860" t="s">
        <v>31</v>
      </c>
      <c r="S860" t="s">
        <v>32</v>
      </c>
      <c r="T860">
        <v>19</v>
      </c>
      <c r="U860">
        <v>92</v>
      </c>
      <c r="V860">
        <v>15</v>
      </c>
      <c r="W860">
        <v>12.9</v>
      </c>
      <c r="X860">
        <v>25.6</v>
      </c>
      <c r="Z860" t="s">
        <v>145</v>
      </c>
      <c r="AB860" t="s">
        <v>44</v>
      </c>
      <c r="AC860" t="s">
        <v>59</v>
      </c>
    </row>
    <row r="861" spans="1:29" x14ac:dyDescent="0.2">
      <c r="A861" s="3">
        <v>42598</v>
      </c>
      <c r="B861" t="s">
        <v>23</v>
      </c>
      <c r="C861">
        <v>203</v>
      </c>
      <c r="D861">
        <v>2</v>
      </c>
      <c r="E861">
        <v>1</v>
      </c>
      <c r="F861" t="s">
        <v>64</v>
      </c>
      <c r="G861" t="s">
        <v>25</v>
      </c>
      <c r="H861" t="s">
        <v>26</v>
      </c>
      <c r="I861" t="s">
        <v>27</v>
      </c>
      <c r="J861" t="s">
        <v>28</v>
      </c>
      <c r="K861" t="s">
        <v>188</v>
      </c>
      <c r="L861" t="s">
        <v>30</v>
      </c>
      <c r="M861">
        <v>0</v>
      </c>
      <c r="N861">
        <v>0</v>
      </c>
      <c r="O861" s="17" t="s">
        <v>1145</v>
      </c>
      <c r="P861" s="17" t="s">
        <v>1146</v>
      </c>
      <c r="Q861">
        <v>15.75</v>
      </c>
      <c r="R861" t="s">
        <v>31</v>
      </c>
      <c r="S861" t="s">
        <v>32</v>
      </c>
      <c r="T861">
        <v>18.75</v>
      </c>
      <c r="U861">
        <v>88.5</v>
      </c>
      <c r="V861">
        <v>15.5</v>
      </c>
      <c r="W861">
        <v>13.15</v>
      </c>
      <c r="X861">
        <v>27.45</v>
      </c>
      <c r="Z861" t="s">
        <v>145</v>
      </c>
      <c r="AA861" t="s">
        <v>260</v>
      </c>
      <c r="AB861" t="s">
        <v>121</v>
      </c>
      <c r="AC861" t="s">
        <v>122</v>
      </c>
    </row>
    <row r="862" spans="1:29" x14ac:dyDescent="0.2">
      <c r="A862" s="3">
        <v>42600</v>
      </c>
      <c r="B862" t="s">
        <v>23</v>
      </c>
      <c r="C862">
        <v>203</v>
      </c>
      <c r="D862">
        <v>4</v>
      </c>
      <c r="E862">
        <v>2</v>
      </c>
      <c r="F862" t="s">
        <v>64</v>
      </c>
      <c r="G862" t="s">
        <v>25</v>
      </c>
      <c r="H862" t="s">
        <v>26</v>
      </c>
      <c r="I862" t="s">
        <v>27</v>
      </c>
      <c r="J862" t="s">
        <v>28</v>
      </c>
      <c r="K862" t="s">
        <v>188</v>
      </c>
      <c r="L862" t="s">
        <v>30</v>
      </c>
      <c r="M862">
        <v>0</v>
      </c>
      <c r="N862">
        <v>0</v>
      </c>
      <c r="O862" s="17" t="s">
        <v>1145</v>
      </c>
      <c r="P862" s="17" t="s">
        <v>1146</v>
      </c>
      <c r="Q862">
        <f>30.5-13</f>
        <v>17.5</v>
      </c>
      <c r="R862" t="s">
        <v>31</v>
      </c>
      <c r="S862" t="s">
        <v>32</v>
      </c>
      <c r="T862">
        <v>18</v>
      </c>
      <c r="U862">
        <v>92</v>
      </c>
      <c r="V862">
        <v>17</v>
      </c>
      <c r="W862">
        <v>13.1</v>
      </c>
      <c r="X862">
        <v>26.9</v>
      </c>
      <c r="Z862" t="s">
        <v>145</v>
      </c>
      <c r="AB862" t="s">
        <v>121</v>
      </c>
      <c r="AC862" t="s">
        <v>122</v>
      </c>
    </row>
    <row r="863" spans="1:29" x14ac:dyDescent="0.2">
      <c r="A863" s="3">
        <v>42572</v>
      </c>
      <c r="B863" t="s">
        <v>23</v>
      </c>
      <c r="C863">
        <v>203</v>
      </c>
      <c r="D863">
        <v>2</v>
      </c>
      <c r="E863">
        <v>1</v>
      </c>
      <c r="F863" t="s">
        <v>33</v>
      </c>
      <c r="G863" t="s">
        <v>25</v>
      </c>
      <c r="H863" t="s">
        <v>26</v>
      </c>
      <c r="I863" t="s">
        <v>27</v>
      </c>
      <c r="J863" t="s">
        <v>34</v>
      </c>
      <c r="K863" t="s">
        <v>123</v>
      </c>
      <c r="L863" t="s">
        <v>30</v>
      </c>
      <c r="M863">
        <v>0</v>
      </c>
      <c r="N863">
        <v>1</v>
      </c>
      <c r="O863" s="17">
        <v>50842</v>
      </c>
      <c r="Q863">
        <f>28-13</f>
        <v>15</v>
      </c>
      <c r="R863" t="s">
        <v>31</v>
      </c>
      <c r="S863" t="s">
        <v>32</v>
      </c>
      <c r="T863">
        <v>19</v>
      </c>
      <c r="U863">
        <v>89</v>
      </c>
      <c r="V863">
        <v>13</v>
      </c>
      <c r="W863">
        <v>12.8</v>
      </c>
      <c r="X863">
        <v>26.7</v>
      </c>
      <c r="Z863" t="s">
        <v>32</v>
      </c>
      <c r="AB863" t="s">
        <v>121</v>
      </c>
      <c r="AC863" t="s">
        <v>59</v>
      </c>
    </row>
    <row r="864" spans="1:29" x14ac:dyDescent="0.2">
      <c r="A864" s="3">
        <v>42585</v>
      </c>
      <c r="B864" t="s">
        <v>23</v>
      </c>
      <c r="C864">
        <v>203</v>
      </c>
      <c r="D864">
        <v>2</v>
      </c>
      <c r="E864">
        <v>1</v>
      </c>
      <c r="F864" t="s">
        <v>24</v>
      </c>
      <c r="G864" t="s">
        <v>25</v>
      </c>
      <c r="H864" t="s">
        <v>26</v>
      </c>
      <c r="I864" t="s">
        <v>27</v>
      </c>
      <c r="J864" t="s">
        <v>28</v>
      </c>
      <c r="K864" t="s">
        <v>123</v>
      </c>
      <c r="L864" t="s">
        <v>30</v>
      </c>
      <c r="M864">
        <v>0</v>
      </c>
      <c r="N864">
        <v>0</v>
      </c>
      <c r="O864" s="17">
        <v>50842</v>
      </c>
      <c r="P864" s="17">
        <v>50932</v>
      </c>
      <c r="Q864">
        <f>30-13.5</f>
        <v>16.5</v>
      </c>
      <c r="R864" t="s">
        <v>31</v>
      </c>
      <c r="S864" t="s">
        <v>32</v>
      </c>
      <c r="T864">
        <v>17</v>
      </c>
      <c r="U864">
        <v>86</v>
      </c>
      <c r="V864">
        <v>17</v>
      </c>
      <c r="W864">
        <v>12.95</v>
      </c>
      <c r="X864">
        <v>25.1</v>
      </c>
      <c r="Z864" t="s">
        <v>32</v>
      </c>
      <c r="AB864" t="s">
        <v>44</v>
      </c>
      <c r="AC864" t="s">
        <v>59</v>
      </c>
    </row>
    <row r="865" spans="1:29" x14ac:dyDescent="0.2">
      <c r="A865" s="3">
        <v>42586</v>
      </c>
      <c r="B865" t="s">
        <v>23</v>
      </c>
      <c r="C865">
        <v>203</v>
      </c>
      <c r="D865">
        <v>1</v>
      </c>
      <c r="E865">
        <v>2</v>
      </c>
      <c r="F865" t="s">
        <v>24</v>
      </c>
      <c r="G865" t="s">
        <v>25</v>
      </c>
      <c r="H865" t="s">
        <v>26</v>
      </c>
      <c r="I865" t="s">
        <v>27</v>
      </c>
      <c r="J865" t="s">
        <v>28</v>
      </c>
      <c r="K865" t="s">
        <v>123</v>
      </c>
      <c r="L865" t="s">
        <v>30</v>
      </c>
      <c r="M865">
        <v>0</v>
      </c>
      <c r="N865">
        <v>0</v>
      </c>
      <c r="O865" s="17">
        <v>50842</v>
      </c>
      <c r="P865" s="17">
        <v>50932</v>
      </c>
      <c r="Q865">
        <v>13</v>
      </c>
      <c r="R865" t="s">
        <v>31</v>
      </c>
      <c r="S865" t="s">
        <v>32</v>
      </c>
      <c r="T865">
        <v>18</v>
      </c>
      <c r="U865">
        <v>86</v>
      </c>
      <c r="V865">
        <v>18</v>
      </c>
      <c r="W865">
        <v>13</v>
      </c>
      <c r="X865">
        <v>24.7</v>
      </c>
      <c r="Z865" t="s">
        <v>32</v>
      </c>
      <c r="AB865" t="s">
        <v>44</v>
      </c>
      <c r="AC865" t="s">
        <v>59</v>
      </c>
    </row>
    <row r="866" spans="1:29" x14ac:dyDescent="0.2">
      <c r="A866" s="3">
        <v>42598</v>
      </c>
      <c r="B866" t="s">
        <v>23</v>
      </c>
      <c r="C866">
        <v>203</v>
      </c>
      <c r="D866">
        <v>2</v>
      </c>
      <c r="E866">
        <v>2</v>
      </c>
      <c r="F866" t="s">
        <v>64</v>
      </c>
      <c r="G866" t="s">
        <v>25</v>
      </c>
      <c r="H866" t="s">
        <v>26</v>
      </c>
      <c r="I866" t="s">
        <v>27</v>
      </c>
      <c r="J866" t="s">
        <v>28</v>
      </c>
      <c r="K866" t="s">
        <v>188</v>
      </c>
      <c r="L866" t="s">
        <v>30</v>
      </c>
      <c r="M866">
        <v>0</v>
      </c>
      <c r="N866">
        <v>0</v>
      </c>
      <c r="O866" s="17" t="s">
        <v>1551</v>
      </c>
      <c r="P866" s="17" t="s">
        <v>1148</v>
      </c>
      <c r="Q866">
        <f>31.5-15.5</f>
        <v>16</v>
      </c>
      <c r="R866" t="s">
        <v>31</v>
      </c>
      <c r="S866" t="s">
        <v>32</v>
      </c>
      <c r="T866">
        <v>18</v>
      </c>
      <c r="U866">
        <v>87</v>
      </c>
      <c r="V866">
        <v>16</v>
      </c>
      <c r="W866">
        <v>13.1</v>
      </c>
      <c r="X866">
        <v>27.4</v>
      </c>
      <c r="Z866" t="s">
        <v>145</v>
      </c>
      <c r="AA866" t="s">
        <v>260</v>
      </c>
      <c r="AB866" t="s">
        <v>121</v>
      </c>
      <c r="AC866" t="s">
        <v>122</v>
      </c>
    </row>
    <row r="867" spans="1:29" x14ac:dyDescent="0.2">
      <c r="A867" s="3">
        <v>42600</v>
      </c>
      <c r="B867" t="s">
        <v>23</v>
      </c>
      <c r="C867">
        <v>203</v>
      </c>
      <c r="D867">
        <v>2</v>
      </c>
      <c r="E867">
        <v>2</v>
      </c>
      <c r="F867" t="s">
        <v>64</v>
      </c>
      <c r="G867" t="s">
        <v>25</v>
      </c>
      <c r="H867" t="s">
        <v>26</v>
      </c>
      <c r="I867" t="s">
        <v>27</v>
      </c>
      <c r="J867" t="s">
        <v>28</v>
      </c>
      <c r="K867" t="s">
        <v>188</v>
      </c>
      <c r="L867" t="s">
        <v>30</v>
      </c>
      <c r="M867">
        <v>0</v>
      </c>
      <c r="N867">
        <v>0</v>
      </c>
      <c r="O867" s="17" t="s">
        <v>1551</v>
      </c>
      <c r="P867" s="17" t="s">
        <v>1148</v>
      </c>
      <c r="Q867">
        <f>30-14</f>
        <v>16</v>
      </c>
      <c r="R867" t="s">
        <v>31</v>
      </c>
      <c r="S867" t="s">
        <v>32</v>
      </c>
      <c r="T867">
        <v>17</v>
      </c>
      <c r="U867">
        <v>85</v>
      </c>
      <c r="V867">
        <v>16</v>
      </c>
      <c r="W867">
        <v>13.1</v>
      </c>
      <c r="X867">
        <v>26.8</v>
      </c>
      <c r="Z867" t="s">
        <v>145</v>
      </c>
      <c r="AA867" t="s">
        <v>260</v>
      </c>
      <c r="AB867" t="s">
        <v>121</v>
      </c>
      <c r="AC867" t="s">
        <v>122</v>
      </c>
    </row>
    <row r="868" spans="1:29" x14ac:dyDescent="0.2">
      <c r="A868" s="3">
        <v>42572</v>
      </c>
      <c r="B868" t="s">
        <v>23</v>
      </c>
      <c r="C868">
        <v>201</v>
      </c>
      <c r="D868">
        <v>10</v>
      </c>
      <c r="E868">
        <v>1</v>
      </c>
      <c r="F868" t="s">
        <v>33</v>
      </c>
      <c r="G868" t="s">
        <v>25</v>
      </c>
      <c r="H868" t="s">
        <v>26</v>
      </c>
      <c r="I868" t="s">
        <v>27</v>
      </c>
      <c r="J868" t="s">
        <v>34</v>
      </c>
      <c r="K868" t="s">
        <v>123</v>
      </c>
      <c r="L868" t="s">
        <v>30</v>
      </c>
      <c r="M868">
        <v>0</v>
      </c>
      <c r="N868">
        <v>1</v>
      </c>
      <c r="O868" s="17">
        <v>50844</v>
      </c>
      <c r="P868" s="17">
        <v>50843</v>
      </c>
      <c r="Q868">
        <f>24.5-12</f>
        <v>12.5</v>
      </c>
      <c r="R868" t="s">
        <v>63</v>
      </c>
      <c r="T868">
        <v>18.5</v>
      </c>
      <c r="U868">
        <v>14</v>
      </c>
      <c r="W868">
        <v>12.7</v>
      </c>
      <c r="X868">
        <v>26.9</v>
      </c>
      <c r="Z868" t="s">
        <v>145</v>
      </c>
      <c r="AA868" t="s">
        <v>260</v>
      </c>
      <c r="AB868" t="s">
        <v>121</v>
      </c>
      <c r="AC868" t="s">
        <v>59</v>
      </c>
    </row>
    <row r="869" spans="1:29" x14ac:dyDescent="0.2">
      <c r="A869" s="3">
        <v>42585</v>
      </c>
      <c r="B869" t="s">
        <v>23</v>
      </c>
      <c r="C869">
        <v>201</v>
      </c>
      <c r="D869">
        <v>6</v>
      </c>
      <c r="E869">
        <v>2</v>
      </c>
      <c r="F869" t="s">
        <v>24</v>
      </c>
      <c r="G869" t="s">
        <v>25</v>
      </c>
      <c r="H869" t="s">
        <v>26</v>
      </c>
      <c r="I869" t="s">
        <v>27</v>
      </c>
      <c r="J869" t="s">
        <v>28</v>
      </c>
      <c r="K869" t="s">
        <v>188</v>
      </c>
      <c r="L869" t="s">
        <v>30</v>
      </c>
      <c r="M869">
        <v>0</v>
      </c>
      <c r="N869">
        <v>0</v>
      </c>
      <c r="O869" s="17">
        <v>50844</v>
      </c>
      <c r="P869" s="17">
        <v>50843</v>
      </c>
      <c r="Q869">
        <f>29-14</f>
        <v>15</v>
      </c>
      <c r="R869" t="s">
        <v>31</v>
      </c>
      <c r="S869" t="s">
        <v>32</v>
      </c>
      <c r="T869">
        <v>19</v>
      </c>
      <c r="U869">
        <v>77</v>
      </c>
      <c r="V869">
        <v>16.5</v>
      </c>
      <c r="W869">
        <v>13</v>
      </c>
      <c r="X869">
        <v>27.1</v>
      </c>
      <c r="Z869" t="s">
        <v>145</v>
      </c>
      <c r="AB869" t="s">
        <v>44</v>
      </c>
      <c r="AC869" t="s">
        <v>59</v>
      </c>
    </row>
    <row r="870" spans="1:29" x14ac:dyDescent="0.2">
      <c r="A870" s="3">
        <v>42586</v>
      </c>
      <c r="B870" t="s">
        <v>23</v>
      </c>
      <c r="C870">
        <v>201</v>
      </c>
      <c r="D870">
        <v>9</v>
      </c>
      <c r="E870">
        <v>1</v>
      </c>
      <c r="F870" t="s">
        <v>24</v>
      </c>
      <c r="G870" t="s">
        <v>25</v>
      </c>
      <c r="H870" t="s">
        <v>26</v>
      </c>
      <c r="I870" t="s">
        <v>27</v>
      </c>
      <c r="J870" t="s">
        <v>28</v>
      </c>
      <c r="K870" t="s">
        <v>188</v>
      </c>
      <c r="L870" t="s">
        <v>30</v>
      </c>
      <c r="M870">
        <v>0</v>
      </c>
      <c r="N870">
        <v>0</v>
      </c>
      <c r="O870" s="17">
        <v>50844</v>
      </c>
      <c r="P870" s="17">
        <v>50843</v>
      </c>
      <c r="Q870">
        <f>29.5-14.5</f>
        <v>15</v>
      </c>
      <c r="R870" t="s">
        <v>31</v>
      </c>
      <c r="S870" t="s">
        <v>32</v>
      </c>
      <c r="T870">
        <v>19</v>
      </c>
      <c r="U870">
        <v>75.5</v>
      </c>
      <c r="V870">
        <v>18</v>
      </c>
      <c r="W870">
        <v>12.8</v>
      </c>
      <c r="X870">
        <v>28.1</v>
      </c>
      <c r="Z870" t="s">
        <v>145</v>
      </c>
      <c r="AB870" t="s">
        <v>44</v>
      </c>
      <c r="AC870" t="s">
        <v>59</v>
      </c>
    </row>
    <row r="871" spans="1:29" x14ac:dyDescent="0.2">
      <c r="A871" s="3">
        <v>42599</v>
      </c>
      <c r="B871" t="s">
        <v>23</v>
      </c>
      <c r="C871">
        <v>201</v>
      </c>
      <c r="D871">
        <v>5</v>
      </c>
      <c r="E871">
        <v>1</v>
      </c>
      <c r="F871" t="s">
        <v>64</v>
      </c>
      <c r="G871" t="s">
        <v>25</v>
      </c>
      <c r="H871" t="s">
        <v>26</v>
      </c>
      <c r="I871" t="s">
        <v>27</v>
      </c>
      <c r="J871" t="s">
        <v>28</v>
      </c>
      <c r="K871" t="s">
        <v>188</v>
      </c>
      <c r="L871" t="s">
        <v>30</v>
      </c>
      <c r="M871">
        <v>0</v>
      </c>
      <c r="N871">
        <v>0</v>
      </c>
      <c r="O871" s="17" t="s">
        <v>1308</v>
      </c>
      <c r="P871" s="17" t="s">
        <v>1309</v>
      </c>
      <c r="Q871">
        <f>31-14</f>
        <v>17</v>
      </c>
      <c r="R871" t="s">
        <v>31</v>
      </c>
      <c r="S871" t="s">
        <v>32</v>
      </c>
      <c r="T871">
        <v>19</v>
      </c>
      <c r="U871">
        <v>79</v>
      </c>
      <c r="V871">
        <v>15</v>
      </c>
      <c r="W871">
        <v>13.1</v>
      </c>
      <c r="X871">
        <v>27.5</v>
      </c>
      <c r="Z871" t="s">
        <v>145</v>
      </c>
      <c r="AA871" t="s">
        <v>260</v>
      </c>
      <c r="AB871" t="s">
        <v>121</v>
      </c>
      <c r="AC871" t="s">
        <v>59</v>
      </c>
    </row>
    <row r="872" spans="1:29" x14ac:dyDescent="0.2">
      <c r="A872" s="3">
        <v>42600</v>
      </c>
      <c r="B872" t="s">
        <v>23</v>
      </c>
      <c r="C872">
        <v>201</v>
      </c>
      <c r="D872">
        <v>3</v>
      </c>
      <c r="E872">
        <v>1</v>
      </c>
      <c r="F872" t="s">
        <v>64</v>
      </c>
      <c r="G872" t="s">
        <v>25</v>
      </c>
      <c r="H872" t="s">
        <v>26</v>
      </c>
      <c r="I872" t="s">
        <v>27</v>
      </c>
      <c r="J872" t="s">
        <v>28</v>
      </c>
      <c r="K872" t="s">
        <v>188</v>
      </c>
      <c r="L872" t="s">
        <v>30</v>
      </c>
      <c r="M872">
        <v>0</v>
      </c>
      <c r="N872">
        <v>0</v>
      </c>
      <c r="O872" s="17" t="s">
        <v>1308</v>
      </c>
      <c r="P872" s="17" t="s">
        <v>1309</v>
      </c>
      <c r="Q872">
        <f>33-16</f>
        <v>17</v>
      </c>
      <c r="R872" t="s">
        <v>31</v>
      </c>
      <c r="S872" t="s">
        <v>32</v>
      </c>
      <c r="T872">
        <v>19</v>
      </c>
      <c r="U872">
        <v>76</v>
      </c>
      <c r="V872">
        <v>16</v>
      </c>
      <c r="W872">
        <v>13.1</v>
      </c>
      <c r="X872">
        <v>27.8</v>
      </c>
      <c r="Z872" t="s">
        <v>145</v>
      </c>
      <c r="AA872" t="s">
        <v>260</v>
      </c>
      <c r="AB872" t="s">
        <v>121</v>
      </c>
      <c r="AC872" t="s">
        <v>122</v>
      </c>
    </row>
    <row r="873" spans="1:29" x14ac:dyDescent="0.2">
      <c r="A873" s="3">
        <v>42572</v>
      </c>
      <c r="B873" t="s">
        <v>23</v>
      </c>
      <c r="C873">
        <v>201</v>
      </c>
      <c r="D873">
        <v>8</v>
      </c>
      <c r="E873">
        <v>1</v>
      </c>
      <c r="F873" t="s">
        <v>33</v>
      </c>
      <c r="G873" t="s">
        <v>25</v>
      </c>
      <c r="H873" t="s">
        <v>26</v>
      </c>
      <c r="I873" t="s">
        <v>27</v>
      </c>
      <c r="J873" t="s">
        <v>34</v>
      </c>
      <c r="K873" t="s">
        <v>123</v>
      </c>
      <c r="L873" t="s">
        <v>30</v>
      </c>
      <c r="M873">
        <v>0</v>
      </c>
      <c r="N873">
        <v>1</v>
      </c>
      <c r="O873" s="17">
        <v>50846</v>
      </c>
      <c r="P873" s="17">
        <v>50845</v>
      </c>
      <c r="Q873">
        <v>11</v>
      </c>
      <c r="R873" t="s">
        <v>31</v>
      </c>
      <c r="S873" t="s">
        <v>32</v>
      </c>
      <c r="T873">
        <v>19</v>
      </c>
      <c r="V873">
        <v>13</v>
      </c>
      <c r="W873">
        <v>12.5</v>
      </c>
      <c r="X873">
        <v>25.5</v>
      </c>
      <c r="Z873" t="s">
        <v>32</v>
      </c>
      <c r="AB873" t="s">
        <v>121</v>
      </c>
      <c r="AC873" t="s">
        <v>59</v>
      </c>
    </row>
    <row r="874" spans="1:29" x14ac:dyDescent="0.2">
      <c r="A874" s="3">
        <v>42584</v>
      </c>
      <c r="B874" t="s">
        <v>23</v>
      </c>
      <c r="C874">
        <v>201</v>
      </c>
      <c r="D874">
        <v>8</v>
      </c>
      <c r="E874">
        <v>1</v>
      </c>
      <c r="F874" t="s">
        <v>24</v>
      </c>
      <c r="G874" t="s">
        <v>25</v>
      </c>
      <c r="H874" t="s">
        <v>26</v>
      </c>
      <c r="I874" t="s">
        <v>27</v>
      </c>
      <c r="J874" t="s">
        <v>28</v>
      </c>
      <c r="K874" t="s">
        <v>123</v>
      </c>
      <c r="L874" t="s">
        <v>30</v>
      </c>
      <c r="M874">
        <v>0</v>
      </c>
      <c r="N874">
        <v>0</v>
      </c>
      <c r="O874" s="17">
        <v>50846</v>
      </c>
      <c r="P874" s="17">
        <v>50845</v>
      </c>
      <c r="Q874">
        <f>29-15.5</f>
        <v>13.5</v>
      </c>
      <c r="R874" t="s">
        <v>31</v>
      </c>
      <c r="S874" t="s">
        <v>32</v>
      </c>
      <c r="T874">
        <v>18</v>
      </c>
      <c r="U874">
        <v>72</v>
      </c>
      <c r="V874">
        <v>18</v>
      </c>
      <c r="W874">
        <v>12.7</v>
      </c>
      <c r="X874">
        <v>26.5</v>
      </c>
      <c r="Z874" t="s">
        <v>32</v>
      </c>
      <c r="AA874" t="s">
        <v>260</v>
      </c>
      <c r="AB874" t="s">
        <v>44</v>
      </c>
      <c r="AC874" t="s">
        <v>59</v>
      </c>
    </row>
    <row r="875" spans="1:29" x14ac:dyDescent="0.2">
      <c r="A875" s="3">
        <v>42585</v>
      </c>
      <c r="B875" t="s">
        <v>23</v>
      </c>
      <c r="C875">
        <v>201</v>
      </c>
      <c r="D875">
        <v>3</v>
      </c>
      <c r="E875">
        <v>1</v>
      </c>
      <c r="F875" t="s">
        <v>24</v>
      </c>
      <c r="G875" t="s">
        <v>25</v>
      </c>
      <c r="H875" t="s">
        <v>26</v>
      </c>
      <c r="I875" t="s">
        <v>27</v>
      </c>
      <c r="J875" t="s">
        <v>28</v>
      </c>
      <c r="K875" t="s">
        <v>123</v>
      </c>
      <c r="L875" t="s">
        <v>30</v>
      </c>
      <c r="M875">
        <v>0</v>
      </c>
      <c r="N875">
        <v>0</v>
      </c>
      <c r="O875" s="17">
        <v>50846</v>
      </c>
      <c r="P875" s="17">
        <v>50845</v>
      </c>
      <c r="Q875">
        <f>29-13</f>
        <v>16</v>
      </c>
      <c r="R875" t="s">
        <v>31</v>
      </c>
      <c r="S875" t="s">
        <v>32</v>
      </c>
      <c r="T875">
        <v>18</v>
      </c>
      <c r="U875">
        <v>71</v>
      </c>
      <c r="V875">
        <v>17</v>
      </c>
      <c r="W875">
        <v>12.5</v>
      </c>
      <c r="X875">
        <v>24</v>
      </c>
      <c r="Z875" t="s">
        <v>32</v>
      </c>
      <c r="AB875" t="s">
        <v>44</v>
      </c>
      <c r="AC875" t="s">
        <v>59</v>
      </c>
    </row>
    <row r="876" spans="1:29" x14ac:dyDescent="0.2">
      <c r="A876" s="3">
        <v>42586</v>
      </c>
      <c r="B876" t="s">
        <v>23</v>
      </c>
      <c r="C876">
        <v>201</v>
      </c>
      <c r="D876">
        <v>4</v>
      </c>
      <c r="E876">
        <v>1</v>
      </c>
      <c r="F876" t="s">
        <v>24</v>
      </c>
      <c r="G876" t="s">
        <v>25</v>
      </c>
      <c r="H876" t="s">
        <v>26</v>
      </c>
      <c r="I876" t="s">
        <v>27</v>
      </c>
      <c r="J876" t="s">
        <v>28</v>
      </c>
      <c r="K876" t="s">
        <v>123</v>
      </c>
      <c r="L876" t="s">
        <v>30</v>
      </c>
      <c r="M876">
        <v>0</v>
      </c>
      <c r="N876">
        <v>0</v>
      </c>
      <c r="O876" s="17">
        <v>50846</v>
      </c>
      <c r="P876" s="17">
        <v>50845</v>
      </c>
      <c r="Q876">
        <f>25-13</f>
        <v>12</v>
      </c>
      <c r="R876" t="s">
        <v>31</v>
      </c>
      <c r="S876" t="s">
        <v>32</v>
      </c>
      <c r="T876">
        <v>18</v>
      </c>
      <c r="V876">
        <v>15.5</v>
      </c>
      <c r="W876">
        <v>12.5</v>
      </c>
      <c r="X876">
        <v>24.2</v>
      </c>
      <c r="Z876" t="s">
        <v>32</v>
      </c>
      <c r="AB876" t="s">
        <v>44</v>
      </c>
      <c r="AC876" t="s">
        <v>59</v>
      </c>
    </row>
    <row r="877" spans="1:29" x14ac:dyDescent="0.2">
      <c r="A877" s="3">
        <v>42599</v>
      </c>
      <c r="B877" t="s">
        <v>23</v>
      </c>
      <c r="C877">
        <v>201</v>
      </c>
      <c r="D877">
        <v>7</v>
      </c>
      <c r="E877">
        <v>2</v>
      </c>
      <c r="F877" t="s">
        <v>64</v>
      </c>
      <c r="G877" t="s">
        <v>25</v>
      </c>
      <c r="H877" t="s">
        <v>26</v>
      </c>
      <c r="I877" t="s">
        <v>27</v>
      </c>
      <c r="J877" t="s">
        <v>28</v>
      </c>
      <c r="K877" t="s">
        <v>123</v>
      </c>
      <c r="L877" t="s">
        <v>30</v>
      </c>
      <c r="M877">
        <v>0</v>
      </c>
      <c r="N877">
        <v>0</v>
      </c>
      <c r="O877" s="17" t="s">
        <v>1607</v>
      </c>
      <c r="P877" s="17" t="s">
        <v>1606</v>
      </c>
      <c r="Q877">
        <f>30-17</f>
        <v>13</v>
      </c>
      <c r="R877" t="s">
        <v>31</v>
      </c>
      <c r="S877" t="s">
        <v>32</v>
      </c>
      <c r="T877">
        <v>19</v>
      </c>
      <c r="U877">
        <v>72</v>
      </c>
      <c r="V877">
        <v>16</v>
      </c>
      <c r="W877">
        <v>13</v>
      </c>
      <c r="X877">
        <v>27</v>
      </c>
      <c r="Z877" t="s">
        <v>145</v>
      </c>
      <c r="AA877" t="s">
        <v>260</v>
      </c>
      <c r="AB877" t="s">
        <v>121</v>
      </c>
      <c r="AC877" t="s">
        <v>59</v>
      </c>
    </row>
    <row r="878" spans="1:29" x14ac:dyDescent="0.2">
      <c r="A878" s="3">
        <v>42600</v>
      </c>
      <c r="B878" t="s">
        <v>23</v>
      </c>
      <c r="C878">
        <v>201</v>
      </c>
      <c r="D878">
        <v>8</v>
      </c>
      <c r="E878">
        <v>1</v>
      </c>
      <c r="F878" t="s">
        <v>64</v>
      </c>
      <c r="G878" t="s">
        <v>25</v>
      </c>
      <c r="H878" t="s">
        <v>26</v>
      </c>
      <c r="I878" t="s">
        <v>27</v>
      </c>
      <c r="J878" t="s">
        <v>28</v>
      </c>
      <c r="K878" t="s">
        <v>123</v>
      </c>
      <c r="L878" t="s">
        <v>30</v>
      </c>
      <c r="M878">
        <v>0</v>
      </c>
      <c r="N878">
        <v>0</v>
      </c>
      <c r="O878" s="17" t="s">
        <v>1607</v>
      </c>
      <c r="P878" s="17" t="s">
        <v>1606</v>
      </c>
      <c r="Q878">
        <f>30-16.5</f>
        <v>13.5</v>
      </c>
      <c r="R878" t="s">
        <v>31</v>
      </c>
      <c r="S878" t="s">
        <v>32</v>
      </c>
      <c r="T878">
        <v>19</v>
      </c>
      <c r="U878">
        <v>76</v>
      </c>
      <c r="V878">
        <v>13.5</v>
      </c>
      <c r="W878">
        <v>12.9</v>
      </c>
      <c r="X878">
        <v>26.8</v>
      </c>
      <c r="Z878" t="s">
        <v>145</v>
      </c>
      <c r="AB878" t="s">
        <v>121</v>
      </c>
      <c r="AC878" t="s">
        <v>122</v>
      </c>
    </row>
    <row r="879" spans="1:29" x14ac:dyDescent="0.2">
      <c r="A879" s="3">
        <v>42572</v>
      </c>
      <c r="B879" t="s">
        <v>23</v>
      </c>
      <c r="C879">
        <v>201</v>
      </c>
      <c r="D879">
        <v>7</v>
      </c>
      <c r="E879">
        <v>1</v>
      </c>
      <c r="F879" t="s">
        <v>33</v>
      </c>
      <c r="G879" t="s">
        <v>25</v>
      </c>
      <c r="H879" t="s">
        <v>26</v>
      </c>
      <c r="I879" t="s">
        <v>27</v>
      </c>
      <c r="J879" t="s">
        <v>34</v>
      </c>
      <c r="K879" t="s">
        <v>188</v>
      </c>
      <c r="L879" t="s">
        <v>35</v>
      </c>
      <c r="M879">
        <v>0</v>
      </c>
      <c r="N879">
        <v>1</v>
      </c>
      <c r="O879" s="17">
        <v>50848</v>
      </c>
      <c r="P879" s="17">
        <v>50847</v>
      </c>
      <c r="Q879">
        <v>18</v>
      </c>
      <c r="R879" t="s">
        <v>39</v>
      </c>
      <c r="T879">
        <v>18</v>
      </c>
      <c r="U879">
        <v>82</v>
      </c>
      <c r="V879">
        <v>16</v>
      </c>
      <c r="W879">
        <v>12.7</v>
      </c>
      <c r="X879">
        <v>26.8</v>
      </c>
      <c r="Z879" t="s">
        <v>32</v>
      </c>
      <c r="AB879" t="s">
        <v>121</v>
      </c>
      <c r="AC879" t="s">
        <v>59</v>
      </c>
    </row>
    <row r="880" spans="1:29" x14ac:dyDescent="0.2">
      <c r="A880" s="3">
        <v>42584</v>
      </c>
      <c r="B880" t="s">
        <v>23</v>
      </c>
      <c r="C880">
        <v>201</v>
      </c>
      <c r="D880">
        <v>6</v>
      </c>
      <c r="E880">
        <v>1</v>
      </c>
      <c r="F880" t="s">
        <v>24</v>
      </c>
      <c r="G880" t="s">
        <v>25</v>
      </c>
      <c r="H880" t="s">
        <v>26</v>
      </c>
      <c r="I880" t="s">
        <v>27</v>
      </c>
      <c r="J880" t="s">
        <v>28</v>
      </c>
      <c r="K880" t="s">
        <v>188</v>
      </c>
      <c r="L880" t="s">
        <v>35</v>
      </c>
      <c r="M880">
        <v>0</v>
      </c>
      <c r="N880">
        <v>0</v>
      </c>
      <c r="O880" s="17">
        <v>50848</v>
      </c>
      <c r="P880" s="17">
        <v>50847</v>
      </c>
      <c r="Q880">
        <f>30-13</f>
        <v>17</v>
      </c>
      <c r="R880" t="s">
        <v>39</v>
      </c>
      <c r="T880">
        <v>17</v>
      </c>
      <c r="U880">
        <v>86</v>
      </c>
      <c r="V880">
        <v>14</v>
      </c>
      <c r="W880">
        <v>13.1</v>
      </c>
      <c r="X880">
        <v>25.2</v>
      </c>
      <c r="Z880" t="s">
        <v>145</v>
      </c>
      <c r="AA880" t="s">
        <v>260</v>
      </c>
      <c r="AB880" t="s">
        <v>44</v>
      </c>
      <c r="AC880" t="s">
        <v>59</v>
      </c>
    </row>
    <row r="881" spans="1:30" x14ac:dyDescent="0.2">
      <c r="A881" s="3">
        <v>42585</v>
      </c>
      <c r="B881" t="s">
        <v>23</v>
      </c>
      <c r="C881">
        <v>201</v>
      </c>
      <c r="D881">
        <v>5</v>
      </c>
      <c r="E881">
        <v>1</v>
      </c>
      <c r="F881" t="s">
        <v>24</v>
      </c>
      <c r="G881" t="s">
        <v>25</v>
      </c>
      <c r="H881" t="s">
        <v>26</v>
      </c>
      <c r="I881" t="s">
        <v>27</v>
      </c>
      <c r="J881" t="s">
        <v>28</v>
      </c>
      <c r="K881" t="s">
        <v>188</v>
      </c>
      <c r="L881" t="s">
        <v>35</v>
      </c>
      <c r="M881">
        <v>0</v>
      </c>
      <c r="N881">
        <v>0</v>
      </c>
      <c r="O881" s="17">
        <v>50848</v>
      </c>
      <c r="P881" s="17">
        <v>50847</v>
      </c>
      <c r="Q881">
        <f>31.5-14</f>
        <v>17.5</v>
      </c>
      <c r="R881" t="s">
        <v>39</v>
      </c>
      <c r="T881">
        <v>18</v>
      </c>
      <c r="U881">
        <v>85</v>
      </c>
      <c r="V881">
        <v>17</v>
      </c>
      <c r="W881">
        <v>13</v>
      </c>
      <c r="X881">
        <v>26.4</v>
      </c>
      <c r="Z881" t="s">
        <v>145</v>
      </c>
      <c r="AB881" t="s">
        <v>44</v>
      </c>
      <c r="AC881" t="s">
        <v>59</v>
      </c>
    </row>
    <row r="882" spans="1:30" x14ac:dyDescent="0.2">
      <c r="A882" s="3">
        <v>42586</v>
      </c>
      <c r="B882" t="s">
        <v>23</v>
      </c>
      <c r="C882">
        <v>201</v>
      </c>
      <c r="D882">
        <v>10</v>
      </c>
      <c r="E882">
        <v>2</v>
      </c>
      <c r="F882" t="s">
        <v>24</v>
      </c>
      <c r="G882" t="s">
        <v>25</v>
      </c>
      <c r="H882" t="s">
        <v>26</v>
      </c>
      <c r="I882" t="s">
        <v>27</v>
      </c>
      <c r="J882" t="s">
        <v>28</v>
      </c>
      <c r="K882" t="s">
        <v>188</v>
      </c>
      <c r="L882" t="s">
        <v>35</v>
      </c>
      <c r="M882">
        <v>0</v>
      </c>
      <c r="N882">
        <v>0</v>
      </c>
      <c r="O882" s="17">
        <v>50848</v>
      </c>
      <c r="P882" s="17">
        <v>50847</v>
      </c>
      <c r="Q882">
        <f>31.5-15</f>
        <v>16.5</v>
      </c>
      <c r="R882" t="s">
        <v>39</v>
      </c>
      <c r="T882">
        <v>18</v>
      </c>
      <c r="U882">
        <v>86</v>
      </c>
      <c r="V882">
        <v>15</v>
      </c>
      <c r="W882">
        <v>13</v>
      </c>
      <c r="X882">
        <v>25.3</v>
      </c>
      <c r="Z882" t="s">
        <v>145</v>
      </c>
      <c r="AB882" t="s">
        <v>44</v>
      </c>
      <c r="AC882" t="s">
        <v>59</v>
      </c>
    </row>
    <row r="883" spans="1:30" x14ac:dyDescent="0.2">
      <c r="A883" s="3">
        <v>42598</v>
      </c>
      <c r="B883" t="s">
        <v>23</v>
      </c>
      <c r="C883">
        <v>201</v>
      </c>
      <c r="D883">
        <v>6</v>
      </c>
      <c r="E883">
        <v>2</v>
      </c>
      <c r="F883" t="s">
        <v>64</v>
      </c>
      <c r="G883" t="s">
        <v>25</v>
      </c>
      <c r="H883" t="s">
        <v>26</v>
      </c>
      <c r="I883" t="s">
        <v>27</v>
      </c>
      <c r="J883" t="s">
        <v>28</v>
      </c>
      <c r="K883" t="s">
        <v>188</v>
      </c>
      <c r="L883" t="s">
        <v>35</v>
      </c>
      <c r="M883">
        <v>0</v>
      </c>
      <c r="N883">
        <v>0</v>
      </c>
      <c r="O883" s="17" t="s">
        <v>1142</v>
      </c>
      <c r="P883" s="17" t="s">
        <v>1143</v>
      </c>
      <c r="Q883">
        <f>33-17.5</f>
        <v>15.5</v>
      </c>
      <c r="R883" t="s">
        <v>39</v>
      </c>
      <c r="T883">
        <v>19</v>
      </c>
      <c r="U883">
        <v>86</v>
      </c>
      <c r="V883">
        <v>14</v>
      </c>
      <c r="W883">
        <v>13.1</v>
      </c>
      <c r="X883">
        <v>27.8</v>
      </c>
      <c r="Z883" t="s">
        <v>145</v>
      </c>
      <c r="AA883" t="s">
        <v>260</v>
      </c>
      <c r="AB883" t="s">
        <v>121</v>
      </c>
      <c r="AC883" t="s">
        <v>122</v>
      </c>
    </row>
    <row r="884" spans="1:30" x14ac:dyDescent="0.2">
      <c r="A884" s="3">
        <v>42599</v>
      </c>
      <c r="B884" t="s">
        <v>23</v>
      </c>
      <c r="C884">
        <v>201</v>
      </c>
      <c r="D884">
        <v>10</v>
      </c>
      <c r="E884">
        <v>2</v>
      </c>
      <c r="F884" t="s">
        <v>64</v>
      </c>
      <c r="G884" t="s">
        <v>25</v>
      </c>
      <c r="H884" t="s">
        <v>26</v>
      </c>
      <c r="I884" t="s">
        <v>27</v>
      </c>
      <c r="J884" t="s">
        <v>28</v>
      </c>
      <c r="K884" t="s">
        <v>188</v>
      </c>
      <c r="L884" t="s">
        <v>35</v>
      </c>
      <c r="M884">
        <v>0</v>
      </c>
      <c r="N884">
        <v>0</v>
      </c>
      <c r="O884" s="17" t="s">
        <v>1142</v>
      </c>
      <c r="P884" s="17" t="s">
        <v>1143</v>
      </c>
      <c r="Q884">
        <f>32-16</f>
        <v>16</v>
      </c>
      <c r="R884" t="s">
        <v>39</v>
      </c>
      <c r="T884">
        <v>19</v>
      </c>
      <c r="U884">
        <v>87</v>
      </c>
      <c r="V884">
        <v>17</v>
      </c>
      <c r="W884">
        <v>13.1</v>
      </c>
      <c r="X884">
        <v>27.7</v>
      </c>
      <c r="Z884" t="s">
        <v>145</v>
      </c>
      <c r="AA884" t="s">
        <v>260</v>
      </c>
      <c r="AB884" t="s">
        <v>121</v>
      </c>
      <c r="AC884" t="s">
        <v>59</v>
      </c>
    </row>
    <row r="885" spans="1:30" x14ac:dyDescent="0.2">
      <c r="A885" s="3">
        <v>42600</v>
      </c>
      <c r="B885" t="s">
        <v>23</v>
      </c>
      <c r="C885">
        <v>201</v>
      </c>
      <c r="D885">
        <v>7</v>
      </c>
      <c r="E885">
        <v>2</v>
      </c>
      <c r="F885" t="s">
        <v>64</v>
      </c>
      <c r="G885" t="s">
        <v>25</v>
      </c>
      <c r="H885" t="s">
        <v>26</v>
      </c>
      <c r="I885" t="s">
        <v>27</v>
      </c>
      <c r="J885" t="s">
        <v>28</v>
      </c>
      <c r="K885" t="s">
        <v>188</v>
      </c>
      <c r="L885" t="s">
        <v>35</v>
      </c>
      <c r="M885">
        <v>0</v>
      </c>
      <c r="N885">
        <v>0</v>
      </c>
      <c r="O885" s="17" t="s">
        <v>1142</v>
      </c>
      <c r="P885" s="17" t="s">
        <v>1143</v>
      </c>
      <c r="Q885">
        <f>29.5-14</f>
        <v>15.5</v>
      </c>
      <c r="R885" t="s">
        <v>63</v>
      </c>
      <c r="T885">
        <v>18</v>
      </c>
      <c r="U885">
        <v>85</v>
      </c>
      <c r="V885">
        <v>17</v>
      </c>
      <c r="W885">
        <v>13</v>
      </c>
      <c r="X885">
        <v>27.8</v>
      </c>
      <c r="Z885" t="s">
        <v>145</v>
      </c>
      <c r="AA885" t="s">
        <v>260</v>
      </c>
      <c r="AB885" t="s">
        <v>121</v>
      </c>
      <c r="AC885" t="s">
        <v>122</v>
      </c>
    </row>
    <row r="886" spans="1:30" x14ac:dyDescent="0.2">
      <c r="A886" s="3">
        <v>42572</v>
      </c>
      <c r="B886" t="s">
        <v>23</v>
      </c>
      <c r="C886">
        <v>201</v>
      </c>
      <c r="D886">
        <v>4</v>
      </c>
      <c r="E886">
        <v>1</v>
      </c>
      <c r="F886" t="s">
        <v>33</v>
      </c>
      <c r="G886" t="s">
        <v>25</v>
      </c>
      <c r="H886" t="s">
        <v>26</v>
      </c>
      <c r="I886" t="s">
        <v>27</v>
      </c>
      <c r="J886" t="s">
        <v>34</v>
      </c>
      <c r="K886" t="s">
        <v>188</v>
      </c>
      <c r="L886" t="s">
        <v>35</v>
      </c>
      <c r="M886">
        <v>0</v>
      </c>
      <c r="N886">
        <v>1</v>
      </c>
      <c r="O886" s="17">
        <v>50850</v>
      </c>
      <c r="P886" s="17">
        <v>50849</v>
      </c>
      <c r="Q886">
        <f>27-10.5</f>
        <v>16.5</v>
      </c>
      <c r="R886" t="s">
        <v>39</v>
      </c>
      <c r="T886">
        <v>19</v>
      </c>
      <c r="U886">
        <v>82</v>
      </c>
      <c r="V886">
        <v>17</v>
      </c>
      <c r="W886">
        <v>12.9</v>
      </c>
      <c r="X886">
        <v>27.7</v>
      </c>
      <c r="Z886" t="s">
        <v>32</v>
      </c>
      <c r="AB886" t="s">
        <v>121</v>
      </c>
      <c r="AC886" t="s">
        <v>59</v>
      </c>
    </row>
    <row r="887" spans="1:30" x14ac:dyDescent="0.2">
      <c r="A887" s="3">
        <v>42584</v>
      </c>
      <c r="B887" t="s">
        <v>23</v>
      </c>
      <c r="C887">
        <v>201</v>
      </c>
      <c r="D887">
        <v>7</v>
      </c>
      <c r="E887">
        <v>1</v>
      </c>
      <c r="F887" t="s">
        <v>24</v>
      </c>
      <c r="G887" t="s">
        <v>25</v>
      </c>
      <c r="H887" t="s">
        <v>26</v>
      </c>
      <c r="I887" t="s">
        <v>27</v>
      </c>
      <c r="J887" t="s">
        <v>28</v>
      </c>
      <c r="K887" t="s">
        <v>188</v>
      </c>
      <c r="L887" t="s">
        <v>35</v>
      </c>
      <c r="M887">
        <v>0</v>
      </c>
      <c r="N887">
        <v>0</v>
      </c>
      <c r="O887" s="17">
        <v>50850</v>
      </c>
      <c r="P887" s="17">
        <v>50849</v>
      </c>
      <c r="Q887">
        <f>32.5-13.5</f>
        <v>19</v>
      </c>
      <c r="R887" t="s">
        <v>39</v>
      </c>
      <c r="T887">
        <v>18</v>
      </c>
      <c r="U887">
        <v>81</v>
      </c>
      <c r="V887">
        <v>17</v>
      </c>
      <c r="W887">
        <v>13.2</v>
      </c>
      <c r="X887">
        <v>26.8</v>
      </c>
      <c r="Y887" t="s">
        <v>847</v>
      </c>
      <c r="Z887" t="s">
        <v>32</v>
      </c>
      <c r="AA887" t="s">
        <v>260</v>
      </c>
      <c r="AB887" t="s">
        <v>44</v>
      </c>
      <c r="AC887" t="s">
        <v>59</v>
      </c>
    </row>
    <row r="888" spans="1:30" x14ac:dyDescent="0.2">
      <c r="A888" s="3">
        <v>42585</v>
      </c>
      <c r="B888" t="s">
        <v>23</v>
      </c>
      <c r="C888">
        <v>201</v>
      </c>
      <c r="D888">
        <v>5</v>
      </c>
      <c r="E888">
        <v>2</v>
      </c>
      <c r="F888" t="s">
        <v>24</v>
      </c>
      <c r="G888" t="s">
        <v>25</v>
      </c>
      <c r="H888" t="s">
        <v>26</v>
      </c>
      <c r="I888" t="s">
        <v>27</v>
      </c>
      <c r="J888" t="s">
        <v>28</v>
      </c>
      <c r="K888" t="s">
        <v>188</v>
      </c>
      <c r="L888" t="s">
        <v>35</v>
      </c>
      <c r="M888">
        <v>0</v>
      </c>
      <c r="N888">
        <v>0</v>
      </c>
      <c r="O888" s="17">
        <v>50850</v>
      </c>
      <c r="P888" s="17">
        <v>50849</v>
      </c>
      <c r="Q888">
        <f>32.5-14</f>
        <v>18.5</v>
      </c>
      <c r="R888" t="s">
        <v>39</v>
      </c>
      <c r="T888">
        <v>17</v>
      </c>
      <c r="U888">
        <v>80</v>
      </c>
      <c r="V888">
        <v>17</v>
      </c>
      <c r="W888">
        <v>13.4</v>
      </c>
      <c r="X888">
        <v>26.9</v>
      </c>
      <c r="Z888" t="s">
        <v>32</v>
      </c>
      <c r="AB888" t="s">
        <v>44</v>
      </c>
      <c r="AC888" t="s">
        <v>59</v>
      </c>
      <c r="AD888" t="s">
        <v>857</v>
      </c>
    </row>
    <row r="889" spans="1:30" x14ac:dyDescent="0.2">
      <c r="A889" s="3">
        <v>42586</v>
      </c>
      <c r="B889" t="s">
        <v>23</v>
      </c>
      <c r="C889">
        <v>201</v>
      </c>
      <c r="D889">
        <v>7</v>
      </c>
      <c r="E889">
        <v>1</v>
      </c>
      <c r="F889" t="s">
        <v>24</v>
      </c>
      <c r="G889" t="s">
        <v>25</v>
      </c>
      <c r="H889" t="s">
        <v>26</v>
      </c>
      <c r="I889" t="s">
        <v>27</v>
      </c>
      <c r="J889" t="s">
        <v>28</v>
      </c>
      <c r="K889" t="s">
        <v>188</v>
      </c>
      <c r="L889" t="s">
        <v>35</v>
      </c>
      <c r="M889">
        <v>0</v>
      </c>
      <c r="N889">
        <v>0</v>
      </c>
      <c r="O889" s="17">
        <v>50850</v>
      </c>
      <c r="P889" s="17">
        <v>50849</v>
      </c>
      <c r="R889" t="s">
        <v>39</v>
      </c>
      <c r="T889">
        <v>17</v>
      </c>
      <c r="U889">
        <v>77.5</v>
      </c>
      <c r="V889">
        <v>19</v>
      </c>
      <c r="W889">
        <v>13.3</v>
      </c>
      <c r="X889">
        <v>27.8</v>
      </c>
      <c r="Z889" t="s">
        <v>145</v>
      </c>
      <c r="AB889" t="s">
        <v>44</v>
      </c>
      <c r="AC889" t="s">
        <v>59</v>
      </c>
    </row>
    <row r="890" spans="1:30" x14ac:dyDescent="0.2">
      <c r="A890" s="3">
        <v>42598</v>
      </c>
      <c r="B890" t="s">
        <v>23</v>
      </c>
      <c r="C890">
        <v>201</v>
      </c>
      <c r="D890">
        <v>4</v>
      </c>
      <c r="E890">
        <v>2</v>
      </c>
      <c r="F890" t="s">
        <v>64</v>
      </c>
      <c r="G890" t="s">
        <v>25</v>
      </c>
      <c r="H890" t="s">
        <v>26</v>
      </c>
      <c r="I890" t="s">
        <v>27</v>
      </c>
      <c r="J890" t="s">
        <v>28</v>
      </c>
      <c r="K890" t="s">
        <v>188</v>
      </c>
      <c r="L890" t="s">
        <v>35</v>
      </c>
      <c r="M890">
        <v>0</v>
      </c>
      <c r="N890">
        <v>0</v>
      </c>
      <c r="O890" s="17" t="s">
        <v>1319</v>
      </c>
      <c r="P890" s="17" t="s">
        <v>1320</v>
      </c>
      <c r="Q890">
        <f>32-14</f>
        <v>18</v>
      </c>
      <c r="R890" t="s">
        <v>39</v>
      </c>
      <c r="T890">
        <v>18</v>
      </c>
      <c r="U890">
        <v>81</v>
      </c>
      <c r="V890">
        <v>14</v>
      </c>
      <c r="W890">
        <v>13</v>
      </c>
      <c r="X890">
        <v>27.2</v>
      </c>
      <c r="Y890" t="s">
        <v>1535</v>
      </c>
      <c r="Z890" t="s">
        <v>145</v>
      </c>
      <c r="AA890" t="s">
        <v>260</v>
      </c>
      <c r="AB890" t="s">
        <v>1536</v>
      </c>
      <c r="AC890" t="s">
        <v>122</v>
      </c>
      <c r="AD890" t="s">
        <v>1537</v>
      </c>
    </row>
    <row r="891" spans="1:30" x14ac:dyDescent="0.2">
      <c r="A891" s="3">
        <v>42599</v>
      </c>
      <c r="B891" t="s">
        <v>23</v>
      </c>
      <c r="C891">
        <v>201</v>
      </c>
      <c r="D891">
        <v>7</v>
      </c>
      <c r="E891">
        <v>1</v>
      </c>
      <c r="F891" t="s">
        <v>64</v>
      </c>
      <c r="G891" t="s">
        <v>25</v>
      </c>
      <c r="H891" t="s">
        <v>26</v>
      </c>
      <c r="I891" t="s">
        <v>27</v>
      </c>
      <c r="J891" t="s">
        <v>28</v>
      </c>
      <c r="K891" t="s">
        <v>188</v>
      </c>
      <c r="L891" t="s">
        <v>35</v>
      </c>
      <c r="M891">
        <v>0</v>
      </c>
      <c r="N891">
        <v>0</v>
      </c>
      <c r="O891" s="17" t="s">
        <v>1319</v>
      </c>
      <c r="P891" s="17" t="s">
        <v>1320</v>
      </c>
      <c r="Q891">
        <f>32-16</f>
        <v>16</v>
      </c>
      <c r="R891" t="s">
        <v>39</v>
      </c>
      <c r="T891">
        <v>19</v>
      </c>
      <c r="U891">
        <v>83</v>
      </c>
      <c r="V891">
        <v>16</v>
      </c>
      <c r="W891">
        <v>13.1</v>
      </c>
      <c r="X891">
        <v>27.3</v>
      </c>
      <c r="Z891" t="s">
        <v>145</v>
      </c>
      <c r="AA891" t="s">
        <v>260</v>
      </c>
      <c r="AB891" t="s">
        <v>121</v>
      </c>
      <c r="AC891" t="s">
        <v>59</v>
      </c>
      <c r="AD891" t="s">
        <v>1604</v>
      </c>
    </row>
    <row r="892" spans="1:30" x14ac:dyDescent="0.2">
      <c r="A892" s="3">
        <v>42600</v>
      </c>
      <c r="B892" t="s">
        <v>23</v>
      </c>
      <c r="C892">
        <v>201</v>
      </c>
      <c r="D892">
        <v>5</v>
      </c>
      <c r="E892">
        <v>2</v>
      </c>
      <c r="F892" t="s">
        <v>64</v>
      </c>
      <c r="G892" t="s">
        <v>25</v>
      </c>
      <c r="H892" t="s">
        <v>26</v>
      </c>
      <c r="I892" t="s">
        <v>27</v>
      </c>
      <c r="J892" t="s">
        <v>28</v>
      </c>
      <c r="K892" t="s">
        <v>188</v>
      </c>
      <c r="L892" t="s">
        <v>35</v>
      </c>
      <c r="M892">
        <v>0</v>
      </c>
      <c r="N892">
        <v>0</v>
      </c>
      <c r="O892" s="17" t="s">
        <v>1319</v>
      </c>
      <c r="P892" s="17" t="s">
        <v>1320</v>
      </c>
      <c r="Q892">
        <f>33-16</f>
        <v>17</v>
      </c>
      <c r="R892" t="s">
        <v>39</v>
      </c>
      <c r="T892">
        <v>18</v>
      </c>
      <c r="U892">
        <v>15</v>
      </c>
      <c r="V892">
        <v>84</v>
      </c>
      <c r="W892">
        <v>13</v>
      </c>
      <c r="X892">
        <v>27</v>
      </c>
      <c r="Z892" t="s">
        <v>145</v>
      </c>
      <c r="AA892" t="s">
        <v>260</v>
      </c>
      <c r="AB892" t="s">
        <v>121</v>
      </c>
      <c r="AC892" t="s">
        <v>122</v>
      </c>
    </row>
    <row r="893" spans="1:30" x14ac:dyDescent="0.2">
      <c r="A893" s="3">
        <v>42572</v>
      </c>
      <c r="B893" t="s">
        <v>23</v>
      </c>
      <c r="C893">
        <v>113</v>
      </c>
      <c r="D893">
        <v>10</v>
      </c>
      <c r="E893">
        <v>1</v>
      </c>
      <c r="F893" t="s">
        <v>24</v>
      </c>
      <c r="G893" t="s">
        <v>25</v>
      </c>
      <c r="H893" t="s">
        <v>26</v>
      </c>
      <c r="I893" t="s">
        <v>27</v>
      </c>
      <c r="J893" t="s">
        <v>34</v>
      </c>
      <c r="K893" t="s">
        <v>123</v>
      </c>
      <c r="L893" t="s">
        <v>30</v>
      </c>
      <c r="M893">
        <v>0</v>
      </c>
      <c r="N893">
        <v>1</v>
      </c>
      <c r="O893" s="17">
        <v>50852</v>
      </c>
      <c r="P893" s="17">
        <v>50851</v>
      </c>
      <c r="Q893">
        <f>19-9.5</f>
        <v>9.5</v>
      </c>
      <c r="R893" t="s">
        <v>31</v>
      </c>
      <c r="S893" t="s">
        <v>32</v>
      </c>
      <c r="T893">
        <v>18</v>
      </c>
      <c r="V893">
        <v>17</v>
      </c>
      <c r="W893">
        <v>11.5</v>
      </c>
      <c r="X893">
        <v>23.8</v>
      </c>
      <c r="Z893" t="s">
        <v>32</v>
      </c>
      <c r="AB893" t="s">
        <v>121</v>
      </c>
      <c r="AC893" t="s">
        <v>122</v>
      </c>
    </row>
    <row r="894" spans="1:30" x14ac:dyDescent="0.2">
      <c r="A894" s="3">
        <v>42572</v>
      </c>
      <c r="B894" t="s">
        <v>23</v>
      </c>
      <c r="C894">
        <v>113</v>
      </c>
      <c r="D894">
        <v>10</v>
      </c>
      <c r="E894">
        <v>2</v>
      </c>
      <c r="F894" t="s">
        <v>24</v>
      </c>
      <c r="G894" t="s">
        <v>25</v>
      </c>
      <c r="H894" t="s">
        <v>26</v>
      </c>
      <c r="I894" t="s">
        <v>27</v>
      </c>
      <c r="J894" t="s">
        <v>34</v>
      </c>
      <c r="K894" t="s">
        <v>29</v>
      </c>
      <c r="L894" t="s">
        <v>30</v>
      </c>
      <c r="M894">
        <v>0</v>
      </c>
      <c r="N894">
        <v>1</v>
      </c>
      <c r="O894" s="17">
        <v>50854</v>
      </c>
      <c r="P894" s="17">
        <v>50853</v>
      </c>
      <c r="Q894">
        <f>37-12</f>
        <v>25</v>
      </c>
      <c r="R894" t="s">
        <v>273</v>
      </c>
      <c r="S894" t="s">
        <v>145</v>
      </c>
      <c r="T894">
        <v>18</v>
      </c>
      <c r="U894">
        <v>92</v>
      </c>
      <c r="V894">
        <v>16</v>
      </c>
      <c r="W894">
        <v>13.2</v>
      </c>
      <c r="X894">
        <v>27.9</v>
      </c>
      <c r="Z894" t="s">
        <v>32</v>
      </c>
      <c r="AB894" t="s">
        <v>121</v>
      </c>
      <c r="AC894" t="s">
        <v>122</v>
      </c>
    </row>
    <row r="895" spans="1:30" x14ac:dyDescent="0.2">
      <c r="A895" s="3">
        <v>42585</v>
      </c>
      <c r="B895" t="s">
        <v>23</v>
      </c>
      <c r="C895">
        <v>113</v>
      </c>
      <c r="D895">
        <v>10</v>
      </c>
      <c r="E895">
        <v>1</v>
      </c>
      <c r="F895" t="s">
        <v>64</v>
      </c>
      <c r="G895" t="s">
        <v>25</v>
      </c>
      <c r="H895" t="s">
        <v>26</v>
      </c>
      <c r="I895" t="s">
        <v>27</v>
      </c>
      <c r="J895" t="s">
        <v>28</v>
      </c>
      <c r="K895" t="s">
        <v>29</v>
      </c>
      <c r="L895" t="s">
        <v>30</v>
      </c>
      <c r="M895">
        <v>0</v>
      </c>
      <c r="N895">
        <v>0</v>
      </c>
      <c r="O895" s="17">
        <v>50854</v>
      </c>
      <c r="P895" s="17">
        <v>50853</v>
      </c>
      <c r="Q895">
        <f>28.5-6</f>
        <v>22.5</v>
      </c>
      <c r="R895" t="s">
        <v>279</v>
      </c>
      <c r="S895" t="s">
        <v>145</v>
      </c>
      <c r="T895">
        <v>19</v>
      </c>
      <c r="U895">
        <v>95</v>
      </c>
      <c r="V895">
        <v>16</v>
      </c>
      <c r="W895">
        <v>13</v>
      </c>
      <c r="X895">
        <v>27.4</v>
      </c>
      <c r="Z895" t="s">
        <v>32</v>
      </c>
      <c r="AB895" t="s">
        <v>53</v>
      </c>
      <c r="AC895" t="s">
        <v>122</v>
      </c>
    </row>
    <row r="896" spans="1:30" x14ac:dyDescent="0.2">
      <c r="A896" s="3">
        <v>42586</v>
      </c>
      <c r="B896" t="s">
        <v>23</v>
      </c>
      <c r="C896">
        <v>113</v>
      </c>
      <c r="D896">
        <v>8</v>
      </c>
      <c r="E896">
        <v>2</v>
      </c>
      <c r="F896" t="s">
        <v>64</v>
      </c>
      <c r="G896" t="s">
        <v>25</v>
      </c>
      <c r="H896" t="s">
        <v>26</v>
      </c>
      <c r="I896" t="s">
        <v>27</v>
      </c>
      <c r="J896" t="s">
        <v>28</v>
      </c>
      <c r="K896" t="s">
        <v>29</v>
      </c>
      <c r="L896" t="s">
        <v>30</v>
      </c>
      <c r="M896">
        <v>0</v>
      </c>
      <c r="N896">
        <v>0</v>
      </c>
      <c r="O896" s="17" t="s">
        <v>987</v>
      </c>
      <c r="P896" s="17" t="s">
        <v>988</v>
      </c>
      <c r="Q896">
        <f>39-16</f>
        <v>23</v>
      </c>
      <c r="R896" t="s">
        <v>273</v>
      </c>
      <c r="S896" t="s">
        <v>145</v>
      </c>
      <c r="T896">
        <v>20</v>
      </c>
      <c r="U896">
        <v>92</v>
      </c>
      <c r="V896">
        <v>17</v>
      </c>
      <c r="W896">
        <v>12.8</v>
      </c>
      <c r="X896">
        <v>27.2</v>
      </c>
      <c r="Z896" t="s">
        <v>145</v>
      </c>
      <c r="AA896" t="s">
        <v>260</v>
      </c>
      <c r="AB896" t="s">
        <v>53</v>
      </c>
      <c r="AC896" t="s">
        <v>122</v>
      </c>
    </row>
    <row r="897" spans="1:29" x14ac:dyDescent="0.2">
      <c r="A897" s="3">
        <v>42588</v>
      </c>
      <c r="B897" t="s">
        <v>23</v>
      </c>
      <c r="C897">
        <v>113</v>
      </c>
      <c r="D897">
        <v>7</v>
      </c>
      <c r="E897">
        <v>1</v>
      </c>
      <c r="F897" t="s">
        <v>64</v>
      </c>
      <c r="G897" t="s">
        <v>25</v>
      </c>
      <c r="H897" t="s">
        <v>26</v>
      </c>
      <c r="I897" t="s">
        <v>27</v>
      </c>
      <c r="J897" t="s">
        <v>28</v>
      </c>
      <c r="K897" t="s">
        <v>29</v>
      </c>
      <c r="L897" t="s">
        <v>30</v>
      </c>
      <c r="M897">
        <v>0</v>
      </c>
      <c r="N897">
        <v>0</v>
      </c>
      <c r="O897" s="17" t="s">
        <v>987</v>
      </c>
      <c r="P897" s="17" t="s">
        <v>988</v>
      </c>
      <c r="Q897">
        <f>38-16</f>
        <v>22</v>
      </c>
      <c r="R897" t="s">
        <v>273</v>
      </c>
      <c r="S897" t="s">
        <v>145</v>
      </c>
      <c r="T897">
        <v>19</v>
      </c>
      <c r="U897">
        <v>95</v>
      </c>
      <c r="V897">
        <v>17</v>
      </c>
      <c r="W897">
        <v>12.8</v>
      </c>
      <c r="X897">
        <v>27.4</v>
      </c>
      <c r="Z897" t="s">
        <v>145</v>
      </c>
      <c r="AB897" t="s">
        <v>1220</v>
      </c>
      <c r="AC897" t="s">
        <v>59</v>
      </c>
    </row>
    <row r="898" spans="1:29" x14ac:dyDescent="0.2">
      <c r="A898" s="3">
        <v>42589</v>
      </c>
      <c r="B898" t="s">
        <v>23</v>
      </c>
      <c r="C898">
        <v>113</v>
      </c>
      <c r="D898">
        <v>8</v>
      </c>
      <c r="E898">
        <v>2</v>
      </c>
      <c r="F898" t="s">
        <v>64</v>
      </c>
      <c r="G898" t="s">
        <v>25</v>
      </c>
      <c r="H898" t="s">
        <v>26</v>
      </c>
      <c r="I898" t="s">
        <v>27</v>
      </c>
      <c r="J898" t="s">
        <v>28</v>
      </c>
      <c r="K898" t="s">
        <v>29</v>
      </c>
      <c r="L898" t="s">
        <v>30</v>
      </c>
      <c r="M898">
        <v>0</v>
      </c>
      <c r="N898">
        <v>0</v>
      </c>
      <c r="O898" s="17" t="s">
        <v>987</v>
      </c>
      <c r="P898" s="17" t="s">
        <v>988</v>
      </c>
      <c r="Q898">
        <f>37.5-15.5</f>
        <v>22</v>
      </c>
      <c r="R898" t="s">
        <v>83</v>
      </c>
      <c r="S898" t="s">
        <v>145</v>
      </c>
      <c r="T898">
        <v>19</v>
      </c>
      <c r="U898">
        <v>96</v>
      </c>
      <c r="V898">
        <v>17</v>
      </c>
      <c r="W898">
        <v>13.2</v>
      </c>
      <c r="X898">
        <v>28.8</v>
      </c>
      <c r="Z898" t="s">
        <v>145</v>
      </c>
      <c r="AA898" t="s">
        <v>260</v>
      </c>
      <c r="AB898" t="s">
        <v>121</v>
      </c>
      <c r="AC898" t="s">
        <v>59</v>
      </c>
    </row>
    <row r="899" spans="1:29" x14ac:dyDescent="0.2">
      <c r="A899" s="3">
        <v>42600</v>
      </c>
      <c r="B899" t="s">
        <v>23</v>
      </c>
      <c r="C899">
        <v>113</v>
      </c>
      <c r="D899">
        <v>9</v>
      </c>
      <c r="E899">
        <v>1</v>
      </c>
      <c r="F899" t="s">
        <v>66</v>
      </c>
      <c r="G899" t="s">
        <v>25</v>
      </c>
      <c r="H899" t="s">
        <v>26</v>
      </c>
      <c r="I899" t="s">
        <v>27</v>
      </c>
      <c r="J899" t="s">
        <v>28</v>
      </c>
      <c r="K899" t="s">
        <v>29</v>
      </c>
      <c r="L899" t="s">
        <v>30</v>
      </c>
      <c r="M899">
        <v>0</v>
      </c>
      <c r="N899">
        <v>0</v>
      </c>
      <c r="O899" s="17" t="s">
        <v>987</v>
      </c>
      <c r="P899" s="17" t="s">
        <v>988</v>
      </c>
      <c r="Q899">
        <v>23.5</v>
      </c>
      <c r="R899" t="s">
        <v>75</v>
      </c>
      <c r="S899" t="s">
        <v>145</v>
      </c>
      <c r="T899">
        <v>21</v>
      </c>
      <c r="U899">
        <v>91</v>
      </c>
      <c r="V899">
        <v>18</v>
      </c>
      <c r="W899">
        <v>14.1</v>
      </c>
      <c r="X899">
        <v>29.3</v>
      </c>
    </row>
    <row r="900" spans="1:29" x14ac:dyDescent="0.2">
      <c r="A900" s="3">
        <v>42574</v>
      </c>
      <c r="B900" t="s">
        <v>23</v>
      </c>
      <c r="C900">
        <v>801</v>
      </c>
      <c r="D900">
        <v>6</v>
      </c>
      <c r="E900">
        <v>2</v>
      </c>
      <c r="F900" t="s">
        <v>24</v>
      </c>
      <c r="G900" t="s">
        <v>25</v>
      </c>
      <c r="H900" t="s">
        <v>26</v>
      </c>
      <c r="I900" t="s">
        <v>27</v>
      </c>
      <c r="J900" t="s">
        <v>34</v>
      </c>
      <c r="K900" t="s">
        <v>188</v>
      </c>
      <c r="L900" t="s">
        <v>30</v>
      </c>
      <c r="M900">
        <v>0</v>
      </c>
      <c r="N900">
        <v>0</v>
      </c>
      <c r="O900" s="17">
        <v>50860</v>
      </c>
      <c r="P900" s="17">
        <v>50859</v>
      </c>
      <c r="Q900">
        <f>36.5-10.5</f>
        <v>26</v>
      </c>
      <c r="R900" t="s">
        <v>279</v>
      </c>
      <c r="S900" t="s">
        <v>145</v>
      </c>
      <c r="T900">
        <v>18</v>
      </c>
      <c r="U900">
        <v>95.5</v>
      </c>
      <c r="V900">
        <v>17</v>
      </c>
      <c r="W900">
        <v>12.9</v>
      </c>
      <c r="X900">
        <v>28.7</v>
      </c>
      <c r="Z900" t="s">
        <v>32</v>
      </c>
      <c r="AB900" t="s">
        <v>582</v>
      </c>
      <c r="AC900" t="s">
        <v>59</v>
      </c>
    </row>
    <row r="901" spans="1:29" x14ac:dyDescent="0.2">
      <c r="A901" s="3">
        <v>42575</v>
      </c>
      <c r="B901" t="s">
        <v>23</v>
      </c>
      <c r="C901">
        <v>801</v>
      </c>
      <c r="D901">
        <v>10</v>
      </c>
      <c r="E901">
        <v>2</v>
      </c>
      <c r="F901" t="s">
        <v>24</v>
      </c>
      <c r="G901" t="s">
        <v>25</v>
      </c>
      <c r="H901" t="s">
        <v>26</v>
      </c>
      <c r="I901" t="s">
        <v>27</v>
      </c>
      <c r="J901" t="s">
        <v>28</v>
      </c>
      <c r="K901" t="s">
        <v>188</v>
      </c>
      <c r="L901" t="s">
        <v>30</v>
      </c>
      <c r="M901">
        <v>0</v>
      </c>
      <c r="N901">
        <v>0</v>
      </c>
      <c r="O901" s="17">
        <v>50860</v>
      </c>
      <c r="P901" s="17">
        <v>50859</v>
      </c>
      <c r="Q901">
        <f>40-14</f>
        <v>26</v>
      </c>
      <c r="R901" t="s">
        <v>94</v>
      </c>
      <c r="S901" t="s">
        <v>32</v>
      </c>
      <c r="T901">
        <v>20</v>
      </c>
      <c r="U901">
        <v>96</v>
      </c>
      <c r="V901">
        <v>16</v>
      </c>
      <c r="W901">
        <v>13.2</v>
      </c>
      <c r="X901">
        <v>27.4</v>
      </c>
      <c r="Z901" t="s">
        <v>32</v>
      </c>
      <c r="AB901" t="s">
        <v>582</v>
      </c>
      <c r="AC901" t="s">
        <v>59</v>
      </c>
    </row>
    <row r="902" spans="1:29" x14ac:dyDescent="0.2">
      <c r="A902" s="3">
        <v>42576</v>
      </c>
      <c r="B902" t="s">
        <v>23</v>
      </c>
      <c r="C902">
        <v>801</v>
      </c>
      <c r="D902">
        <v>5</v>
      </c>
      <c r="E902">
        <v>2</v>
      </c>
      <c r="F902" t="s">
        <v>66</v>
      </c>
      <c r="G902" t="s">
        <v>25</v>
      </c>
      <c r="H902" t="s">
        <v>26</v>
      </c>
      <c r="I902" t="s">
        <v>27</v>
      </c>
      <c r="J902" t="s">
        <v>28</v>
      </c>
      <c r="K902" t="s">
        <v>188</v>
      </c>
      <c r="L902" t="s">
        <v>30</v>
      </c>
      <c r="M902">
        <v>0</v>
      </c>
      <c r="N902">
        <v>0</v>
      </c>
      <c r="O902" s="17">
        <v>50860</v>
      </c>
      <c r="P902" s="17">
        <v>50859</v>
      </c>
      <c r="Q902">
        <f>40-13.5</f>
        <v>26.5</v>
      </c>
      <c r="R902" t="s">
        <v>94</v>
      </c>
      <c r="S902" t="s">
        <v>32</v>
      </c>
      <c r="T902">
        <v>20</v>
      </c>
      <c r="U902">
        <v>95</v>
      </c>
      <c r="V902">
        <v>16</v>
      </c>
      <c r="W902">
        <v>13.2</v>
      </c>
      <c r="X902">
        <v>27.6</v>
      </c>
      <c r="Z902" t="s">
        <v>32</v>
      </c>
      <c r="AB902" t="s">
        <v>121</v>
      </c>
      <c r="AC902" t="s">
        <v>122</v>
      </c>
    </row>
    <row r="903" spans="1:29" x14ac:dyDescent="0.2">
      <c r="A903" s="3">
        <v>42591</v>
      </c>
      <c r="B903" t="s">
        <v>23</v>
      </c>
      <c r="C903">
        <v>801</v>
      </c>
      <c r="D903">
        <v>10</v>
      </c>
      <c r="E903">
        <v>1</v>
      </c>
      <c r="F903" t="s">
        <v>64</v>
      </c>
      <c r="G903" t="s">
        <v>25</v>
      </c>
      <c r="H903" t="s">
        <v>26</v>
      </c>
      <c r="I903" t="s">
        <v>27</v>
      </c>
      <c r="J903" t="s">
        <v>28</v>
      </c>
      <c r="K903" t="s">
        <v>29</v>
      </c>
      <c r="L903" t="s">
        <v>30</v>
      </c>
      <c r="M903">
        <v>0</v>
      </c>
      <c r="N903">
        <v>0</v>
      </c>
      <c r="O903" s="17" t="s">
        <v>1376</v>
      </c>
      <c r="P903" s="17" t="s">
        <v>1377</v>
      </c>
      <c r="Q903">
        <f>39-15</f>
        <v>24</v>
      </c>
      <c r="R903" t="s">
        <v>273</v>
      </c>
      <c r="S903" t="s">
        <v>145</v>
      </c>
      <c r="T903">
        <v>16</v>
      </c>
      <c r="U903">
        <v>98</v>
      </c>
      <c r="V903">
        <v>16</v>
      </c>
      <c r="W903">
        <v>12.9</v>
      </c>
      <c r="X903">
        <v>29.8</v>
      </c>
      <c r="Z903" t="s">
        <v>145</v>
      </c>
      <c r="AA903" t="s">
        <v>260</v>
      </c>
      <c r="AB903" t="s">
        <v>44</v>
      </c>
      <c r="AC903" t="s">
        <v>59</v>
      </c>
    </row>
    <row r="904" spans="1:29" x14ac:dyDescent="0.2">
      <c r="A904" s="3">
        <v>42592</v>
      </c>
      <c r="B904" t="s">
        <v>23</v>
      </c>
      <c r="C904">
        <v>801</v>
      </c>
      <c r="D904">
        <v>6</v>
      </c>
      <c r="E904">
        <v>2</v>
      </c>
      <c r="F904" t="s">
        <v>64</v>
      </c>
      <c r="G904" t="s">
        <v>25</v>
      </c>
      <c r="H904" t="s">
        <v>26</v>
      </c>
      <c r="I904" t="s">
        <v>27</v>
      </c>
      <c r="J904" t="s">
        <v>28</v>
      </c>
      <c r="K904" t="s">
        <v>29</v>
      </c>
      <c r="L904" t="s">
        <v>30</v>
      </c>
      <c r="M904">
        <v>0</v>
      </c>
      <c r="N904">
        <v>0</v>
      </c>
      <c r="O904" s="17" t="s">
        <v>1376</v>
      </c>
      <c r="P904" s="17" t="s">
        <v>1377</v>
      </c>
      <c r="Q904">
        <f>38-18</f>
        <v>20</v>
      </c>
      <c r="R904" t="s">
        <v>83</v>
      </c>
      <c r="S904" t="s">
        <v>145</v>
      </c>
      <c r="T904">
        <v>18</v>
      </c>
      <c r="U904">
        <v>101</v>
      </c>
      <c r="V904">
        <v>16</v>
      </c>
      <c r="W904">
        <v>12.8</v>
      </c>
      <c r="X904">
        <v>28.3</v>
      </c>
      <c r="Z904" t="s">
        <v>145</v>
      </c>
      <c r="AB904" t="s">
        <v>53</v>
      </c>
      <c r="AC904" t="s">
        <v>59</v>
      </c>
    </row>
    <row r="905" spans="1:29" x14ac:dyDescent="0.2">
      <c r="A905" s="3">
        <v>42593</v>
      </c>
      <c r="B905" t="s">
        <v>23</v>
      </c>
      <c r="C905">
        <v>801</v>
      </c>
      <c r="D905">
        <v>10</v>
      </c>
      <c r="E905">
        <v>2</v>
      </c>
      <c r="F905" t="s">
        <v>64</v>
      </c>
      <c r="G905" t="s">
        <v>25</v>
      </c>
      <c r="H905" t="s">
        <v>26</v>
      </c>
      <c r="I905" t="s">
        <v>27</v>
      </c>
      <c r="J905" t="s">
        <v>28</v>
      </c>
      <c r="K905" t="s">
        <v>29</v>
      </c>
      <c r="L905" t="s">
        <v>30</v>
      </c>
      <c r="M905">
        <v>0</v>
      </c>
      <c r="N905">
        <v>0</v>
      </c>
      <c r="O905" s="17" t="s">
        <v>1376</v>
      </c>
      <c r="P905" s="17" t="s">
        <v>1377</v>
      </c>
      <c r="Q905">
        <f>34-13</f>
        <v>21</v>
      </c>
      <c r="R905" t="s">
        <v>251</v>
      </c>
      <c r="S905" t="s">
        <v>145</v>
      </c>
      <c r="T905">
        <v>19</v>
      </c>
      <c r="U905">
        <v>99</v>
      </c>
      <c r="V905">
        <v>16</v>
      </c>
      <c r="W905">
        <v>12.8</v>
      </c>
      <c r="X905">
        <v>26.7</v>
      </c>
      <c r="Z905" t="s">
        <v>145</v>
      </c>
      <c r="AB905" t="s">
        <v>44</v>
      </c>
      <c r="AC905" t="s">
        <v>122</v>
      </c>
    </row>
    <row r="906" spans="1:29" x14ac:dyDescent="0.2">
      <c r="A906" s="3">
        <v>42574</v>
      </c>
      <c r="B906" t="s">
        <v>23</v>
      </c>
      <c r="C906">
        <v>803</v>
      </c>
      <c r="D906">
        <v>10</v>
      </c>
      <c r="E906">
        <v>2</v>
      </c>
      <c r="F906" t="s">
        <v>24</v>
      </c>
      <c r="G906" t="s">
        <v>25</v>
      </c>
      <c r="H906" t="s">
        <v>26</v>
      </c>
      <c r="I906" t="s">
        <v>27</v>
      </c>
      <c r="J906" t="s">
        <v>34</v>
      </c>
      <c r="K906" t="s">
        <v>29</v>
      </c>
      <c r="L906" t="s">
        <v>30</v>
      </c>
      <c r="M906">
        <v>0</v>
      </c>
      <c r="N906">
        <v>1</v>
      </c>
      <c r="O906" s="17">
        <v>50862</v>
      </c>
      <c r="P906" s="17">
        <v>50681</v>
      </c>
      <c r="Q906">
        <f>31.5-12</f>
        <v>19.5</v>
      </c>
      <c r="R906" t="s">
        <v>31</v>
      </c>
      <c r="S906" t="s">
        <v>32</v>
      </c>
      <c r="T906">
        <v>19</v>
      </c>
      <c r="U906">
        <v>95</v>
      </c>
      <c r="V906">
        <v>17.5</v>
      </c>
      <c r="W906">
        <v>13.1</v>
      </c>
      <c r="X906">
        <v>27</v>
      </c>
      <c r="Z906" t="s">
        <v>32</v>
      </c>
      <c r="AB906" t="s">
        <v>582</v>
      </c>
      <c r="AC906" t="s">
        <v>59</v>
      </c>
    </row>
    <row r="907" spans="1:29" x14ac:dyDescent="0.2">
      <c r="A907" s="3">
        <v>42575</v>
      </c>
      <c r="B907" t="s">
        <v>23</v>
      </c>
      <c r="C907">
        <v>803</v>
      </c>
      <c r="D907">
        <v>7</v>
      </c>
      <c r="E907">
        <v>1</v>
      </c>
      <c r="F907" t="s">
        <v>24</v>
      </c>
      <c r="G907" t="s">
        <v>25</v>
      </c>
      <c r="H907" t="s">
        <v>26</v>
      </c>
      <c r="I907" t="s">
        <v>27</v>
      </c>
      <c r="J907" t="s">
        <v>28</v>
      </c>
      <c r="K907" t="s">
        <v>29</v>
      </c>
      <c r="L907" t="s">
        <v>30</v>
      </c>
      <c r="M907">
        <v>0</v>
      </c>
      <c r="N907">
        <v>0</v>
      </c>
      <c r="O907" s="17">
        <v>50862</v>
      </c>
      <c r="P907" s="17">
        <v>50861</v>
      </c>
      <c r="Q907">
        <f>37.5-17</f>
        <v>20.5</v>
      </c>
      <c r="R907" t="s">
        <v>31</v>
      </c>
      <c r="S907" t="s">
        <v>32</v>
      </c>
      <c r="T907">
        <v>19.5</v>
      </c>
      <c r="U907">
        <v>93</v>
      </c>
      <c r="V907">
        <v>15</v>
      </c>
      <c r="W907">
        <v>13.1</v>
      </c>
      <c r="X907">
        <v>26</v>
      </c>
      <c r="Z907" t="s">
        <v>32</v>
      </c>
      <c r="AB907" t="s">
        <v>582</v>
      </c>
      <c r="AC907" t="s">
        <v>59</v>
      </c>
    </row>
    <row r="908" spans="1:29" x14ac:dyDescent="0.2">
      <c r="A908" s="3">
        <v>42576</v>
      </c>
      <c r="B908" t="s">
        <v>23</v>
      </c>
      <c r="C908">
        <v>803</v>
      </c>
      <c r="D908">
        <v>9</v>
      </c>
      <c r="E908">
        <v>1</v>
      </c>
      <c r="F908" t="s">
        <v>66</v>
      </c>
      <c r="G908" t="s">
        <v>25</v>
      </c>
      <c r="H908" t="s">
        <v>26</v>
      </c>
      <c r="I908" t="s">
        <v>27</v>
      </c>
      <c r="J908" t="s">
        <v>28</v>
      </c>
      <c r="K908" t="s">
        <v>29</v>
      </c>
      <c r="L908" t="s">
        <v>30</v>
      </c>
      <c r="M908">
        <v>0</v>
      </c>
      <c r="N908">
        <v>0</v>
      </c>
      <c r="O908" s="17">
        <v>50862</v>
      </c>
      <c r="P908" s="17">
        <v>50861</v>
      </c>
      <c r="Q908">
        <v>21</v>
      </c>
      <c r="R908" t="s">
        <v>31</v>
      </c>
      <c r="S908" t="s">
        <v>32</v>
      </c>
      <c r="T908">
        <v>19</v>
      </c>
      <c r="U908">
        <v>91</v>
      </c>
      <c r="V908">
        <v>16</v>
      </c>
      <c r="W908">
        <v>13.2</v>
      </c>
      <c r="X908">
        <v>28.5</v>
      </c>
      <c r="Z908" t="s">
        <v>32</v>
      </c>
      <c r="AB908" t="s">
        <v>121</v>
      </c>
      <c r="AC908" t="s">
        <v>122</v>
      </c>
    </row>
    <row r="909" spans="1:29" x14ac:dyDescent="0.2">
      <c r="A909" s="3">
        <v>42574</v>
      </c>
      <c r="B909" t="s">
        <v>23</v>
      </c>
      <c r="C909">
        <v>803</v>
      </c>
      <c r="D909">
        <v>7</v>
      </c>
      <c r="E909">
        <v>2</v>
      </c>
      <c r="F909" t="s">
        <v>24</v>
      </c>
      <c r="G909" t="s">
        <v>25</v>
      </c>
      <c r="H909" t="s">
        <v>26</v>
      </c>
      <c r="I909" t="s">
        <v>27</v>
      </c>
      <c r="J909" t="s">
        <v>34</v>
      </c>
      <c r="K909" t="s">
        <v>188</v>
      </c>
      <c r="L909" t="s">
        <v>35</v>
      </c>
      <c r="M909">
        <v>0</v>
      </c>
      <c r="N909">
        <v>1</v>
      </c>
      <c r="O909" s="17">
        <v>50864</v>
      </c>
      <c r="P909" s="17">
        <v>50863</v>
      </c>
      <c r="Q909">
        <f>33.5-15.5</f>
        <v>18</v>
      </c>
      <c r="R909" t="s">
        <v>39</v>
      </c>
      <c r="T909">
        <v>18</v>
      </c>
      <c r="U909">
        <v>82</v>
      </c>
      <c r="V909">
        <v>16</v>
      </c>
      <c r="W909">
        <v>13.1</v>
      </c>
      <c r="X909">
        <v>28.7</v>
      </c>
      <c r="Z909" t="s">
        <v>32</v>
      </c>
      <c r="AB909" t="s">
        <v>582</v>
      </c>
      <c r="AC909" t="s">
        <v>59</v>
      </c>
    </row>
    <row r="910" spans="1:29" x14ac:dyDescent="0.2">
      <c r="A910" s="3">
        <v>42575</v>
      </c>
      <c r="B910" t="s">
        <v>23</v>
      </c>
      <c r="C910">
        <v>803</v>
      </c>
      <c r="D910">
        <v>9</v>
      </c>
      <c r="E910">
        <v>2</v>
      </c>
      <c r="F910" t="s">
        <v>24</v>
      </c>
      <c r="G910" t="s">
        <v>25</v>
      </c>
      <c r="H910" t="s">
        <v>26</v>
      </c>
      <c r="I910" t="s">
        <v>27</v>
      </c>
      <c r="J910" t="s">
        <v>28</v>
      </c>
      <c r="K910" t="s">
        <v>188</v>
      </c>
      <c r="L910" t="s">
        <v>35</v>
      </c>
      <c r="M910">
        <v>0</v>
      </c>
      <c r="N910">
        <v>0</v>
      </c>
      <c r="O910" s="17">
        <v>50864</v>
      </c>
      <c r="P910" s="17">
        <v>50863</v>
      </c>
      <c r="Q910">
        <f>30-13</f>
        <v>17</v>
      </c>
      <c r="R910" t="s">
        <v>39</v>
      </c>
      <c r="T910">
        <v>18</v>
      </c>
      <c r="U910">
        <v>82</v>
      </c>
      <c r="V910">
        <v>17</v>
      </c>
      <c r="W910">
        <v>13</v>
      </c>
      <c r="X910">
        <v>27.95</v>
      </c>
      <c r="Z910" t="s">
        <v>32</v>
      </c>
      <c r="AB910" t="s">
        <v>582</v>
      </c>
      <c r="AC910" t="s">
        <v>59</v>
      </c>
    </row>
    <row r="911" spans="1:29" x14ac:dyDescent="0.2">
      <c r="A911" s="3">
        <v>42576</v>
      </c>
      <c r="B911" t="s">
        <v>23</v>
      </c>
      <c r="C911">
        <v>803</v>
      </c>
      <c r="D911">
        <v>7</v>
      </c>
      <c r="E911">
        <v>2</v>
      </c>
      <c r="F911" t="s">
        <v>24</v>
      </c>
      <c r="G911" t="s">
        <v>25</v>
      </c>
      <c r="H911" t="s">
        <v>26</v>
      </c>
      <c r="I911" t="s">
        <v>27</v>
      </c>
      <c r="J911" t="s">
        <v>28</v>
      </c>
      <c r="K911" t="s">
        <v>188</v>
      </c>
      <c r="L911" t="s">
        <v>35</v>
      </c>
      <c r="M911">
        <v>0</v>
      </c>
      <c r="N911">
        <v>0</v>
      </c>
      <c r="O911" s="17">
        <v>50864</v>
      </c>
      <c r="P911" s="17">
        <v>50863</v>
      </c>
      <c r="Q911">
        <f>26.5-10</f>
        <v>16.5</v>
      </c>
      <c r="R911" t="s">
        <v>63</v>
      </c>
      <c r="T911">
        <v>19</v>
      </c>
      <c r="U911">
        <v>82</v>
      </c>
      <c r="V911">
        <v>16</v>
      </c>
      <c r="W911">
        <v>13.1</v>
      </c>
      <c r="X911">
        <v>27</v>
      </c>
      <c r="Z911" t="s">
        <v>32</v>
      </c>
      <c r="AB911" t="s">
        <v>121</v>
      </c>
      <c r="AC911" t="s">
        <v>122</v>
      </c>
    </row>
    <row r="912" spans="1:29" x14ac:dyDescent="0.2">
      <c r="A912" s="3">
        <v>42575</v>
      </c>
      <c r="B912" t="s">
        <v>23</v>
      </c>
      <c r="C912">
        <v>703</v>
      </c>
      <c r="D912">
        <v>9</v>
      </c>
      <c r="E912">
        <v>2</v>
      </c>
      <c r="F912" t="s">
        <v>24</v>
      </c>
      <c r="G912" t="s">
        <v>25</v>
      </c>
      <c r="H912" t="s">
        <v>26</v>
      </c>
      <c r="I912" t="s">
        <v>27</v>
      </c>
      <c r="J912" t="s">
        <v>34</v>
      </c>
      <c r="K912" t="s">
        <v>29</v>
      </c>
      <c r="L912" t="s">
        <v>35</v>
      </c>
      <c r="M912">
        <v>0</v>
      </c>
      <c r="N912">
        <v>0</v>
      </c>
      <c r="O912" s="17">
        <v>50866</v>
      </c>
      <c r="P912" s="17">
        <v>50865</v>
      </c>
      <c r="Q912">
        <f>32-11</f>
        <v>21</v>
      </c>
      <c r="R912" t="s">
        <v>39</v>
      </c>
      <c r="S912" t="s">
        <v>32</v>
      </c>
      <c r="T912">
        <v>20</v>
      </c>
      <c r="U912">
        <v>94</v>
      </c>
      <c r="V912">
        <v>17.5</v>
      </c>
      <c r="W912">
        <v>13.7</v>
      </c>
      <c r="X912">
        <v>28.1</v>
      </c>
      <c r="Z912" t="s">
        <v>32</v>
      </c>
      <c r="AB912" t="s">
        <v>582</v>
      </c>
      <c r="AC912" t="s">
        <v>59</v>
      </c>
    </row>
    <row r="913" spans="1:30" x14ac:dyDescent="0.2">
      <c r="A913" s="3">
        <v>42591</v>
      </c>
      <c r="B913" t="s">
        <v>23</v>
      </c>
      <c r="C913">
        <v>703</v>
      </c>
      <c r="D913">
        <v>2</v>
      </c>
      <c r="E913">
        <v>1</v>
      </c>
      <c r="F913" t="s">
        <v>64</v>
      </c>
      <c r="G913" t="s">
        <v>25</v>
      </c>
      <c r="H913" t="s">
        <v>26</v>
      </c>
      <c r="I913" t="s">
        <v>27</v>
      </c>
      <c r="J913" t="s">
        <v>28</v>
      </c>
      <c r="K913" t="s">
        <v>29</v>
      </c>
      <c r="L913" t="s">
        <v>35</v>
      </c>
      <c r="M913">
        <v>0</v>
      </c>
      <c r="N913">
        <v>0</v>
      </c>
      <c r="O913" s="17" t="s">
        <v>1337</v>
      </c>
      <c r="P913" s="17" t="s">
        <v>1338</v>
      </c>
      <c r="Q913">
        <f>38-15</f>
        <v>23</v>
      </c>
      <c r="R913" t="s">
        <v>39</v>
      </c>
      <c r="T913">
        <v>20</v>
      </c>
      <c r="U913">
        <v>91</v>
      </c>
      <c r="V913">
        <v>16</v>
      </c>
      <c r="W913">
        <v>13.4</v>
      </c>
      <c r="X913">
        <v>27.3</v>
      </c>
      <c r="Z913" t="s">
        <v>145</v>
      </c>
      <c r="AA913" t="s">
        <v>260</v>
      </c>
      <c r="AB913" t="s">
        <v>44</v>
      </c>
      <c r="AC913" t="s">
        <v>59</v>
      </c>
    </row>
    <row r="914" spans="1:30" x14ac:dyDescent="0.2">
      <c r="A914" s="3">
        <v>42592</v>
      </c>
      <c r="B914" t="s">
        <v>23</v>
      </c>
      <c r="C914">
        <v>703</v>
      </c>
      <c r="D914">
        <v>10</v>
      </c>
      <c r="E914">
        <v>2</v>
      </c>
      <c r="F914" t="s">
        <v>64</v>
      </c>
      <c r="G914" t="s">
        <v>25</v>
      </c>
      <c r="H914" t="s">
        <v>26</v>
      </c>
      <c r="I914" t="s">
        <v>27</v>
      </c>
      <c r="J914" t="s">
        <v>28</v>
      </c>
      <c r="K914" t="s">
        <v>29</v>
      </c>
      <c r="L914" t="s">
        <v>35</v>
      </c>
      <c r="M914">
        <v>0</v>
      </c>
      <c r="N914">
        <v>0</v>
      </c>
      <c r="O914" s="17" t="s">
        <v>1337</v>
      </c>
      <c r="P914" s="17" t="s">
        <v>1338</v>
      </c>
      <c r="Q914">
        <f>36-16</f>
        <v>20</v>
      </c>
      <c r="R914" t="s">
        <v>63</v>
      </c>
      <c r="T914">
        <v>20</v>
      </c>
      <c r="U914">
        <v>94</v>
      </c>
      <c r="V914">
        <v>16</v>
      </c>
      <c r="W914">
        <v>13</v>
      </c>
      <c r="X914">
        <v>26.9</v>
      </c>
      <c r="Z914" t="s">
        <v>145</v>
      </c>
      <c r="AA914" t="s">
        <v>260</v>
      </c>
      <c r="AB914" t="s">
        <v>53</v>
      </c>
      <c r="AC914" t="s">
        <v>59</v>
      </c>
    </row>
    <row r="915" spans="1:30" x14ac:dyDescent="0.2">
      <c r="A915" s="3">
        <v>42593</v>
      </c>
      <c r="B915" t="s">
        <v>23</v>
      </c>
      <c r="C915">
        <v>703</v>
      </c>
      <c r="D915">
        <v>6</v>
      </c>
      <c r="E915">
        <v>1</v>
      </c>
      <c r="F915" t="s">
        <v>64</v>
      </c>
      <c r="G915" t="s">
        <v>25</v>
      </c>
      <c r="H915" t="s">
        <v>26</v>
      </c>
      <c r="I915" t="s">
        <v>27</v>
      </c>
      <c r="J915" t="s">
        <v>28</v>
      </c>
      <c r="K915" t="s">
        <v>29</v>
      </c>
      <c r="L915" t="s">
        <v>35</v>
      </c>
      <c r="M915">
        <v>0</v>
      </c>
      <c r="N915">
        <v>0</v>
      </c>
      <c r="O915" s="17" t="s">
        <v>1337</v>
      </c>
      <c r="P915" s="17" t="s">
        <v>1338</v>
      </c>
      <c r="Q915">
        <f>36-14.5</f>
        <v>21.5</v>
      </c>
      <c r="R915" t="s">
        <v>63</v>
      </c>
      <c r="T915">
        <v>20</v>
      </c>
      <c r="U915">
        <v>96</v>
      </c>
      <c r="V915">
        <v>16</v>
      </c>
      <c r="W915">
        <v>12.8</v>
      </c>
      <c r="X915">
        <v>27.1</v>
      </c>
      <c r="Z915" t="s">
        <v>145</v>
      </c>
      <c r="AB915" t="s">
        <v>44</v>
      </c>
      <c r="AC915" t="s">
        <v>122</v>
      </c>
    </row>
    <row r="916" spans="1:30" x14ac:dyDescent="0.2">
      <c r="A916" s="3">
        <v>42604</v>
      </c>
      <c r="B916" t="s">
        <v>23</v>
      </c>
      <c r="C916">
        <v>703</v>
      </c>
      <c r="D916">
        <v>9</v>
      </c>
      <c r="E916">
        <v>2</v>
      </c>
      <c r="F916" t="s">
        <v>24</v>
      </c>
      <c r="G916" t="s">
        <v>25</v>
      </c>
      <c r="H916" t="s">
        <v>26</v>
      </c>
      <c r="I916" t="s">
        <v>27</v>
      </c>
      <c r="J916" t="s">
        <v>28</v>
      </c>
      <c r="K916" t="s">
        <v>29</v>
      </c>
      <c r="L916" t="s">
        <v>35</v>
      </c>
      <c r="M916">
        <v>0</v>
      </c>
      <c r="N916">
        <v>0</v>
      </c>
      <c r="O916" s="17" t="s">
        <v>1337</v>
      </c>
      <c r="P916" s="17" t="s">
        <v>1338</v>
      </c>
      <c r="Q916">
        <f>36.5-14</f>
        <v>22.5</v>
      </c>
      <c r="R916" t="s">
        <v>63</v>
      </c>
      <c r="T916">
        <v>20</v>
      </c>
      <c r="U916">
        <v>94</v>
      </c>
      <c r="V916">
        <v>19</v>
      </c>
      <c r="W916">
        <v>13.8</v>
      </c>
      <c r="X916">
        <v>27.5</v>
      </c>
      <c r="Y916" t="s">
        <v>1870</v>
      </c>
      <c r="AB916" t="s">
        <v>582</v>
      </c>
      <c r="AC916" t="s">
        <v>116</v>
      </c>
    </row>
    <row r="917" spans="1:30" x14ac:dyDescent="0.2">
      <c r="A917" s="3">
        <v>42605</v>
      </c>
      <c r="B917" t="s">
        <v>23</v>
      </c>
      <c r="C917">
        <v>703</v>
      </c>
      <c r="D917">
        <v>8</v>
      </c>
      <c r="E917">
        <v>2</v>
      </c>
      <c r="F917" t="s">
        <v>24</v>
      </c>
      <c r="G917" t="s">
        <v>25</v>
      </c>
      <c r="H917" t="s">
        <v>26</v>
      </c>
      <c r="I917" t="s">
        <v>27</v>
      </c>
      <c r="J917" t="s">
        <v>28</v>
      </c>
      <c r="K917" t="s">
        <v>29</v>
      </c>
      <c r="L917" t="s">
        <v>35</v>
      </c>
      <c r="M917">
        <v>0</v>
      </c>
      <c r="N917">
        <v>0</v>
      </c>
      <c r="O917" s="17" t="s">
        <v>1337</v>
      </c>
      <c r="P917" s="17" t="s">
        <v>1338</v>
      </c>
      <c r="Q917">
        <f>33-13</f>
        <v>20</v>
      </c>
      <c r="R917" t="s">
        <v>63</v>
      </c>
      <c r="T917">
        <v>20</v>
      </c>
      <c r="U917">
        <v>90</v>
      </c>
      <c r="V917">
        <v>18</v>
      </c>
      <c r="W917">
        <v>13.6</v>
      </c>
      <c r="X917">
        <v>26.5</v>
      </c>
      <c r="AB917" t="s">
        <v>44</v>
      </c>
      <c r="AC917" t="s">
        <v>59</v>
      </c>
    </row>
    <row r="918" spans="1:30" x14ac:dyDescent="0.2">
      <c r="A918" s="3">
        <v>42575</v>
      </c>
      <c r="B918" t="s">
        <v>23</v>
      </c>
      <c r="C918">
        <v>801</v>
      </c>
      <c r="D918">
        <v>1</v>
      </c>
      <c r="E918">
        <v>1</v>
      </c>
      <c r="F918" t="s">
        <v>24</v>
      </c>
      <c r="G918" t="s">
        <v>25</v>
      </c>
      <c r="H918" t="s">
        <v>26</v>
      </c>
      <c r="I918" t="s">
        <v>27</v>
      </c>
      <c r="J918" t="s">
        <v>34</v>
      </c>
      <c r="K918" t="s">
        <v>188</v>
      </c>
      <c r="L918" t="s">
        <v>30</v>
      </c>
      <c r="M918">
        <v>0</v>
      </c>
      <c r="N918">
        <v>1</v>
      </c>
      <c r="O918" s="17">
        <v>50868</v>
      </c>
      <c r="P918" s="17">
        <v>50867</v>
      </c>
      <c r="Q918">
        <f>27-10.5</f>
        <v>16.5</v>
      </c>
      <c r="R918" t="s">
        <v>31</v>
      </c>
      <c r="S918" t="s">
        <v>32</v>
      </c>
      <c r="T918">
        <v>18</v>
      </c>
      <c r="U918">
        <v>72</v>
      </c>
      <c r="V918">
        <v>16</v>
      </c>
      <c r="W918">
        <v>12.5</v>
      </c>
      <c r="X918">
        <v>25.3</v>
      </c>
      <c r="Z918" t="s">
        <v>32</v>
      </c>
      <c r="AB918" t="s">
        <v>582</v>
      </c>
      <c r="AC918" t="s">
        <v>59</v>
      </c>
    </row>
    <row r="919" spans="1:30" x14ac:dyDescent="0.2">
      <c r="A919" s="3">
        <v>42576</v>
      </c>
      <c r="B919" t="s">
        <v>23</v>
      </c>
      <c r="C919">
        <v>801</v>
      </c>
      <c r="D919">
        <v>1</v>
      </c>
      <c r="E919">
        <v>1</v>
      </c>
      <c r="F919" t="s">
        <v>66</v>
      </c>
      <c r="G919" t="s">
        <v>25</v>
      </c>
      <c r="H919" t="s">
        <v>26</v>
      </c>
      <c r="I919" t="s">
        <v>27</v>
      </c>
      <c r="J919" t="s">
        <v>28</v>
      </c>
      <c r="K919" t="s">
        <v>188</v>
      </c>
      <c r="L919" t="s">
        <v>30</v>
      </c>
      <c r="M919">
        <v>0</v>
      </c>
      <c r="N919">
        <v>0</v>
      </c>
      <c r="O919" s="17">
        <v>50868</v>
      </c>
      <c r="P919" s="17">
        <v>50867</v>
      </c>
      <c r="Q919">
        <f>24-9</f>
        <v>15</v>
      </c>
      <c r="R919" t="s">
        <v>31</v>
      </c>
      <c r="S919" t="s">
        <v>32</v>
      </c>
      <c r="T919">
        <v>19</v>
      </c>
      <c r="U919">
        <v>71</v>
      </c>
      <c r="V919">
        <v>16</v>
      </c>
      <c r="W919">
        <v>11.4</v>
      </c>
      <c r="X919">
        <v>28.8</v>
      </c>
      <c r="Z919" t="s">
        <v>32</v>
      </c>
      <c r="AB919" t="s">
        <v>121</v>
      </c>
      <c r="AC919" t="s">
        <v>122</v>
      </c>
    </row>
    <row r="920" spans="1:30" x14ac:dyDescent="0.2">
      <c r="A920" s="3">
        <v>42575</v>
      </c>
      <c r="B920" t="s">
        <v>23</v>
      </c>
      <c r="C920">
        <v>803</v>
      </c>
      <c r="D920">
        <v>3</v>
      </c>
      <c r="E920">
        <v>1</v>
      </c>
      <c r="F920" t="s">
        <v>24</v>
      </c>
      <c r="G920" t="s">
        <v>25</v>
      </c>
      <c r="H920" t="s">
        <v>26</v>
      </c>
      <c r="I920" t="s">
        <v>27</v>
      </c>
      <c r="J920" t="s">
        <v>34</v>
      </c>
      <c r="K920" t="s">
        <v>188</v>
      </c>
      <c r="L920" t="s">
        <v>35</v>
      </c>
      <c r="M920">
        <v>0</v>
      </c>
      <c r="N920">
        <v>1</v>
      </c>
      <c r="O920" s="17">
        <v>50870</v>
      </c>
      <c r="P920" s="17">
        <v>50869</v>
      </c>
      <c r="Q920">
        <f>33-13.5</f>
        <v>19.5</v>
      </c>
      <c r="R920" t="s">
        <v>39</v>
      </c>
      <c r="S920" t="s">
        <v>32</v>
      </c>
      <c r="T920">
        <v>18.5</v>
      </c>
      <c r="U920">
        <v>78.5</v>
      </c>
      <c r="V920">
        <v>13</v>
      </c>
      <c r="W920">
        <v>12.5</v>
      </c>
      <c r="X920">
        <v>27.4</v>
      </c>
      <c r="Z920" t="s">
        <v>32</v>
      </c>
      <c r="AB920" t="s">
        <v>582</v>
      </c>
      <c r="AC920" t="s">
        <v>59</v>
      </c>
    </row>
    <row r="921" spans="1:30" x14ac:dyDescent="0.2">
      <c r="A921" s="3">
        <v>42576</v>
      </c>
      <c r="B921" t="s">
        <v>23</v>
      </c>
      <c r="C921">
        <v>801</v>
      </c>
      <c r="D921">
        <v>2</v>
      </c>
      <c r="E921">
        <v>2</v>
      </c>
      <c r="F921" t="s">
        <v>24</v>
      </c>
      <c r="G921" t="s">
        <v>25</v>
      </c>
      <c r="H921" t="s">
        <v>26</v>
      </c>
      <c r="I921" t="s">
        <v>27</v>
      </c>
      <c r="J921" t="s">
        <v>34</v>
      </c>
      <c r="K921" t="s">
        <v>123</v>
      </c>
      <c r="L921" t="s">
        <v>30</v>
      </c>
      <c r="M921">
        <v>0</v>
      </c>
      <c r="N921">
        <v>1</v>
      </c>
      <c r="O921" s="17">
        <v>50872</v>
      </c>
      <c r="P921" s="17">
        <v>50871</v>
      </c>
      <c r="Q921">
        <f>24.5-12.5</f>
        <v>12</v>
      </c>
      <c r="R921" t="s">
        <v>31</v>
      </c>
      <c r="S921" t="s">
        <v>32</v>
      </c>
      <c r="T921">
        <v>20</v>
      </c>
      <c r="U921">
        <v>74.5</v>
      </c>
      <c r="V921">
        <v>15</v>
      </c>
      <c r="W921">
        <v>12.3</v>
      </c>
      <c r="X921">
        <v>27.9</v>
      </c>
      <c r="Z921" t="s">
        <v>32</v>
      </c>
      <c r="AB921" t="s">
        <v>121</v>
      </c>
      <c r="AC921" t="s">
        <v>122</v>
      </c>
    </row>
    <row r="922" spans="1:30" x14ac:dyDescent="0.2">
      <c r="A922" s="3">
        <v>42593</v>
      </c>
      <c r="B922" t="s">
        <v>23</v>
      </c>
      <c r="C922">
        <v>801</v>
      </c>
      <c r="D922">
        <v>2</v>
      </c>
      <c r="E922">
        <v>1</v>
      </c>
      <c r="F922" t="s">
        <v>64</v>
      </c>
      <c r="G922" t="s">
        <v>25</v>
      </c>
      <c r="H922" t="s">
        <v>26</v>
      </c>
      <c r="I922" t="s">
        <v>27</v>
      </c>
      <c r="J922" t="s">
        <v>28</v>
      </c>
      <c r="K922" t="s">
        <v>188</v>
      </c>
      <c r="L922" t="s">
        <v>30</v>
      </c>
      <c r="M922">
        <v>0</v>
      </c>
      <c r="N922">
        <v>0</v>
      </c>
      <c r="O922" s="17" t="s">
        <v>1500</v>
      </c>
      <c r="P922" s="17" t="s">
        <v>1501</v>
      </c>
      <c r="Q922">
        <f>31-15</f>
        <v>16</v>
      </c>
      <c r="R922" t="s">
        <v>31</v>
      </c>
      <c r="S922" t="s">
        <v>32</v>
      </c>
      <c r="T922">
        <v>20</v>
      </c>
      <c r="U922">
        <v>83</v>
      </c>
      <c r="V922">
        <v>14</v>
      </c>
      <c r="W922">
        <v>12.6</v>
      </c>
      <c r="X922">
        <v>27.5</v>
      </c>
      <c r="Z922" t="s">
        <v>145</v>
      </c>
      <c r="AA922" t="s">
        <v>260</v>
      </c>
      <c r="AB922" t="s">
        <v>44</v>
      </c>
      <c r="AC922" t="s">
        <v>122</v>
      </c>
    </row>
    <row r="923" spans="1:30" x14ac:dyDescent="0.2">
      <c r="A923" s="3">
        <v>42604</v>
      </c>
      <c r="B923" t="s">
        <v>23</v>
      </c>
      <c r="C923">
        <v>801</v>
      </c>
      <c r="D923">
        <v>9</v>
      </c>
      <c r="E923">
        <v>1</v>
      </c>
      <c r="F923" t="s">
        <v>24</v>
      </c>
      <c r="G923" t="s">
        <v>25</v>
      </c>
      <c r="H923" t="s">
        <v>26</v>
      </c>
      <c r="I923" t="s">
        <v>27</v>
      </c>
      <c r="J923" t="s">
        <v>28</v>
      </c>
      <c r="K923" t="s">
        <v>188</v>
      </c>
      <c r="L923" t="s">
        <v>30</v>
      </c>
      <c r="M923">
        <v>0</v>
      </c>
      <c r="N923">
        <v>0</v>
      </c>
      <c r="O923" s="17" t="s">
        <v>1500</v>
      </c>
      <c r="P923" s="17" t="s">
        <v>1501</v>
      </c>
      <c r="Q923">
        <f>33.5-15.5</f>
        <v>18</v>
      </c>
      <c r="R923" t="s">
        <v>31</v>
      </c>
      <c r="S923" t="s">
        <v>32</v>
      </c>
      <c r="T923">
        <v>19</v>
      </c>
      <c r="U923">
        <v>84</v>
      </c>
      <c r="V923">
        <v>16</v>
      </c>
      <c r="W923">
        <v>12.85</v>
      </c>
      <c r="X923">
        <v>27.3</v>
      </c>
      <c r="AB923" t="s">
        <v>582</v>
      </c>
      <c r="AC923" t="s">
        <v>116</v>
      </c>
    </row>
    <row r="924" spans="1:30" x14ac:dyDescent="0.2">
      <c r="A924" s="3">
        <v>42576</v>
      </c>
      <c r="B924" t="s">
        <v>23</v>
      </c>
      <c r="C924">
        <v>801</v>
      </c>
      <c r="D924">
        <v>4</v>
      </c>
      <c r="E924">
        <v>1</v>
      </c>
      <c r="F924" t="s">
        <v>24</v>
      </c>
      <c r="G924" t="s">
        <v>25</v>
      </c>
      <c r="H924" t="s">
        <v>26</v>
      </c>
      <c r="I924" t="s">
        <v>27</v>
      </c>
      <c r="J924" t="s">
        <v>34</v>
      </c>
      <c r="K924" t="s">
        <v>123</v>
      </c>
      <c r="L924" t="s">
        <v>30</v>
      </c>
      <c r="M924">
        <v>0</v>
      </c>
      <c r="N924">
        <v>1</v>
      </c>
      <c r="O924" s="17">
        <v>50874</v>
      </c>
      <c r="P924" s="17">
        <v>50873</v>
      </c>
      <c r="Q924">
        <f>22.5-10.5</f>
        <v>12</v>
      </c>
      <c r="R924" t="s">
        <v>31</v>
      </c>
      <c r="S924" t="s">
        <v>32</v>
      </c>
      <c r="T924">
        <v>19</v>
      </c>
      <c r="U924">
        <v>77.5</v>
      </c>
      <c r="V924">
        <v>15</v>
      </c>
      <c r="W924">
        <v>12.3</v>
      </c>
      <c r="X924">
        <v>26.3</v>
      </c>
      <c r="Z924" t="s">
        <v>32</v>
      </c>
      <c r="AB924" t="s">
        <v>121</v>
      </c>
      <c r="AC924" t="s">
        <v>122</v>
      </c>
    </row>
    <row r="925" spans="1:30" x14ac:dyDescent="0.2">
      <c r="A925" s="3">
        <v>42593</v>
      </c>
      <c r="B925" t="s">
        <v>23</v>
      </c>
      <c r="C925">
        <v>801</v>
      </c>
      <c r="D925">
        <v>4</v>
      </c>
      <c r="E925">
        <v>2</v>
      </c>
      <c r="F925" t="s">
        <v>64</v>
      </c>
      <c r="G925" t="s">
        <v>25</v>
      </c>
      <c r="H925" t="s">
        <v>26</v>
      </c>
      <c r="I925" t="s">
        <v>27</v>
      </c>
      <c r="J925" t="s">
        <v>28</v>
      </c>
      <c r="K925" t="s">
        <v>123</v>
      </c>
      <c r="L925" t="s">
        <v>30</v>
      </c>
      <c r="M925">
        <v>0</v>
      </c>
      <c r="N925">
        <v>0</v>
      </c>
      <c r="O925" s="17" t="s">
        <v>1510</v>
      </c>
      <c r="P925" s="17" t="s">
        <v>1511</v>
      </c>
      <c r="Q925">
        <f>29-14</f>
        <v>15</v>
      </c>
      <c r="R925" t="s">
        <v>31</v>
      </c>
      <c r="S925" t="s">
        <v>32</v>
      </c>
      <c r="T925">
        <v>20</v>
      </c>
      <c r="U925">
        <v>84</v>
      </c>
      <c r="V925">
        <v>17</v>
      </c>
      <c r="W925">
        <v>12.7</v>
      </c>
      <c r="X925">
        <v>26.2</v>
      </c>
      <c r="Z925" t="s">
        <v>32</v>
      </c>
      <c r="AB925" t="s">
        <v>44</v>
      </c>
      <c r="AC925" t="s">
        <v>122</v>
      </c>
      <c r="AD925" t="s">
        <v>1512</v>
      </c>
    </row>
    <row r="926" spans="1:30" x14ac:dyDescent="0.2">
      <c r="A926" s="3">
        <v>42576</v>
      </c>
      <c r="B926" t="s">
        <v>23</v>
      </c>
      <c r="C926">
        <v>801</v>
      </c>
      <c r="D926">
        <v>4</v>
      </c>
      <c r="E926">
        <v>2</v>
      </c>
      <c r="F926" t="s">
        <v>24</v>
      </c>
      <c r="G926" t="s">
        <v>25</v>
      </c>
      <c r="H926" t="s">
        <v>26</v>
      </c>
      <c r="I926" t="s">
        <v>27</v>
      </c>
      <c r="J926" t="s">
        <v>34</v>
      </c>
      <c r="K926" t="s">
        <v>123</v>
      </c>
      <c r="L926" t="s">
        <v>30</v>
      </c>
      <c r="M926">
        <v>0</v>
      </c>
      <c r="N926">
        <v>1</v>
      </c>
      <c r="O926" s="17">
        <v>50875</v>
      </c>
      <c r="P926" s="17">
        <v>50925</v>
      </c>
      <c r="Q926">
        <v>11</v>
      </c>
      <c r="R926" t="s">
        <v>31</v>
      </c>
      <c r="S926" t="s">
        <v>32</v>
      </c>
      <c r="T926">
        <v>19</v>
      </c>
      <c r="U926">
        <v>77</v>
      </c>
      <c r="V926">
        <v>17</v>
      </c>
      <c r="W926">
        <v>12.3</v>
      </c>
      <c r="X926">
        <v>27.4</v>
      </c>
      <c r="Z926" t="s">
        <v>32</v>
      </c>
      <c r="AB926" t="s">
        <v>121</v>
      </c>
      <c r="AC926" t="s">
        <v>122</v>
      </c>
    </row>
    <row r="927" spans="1:30" x14ac:dyDescent="0.2">
      <c r="A927" s="3">
        <v>42593</v>
      </c>
      <c r="B927" t="s">
        <v>23</v>
      </c>
      <c r="C927">
        <v>801</v>
      </c>
      <c r="D927">
        <v>8</v>
      </c>
      <c r="E927">
        <v>1</v>
      </c>
      <c r="F927" t="s">
        <v>64</v>
      </c>
      <c r="G927" t="s">
        <v>25</v>
      </c>
      <c r="H927" t="s">
        <v>26</v>
      </c>
      <c r="I927" t="s">
        <v>27</v>
      </c>
      <c r="J927" t="s">
        <v>28</v>
      </c>
      <c r="K927" t="s">
        <v>123</v>
      </c>
      <c r="L927" t="s">
        <v>30</v>
      </c>
      <c r="M927">
        <v>0</v>
      </c>
      <c r="N927">
        <v>0</v>
      </c>
      <c r="O927" s="17" t="s">
        <v>1517</v>
      </c>
      <c r="P927" s="17" t="s">
        <v>1518</v>
      </c>
      <c r="Q927">
        <f>31-16</f>
        <v>15</v>
      </c>
      <c r="R927" t="s">
        <v>31</v>
      </c>
      <c r="S927" t="s">
        <v>32</v>
      </c>
      <c r="T927">
        <v>21</v>
      </c>
      <c r="U927">
        <v>92</v>
      </c>
      <c r="V927">
        <v>16</v>
      </c>
      <c r="W927">
        <v>12.4</v>
      </c>
      <c r="X927">
        <v>27</v>
      </c>
      <c r="Z927" t="s">
        <v>145</v>
      </c>
      <c r="AA927" t="s">
        <v>260</v>
      </c>
      <c r="AB927" t="s">
        <v>44</v>
      </c>
      <c r="AC927" t="s">
        <v>122</v>
      </c>
      <c r="AD927" t="s">
        <v>1519</v>
      </c>
    </row>
    <row r="928" spans="1:30" x14ac:dyDescent="0.2">
      <c r="A928" s="3">
        <v>42605</v>
      </c>
      <c r="B928" t="s">
        <v>23</v>
      </c>
      <c r="C928">
        <v>801</v>
      </c>
      <c r="D928">
        <v>7</v>
      </c>
      <c r="E928">
        <v>2</v>
      </c>
      <c r="F928" t="s">
        <v>24</v>
      </c>
      <c r="G928" t="s">
        <v>25</v>
      </c>
      <c r="H928" t="s">
        <v>26</v>
      </c>
      <c r="I928" t="s">
        <v>27</v>
      </c>
      <c r="J928" t="s">
        <v>28</v>
      </c>
      <c r="K928" t="s">
        <v>188</v>
      </c>
      <c r="L928" t="s">
        <v>30</v>
      </c>
      <c r="M928">
        <v>0</v>
      </c>
      <c r="N928">
        <v>0</v>
      </c>
      <c r="O928" s="17" t="s">
        <v>1517</v>
      </c>
      <c r="P928" s="17" t="s">
        <v>1518</v>
      </c>
      <c r="Q928">
        <f>30.5-15</f>
        <v>15.5</v>
      </c>
      <c r="R928" t="s">
        <v>31</v>
      </c>
      <c r="S928" t="s">
        <v>32</v>
      </c>
      <c r="T928">
        <v>19</v>
      </c>
      <c r="U928">
        <v>87</v>
      </c>
      <c r="V928">
        <v>18</v>
      </c>
      <c r="W928">
        <v>13.2</v>
      </c>
      <c r="X928">
        <v>26.8</v>
      </c>
      <c r="Z928" t="s">
        <v>145</v>
      </c>
      <c r="AB928" t="s">
        <v>44</v>
      </c>
      <c r="AC928" t="s">
        <v>59</v>
      </c>
    </row>
    <row r="929" spans="1:29" x14ac:dyDescent="0.2">
      <c r="A929" s="3">
        <v>42606</v>
      </c>
      <c r="B929" t="s">
        <v>23</v>
      </c>
      <c r="C929">
        <v>801</v>
      </c>
      <c r="D929">
        <v>6</v>
      </c>
      <c r="E929">
        <v>2</v>
      </c>
      <c r="F929" t="s">
        <v>24</v>
      </c>
      <c r="G929" t="s">
        <v>25</v>
      </c>
      <c r="H929" t="s">
        <v>26</v>
      </c>
      <c r="I929" t="s">
        <v>27</v>
      </c>
      <c r="J929" t="s">
        <v>28</v>
      </c>
      <c r="K929" t="s">
        <v>188</v>
      </c>
      <c r="L929" t="s">
        <v>30</v>
      </c>
      <c r="M929">
        <v>0</v>
      </c>
      <c r="N929">
        <v>0</v>
      </c>
      <c r="O929" s="17" t="s">
        <v>1517</v>
      </c>
      <c r="P929" s="17" t="s">
        <v>1518</v>
      </c>
      <c r="Q929">
        <f>32.5-16</f>
        <v>16.5</v>
      </c>
      <c r="T929">
        <v>19</v>
      </c>
      <c r="U929">
        <v>88</v>
      </c>
      <c r="V929">
        <v>19</v>
      </c>
      <c r="W929">
        <v>12.9</v>
      </c>
      <c r="X929">
        <v>27.3</v>
      </c>
      <c r="Z929" t="s">
        <v>145</v>
      </c>
      <c r="AB929" t="s">
        <v>44</v>
      </c>
      <c r="AC929" t="s">
        <v>59</v>
      </c>
    </row>
    <row r="930" spans="1:29" x14ac:dyDescent="0.2">
      <c r="A930" s="3">
        <v>42606</v>
      </c>
      <c r="B930" t="s">
        <v>23</v>
      </c>
      <c r="C930">
        <v>703</v>
      </c>
      <c r="D930">
        <v>9</v>
      </c>
      <c r="E930">
        <v>2</v>
      </c>
      <c r="F930" t="s">
        <v>24</v>
      </c>
      <c r="G930" t="s">
        <v>25</v>
      </c>
      <c r="H930" t="s">
        <v>26</v>
      </c>
      <c r="I930" t="s">
        <v>27</v>
      </c>
      <c r="J930" t="s">
        <v>28</v>
      </c>
      <c r="K930" t="s">
        <v>29</v>
      </c>
      <c r="L930" t="s">
        <v>35</v>
      </c>
      <c r="M930">
        <v>0</v>
      </c>
      <c r="N930">
        <v>0</v>
      </c>
      <c r="O930" s="17" t="s">
        <v>1928</v>
      </c>
      <c r="P930" s="17" t="s">
        <v>1929</v>
      </c>
      <c r="Q930">
        <f>34-12.5</f>
        <v>21.5</v>
      </c>
      <c r="R930" t="s">
        <v>63</v>
      </c>
      <c r="T930">
        <v>19</v>
      </c>
      <c r="U930">
        <v>95</v>
      </c>
      <c r="V930">
        <v>17.5</v>
      </c>
      <c r="W930">
        <v>13</v>
      </c>
      <c r="X930">
        <v>26.8</v>
      </c>
      <c r="AB930" t="s">
        <v>44</v>
      </c>
      <c r="AC930" t="s">
        <v>59</v>
      </c>
    </row>
    <row r="931" spans="1:29" x14ac:dyDescent="0.2">
      <c r="A931" s="3">
        <v>42584</v>
      </c>
      <c r="B931" t="s">
        <v>23</v>
      </c>
      <c r="C931">
        <v>112</v>
      </c>
      <c r="D931">
        <v>9</v>
      </c>
      <c r="E931">
        <v>2</v>
      </c>
      <c r="F931" t="s">
        <v>33</v>
      </c>
      <c r="G931" t="s">
        <v>25</v>
      </c>
      <c r="H931" t="s">
        <v>26</v>
      </c>
      <c r="I931" t="s">
        <v>27</v>
      </c>
      <c r="J931" t="s">
        <v>34</v>
      </c>
      <c r="K931" t="s">
        <v>123</v>
      </c>
      <c r="L931" t="s">
        <v>35</v>
      </c>
      <c r="M931">
        <v>0</v>
      </c>
      <c r="N931">
        <v>1</v>
      </c>
      <c r="O931" s="17">
        <v>50891</v>
      </c>
      <c r="P931" s="17">
        <v>50890</v>
      </c>
      <c r="Q931">
        <f>24-10</f>
        <v>14</v>
      </c>
      <c r="R931" t="s">
        <v>63</v>
      </c>
      <c r="T931">
        <v>19</v>
      </c>
      <c r="U931">
        <v>85</v>
      </c>
      <c r="V931">
        <v>15</v>
      </c>
      <c r="W931">
        <v>12.9</v>
      </c>
      <c r="X931">
        <v>27.2</v>
      </c>
      <c r="Z931" t="s">
        <v>32</v>
      </c>
      <c r="AB931" t="s">
        <v>121</v>
      </c>
      <c r="AC931" t="s">
        <v>59</v>
      </c>
    </row>
    <row r="932" spans="1:29" x14ac:dyDescent="0.2">
      <c r="A932" s="3">
        <v>42588</v>
      </c>
      <c r="B932" t="s">
        <v>23</v>
      </c>
      <c r="C932">
        <v>112</v>
      </c>
      <c r="D932">
        <v>10</v>
      </c>
      <c r="E932">
        <v>2</v>
      </c>
      <c r="F932" t="s">
        <v>24</v>
      </c>
      <c r="G932" t="s">
        <v>25</v>
      </c>
      <c r="H932" t="s">
        <v>26</v>
      </c>
      <c r="I932" t="s">
        <v>27</v>
      </c>
      <c r="J932" t="s">
        <v>28</v>
      </c>
      <c r="K932" t="s">
        <v>123</v>
      </c>
      <c r="L932" t="s">
        <v>35</v>
      </c>
      <c r="M932">
        <v>0</v>
      </c>
      <c r="N932">
        <v>0</v>
      </c>
      <c r="O932" s="17" t="s">
        <v>1052</v>
      </c>
      <c r="P932" s="17" t="s">
        <v>1053</v>
      </c>
      <c r="Q932">
        <v>13</v>
      </c>
      <c r="R932" t="s">
        <v>63</v>
      </c>
      <c r="T932">
        <v>18</v>
      </c>
      <c r="V932">
        <v>13</v>
      </c>
      <c r="W932">
        <v>12.5</v>
      </c>
      <c r="X932">
        <v>25.75</v>
      </c>
      <c r="Z932" t="s">
        <v>32</v>
      </c>
      <c r="AB932" t="s">
        <v>121</v>
      </c>
      <c r="AC932" t="s">
        <v>59</v>
      </c>
    </row>
    <row r="933" spans="1:29" x14ac:dyDescent="0.2">
      <c r="A933" s="3">
        <v>42584</v>
      </c>
      <c r="B933" t="s">
        <v>23</v>
      </c>
      <c r="C933">
        <v>113</v>
      </c>
      <c r="D933">
        <v>2</v>
      </c>
      <c r="E933">
        <v>1</v>
      </c>
      <c r="F933" t="s">
        <v>33</v>
      </c>
      <c r="G933" t="s">
        <v>25</v>
      </c>
      <c r="H933" t="s">
        <v>26</v>
      </c>
      <c r="I933" t="s">
        <v>27</v>
      </c>
      <c r="J933" t="s">
        <v>34</v>
      </c>
      <c r="K933" t="s">
        <v>123</v>
      </c>
      <c r="L933" t="s">
        <v>30</v>
      </c>
      <c r="M933">
        <v>0</v>
      </c>
      <c r="N933">
        <v>1</v>
      </c>
      <c r="O933" s="17">
        <v>50893</v>
      </c>
      <c r="P933" s="17">
        <v>50892</v>
      </c>
      <c r="Q933">
        <f>27.5-12</f>
        <v>15.5</v>
      </c>
      <c r="R933" t="s">
        <v>31</v>
      </c>
      <c r="S933" t="s">
        <v>32</v>
      </c>
      <c r="T933">
        <v>19</v>
      </c>
      <c r="U933">
        <v>85</v>
      </c>
      <c r="V933">
        <v>14</v>
      </c>
      <c r="W933">
        <v>12.9</v>
      </c>
      <c r="X933">
        <v>26.7</v>
      </c>
      <c r="Z933" t="s">
        <v>32</v>
      </c>
      <c r="AB933" t="s">
        <v>121</v>
      </c>
      <c r="AC933" t="s">
        <v>59</v>
      </c>
    </row>
    <row r="934" spans="1:29" x14ac:dyDescent="0.2">
      <c r="A934" s="3">
        <v>42585</v>
      </c>
      <c r="B934" t="s">
        <v>23</v>
      </c>
      <c r="C934">
        <v>113</v>
      </c>
      <c r="D934">
        <v>1</v>
      </c>
      <c r="E934">
        <v>1</v>
      </c>
      <c r="F934" t="s">
        <v>64</v>
      </c>
      <c r="G934" t="s">
        <v>25</v>
      </c>
      <c r="H934" t="s">
        <v>26</v>
      </c>
      <c r="I934" t="s">
        <v>27</v>
      </c>
      <c r="J934" t="s">
        <v>28</v>
      </c>
      <c r="K934" t="s">
        <v>123</v>
      </c>
      <c r="L934" t="s">
        <v>30</v>
      </c>
      <c r="M934">
        <v>0</v>
      </c>
      <c r="N934">
        <v>0</v>
      </c>
      <c r="O934" s="17">
        <v>50893</v>
      </c>
      <c r="P934" s="17">
        <v>50892</v>
      </c>
      <c r="Q934">
        <f>17-4</f>
        <v>13</v>
      </c>
      <c r="R934" t="s">
        <v>31</v>
      </c>
      <c r="S934" t="s">
        <v>32</v>
      </c>
      <c r="T934">
        <v>19</v>
      </c>
      <c r="U934">
        <v>85</v>
      </c>
      <c r="V934">
        <v>15</v>
      </c>
      <c r="W934">
        <v>12.9</v>
      </c>
      <c r="X934">
        <v>26.6</v>
      </c>
      <c r="Z934" t="s">
        <v>32</v>
      </c>
      <c r="AB934" t="s">
        <v>53</v>
      </c>
      <c r="AC934" t="s">
        <v>122</v>
      </c>
    </row>
    <row r="935" spans="1:29" x14ac:dyDescent="0.2">
      <c r="A935" s="3">
        <v>42588</v>
      </c>
      <c r="B935" t="s">
        <v>23</v>
      </c>
      <c r="C935">
        <v>113</v>
      </c>
      <c r="D935">
        <v>1</v>
      </c>
      <c r="E935">
        <v>2</v>
      </c>
      <c r="F935" t="s">
        <v>24</v>
      </c>
      <c r="G935" t="s">
        <v>25</v>
      </c>
      <c r="H935" t="s">
        <v>26</v>
      </c>
      <c r="I935" t="s">
        <v>27</v>
      </c>
      <c r="J935" t="s">
        <v>28</v>
      </c>
      <c r="K935" t="s">
        <v>123</v>
      </c>
      <c r="L935" t="s">
        <v>30</v>
      </c>
      <c r="M935">
        <v>0</v>
      </c>
      <c r="N935">
        <v>0</v>
      </c>
      <c r="O935" s="17" t="s">
        <v>1054</v>
      </c>
      <c r="P935" s="17" t="s">
        <v>1055</v>
      </c>
      <c r="Q935">
        <f>34-18</f>
        <v>16</v>
      </c>
      <c r="R935" t="s">
        <v>31</v>
      </c>
      <c r="S935" t="s">
        <v>32</v>
      </c>
      <c r="T935">
        <v>20</v>
      </c>
      <c r="V935">
        <v>17</v>
      </c>
      <c r="W935">
        <v>13</v>
      </c>
      <c r="X935">
        <v>25.5</v>
      </c>
      <c r="Z935" t="s">
        <v>32</v>
      </c>
      <c r="AB935" t="s">
        <v>121</v>
      </c>
      <c r="AC935" t="s">
        <v>59</v>
      </c>
    </row>
    <row r="936" spans="1:29" x14ac:dyDescent="0.2">
      <c r="A936" s="3">
        <v>42598</v>
      </c>
      <c r="B936" t="s">
        <v>23</v>
      </c>
      <c r="C936">
        <v>113</v>
      </c>
      <c r="D936">
        <v>3</v>
      </c>
      <c r="E936">
        <v>1</v>
      </c>
      <c r="F936" t="s">
        <v>24</v>
      </c>
      <c r="G936" t="s">
        <v>25</v>
      </c>
      <c r="H936" t="s">
        <v>26</v>
      </c>
      <c r="I936" t="s">
        <v>27</v>
      </c>
      <c r="J936" t="s">
        <v>28</v>
      </c>
      <c r="K936" t="s">
        <v>188</v>
      </c>
      <c r="L936" t="s">
        <v>30</v>
      </c>
      <c r="M936">
        <v>0</v>
      </c>
      <c r="N936">
        <v>0</v>
      </c>
      <c r="O936" s="17" t="s">
        <v>1054</v>
      </c>
      <c r="P936" s="17" t="s">
        <v>1055</v>
      </c>
      <c r="Q936">
        <f>29-14</f>
        <v>15</v>
      </c>
      <c r="R936" t="s">
        <v>31</v>
      </c>
      <c r="S936" t="s">
        <v>32</v>
      </c>
      <c r="T936">
        <v>19</v>
      </c>
      <c r="V936">
        <v>17</v>
      </c>
      <c r="W936">
        <v>12.8</v>
      </c>
      <c r="X936">
        <v>26</v>
      </c>
      <c r="AB936" t="s">
        <v>1800</v>
      </c>
      <c r="AC936" t="s">
        <v>122</v>
      </c>
    </row>
    <row r="937" spans="1:29" x14ac:dyDescent="0.2">
      <c r="A937" s="3">
        <v>42600</v>
      </c>
      <c r="B937" t="s">
        <v>23</v>
      </c>
      <c r="C937">
        <v>113</v>
      </c>
      <c r="D937">
        <v>8</v>
      </c>
      <c r="E937">
        <v>1</v>
      </c>
      <c r="F937" t="s">
        <v>66</v>
      </c>
      <c r="G937" t="s">
        <v>25</v>
      </c>
      <c r="H937" t="s">
        <v>26</v>
      </c>
      <c r="I937" t="s">
        <v>27</v>
      </c>
      <c r="J937" t="s">
        <v>28</v>
      </c>
      <c r="K937" t="s">
        <v>188</v>
      </c>
      <c r="L937" t="s">
        <v>30</v>
      </c>
      <c r="M937">
        <v>0</v>
      </c>
      <c r="N937">
        <v>0</v>
      </c>
      <c r="O937" s="17" t="s">
        <v>1054</v>
      </c>
      <c r="P937" s="17" t="s">
        <v>1055</v>
      </c>
      <c r="Q937">
        <v>17.5</v>
      </c>
      <c r="R937" t="s">
        <v>31</v>
      </c>
      <c r="S937" t="s">
        <v>32</v>
      </c>
      <c r="T937">
        <v>21</v>
      </c>
      <c r="U937">
        <v>77</v>
      </c>
      <c r="V937">
        <v>16</v>
      </c>
      <c r="W937">
        <v>13.5</v>
      </c>
      <c r="X937">
        <v>27.1</v>
      </c>
    </row>
    <row r="938" spans="1:29" x14ac:dyDescent="0.2">
      <c r="A938" s="3">
        <v>42584</v>
      </c>
      <c r="B938" t="s">
        <v>23</v>
      </c>
      <c r="C938">
        <v>113</v>
      </c>
      <c r="D938">
        <v>10</v>
      </c>
      <c r="E938">
        <v>1</v>
      </c>
      <c r="F938" t="s">
        <v>33</v>
      </c>
      <c r="G938" t="s">
        <v>25</v>
      </c>
      <c r="H938" t="s">
        <v>26</v>
      </c>
      <c r="I938" t="s">
        <v>27</v>
      </c>
      <c r="J938" t="s">
        <v>34</v>
      </c>
      <c r="K938" t="s">
        <v>123</v>
      </c>
      <c r="L938" t="s">
        <v>30</v>
      </c>
      <c r="M938">
        <v>0</v>
      </c>
      <c r="N938">
        <v>1</v>
      </c>
      <c r="O938" s="17">
        <v>50895</v>
      </c>
      <c r="P938" s="17">
        <v>50894</v>
      </c>
      <c r="Q938">
        <f>23-11</f>
        <v>12</v>
      </c>
      <c r="R938" t="s">
        <v>31</v>
      </c>
      <c r="S938" t="s">
        <v>32</v>
      </c>
      <c r="T938">
        <v>19</v>
      </c>
      <c r="U938">
        <v>75</v>
      </c>
      <c r="V938">
        <v>14</v>
      </c>
      <c r="W938">
        <v>12.6</v>
      </c>
      <c r="X938">
        <v>25.7</v>
      </c>
      <c r="Z938" t="s">
        <v>32</v>
      </c>
      <c r="AB938" t="s">
        <v>121</v>
      </c>
      <c r="AC938" t="s">
        <v>59</v>
      </c>
    </row>
    <row r="939" spans="1:29" x14ac:dyDescent="0.2">
      <c r="A939" s="3">
        <v>42586</v>
      </c>
      <c r="B939" t="s">
        <v>23</v>
      </c>
      <c r="C939">
        <v>113</v>
      </c>
      <c r="D939">
        <v>7</v>
      </c>
      <c r="E939">
        <v>1</v>
      </c>
      <c r="F939" t="s">
        <v>64</v>
      </c>
      <c r="G939" t="s">
        <v>25</v>
      </c>
      <c r="H939" t="s">
        <v>26</v>
      </c>
      <c r="I939" t="s">
        <v>27</v>
      </c>
      <c r="J939" t="s">
        <v>28</v>
      </c>
      <c r="K939" t="s">
        <v>123</v>
      </c>
      <c r="L939" t="s">
        <v>30</v>
      </c>
      <c r="M939">
        <v>0</v>
      </c>
      <c r="N939">
        <v>0</v>
      </c>
      <c r="O939" s="17" t="s">
        <v>985</v>
      </c>
      <c r="P939" s="17" t="s">
        <v>986</v>
      </c>
      <c r="Q939">
        <f>26-13</f>
        <v>13</v>
      </c>
      <c r="R939" t="s">
        <v>31</v>
      </c>
      <c r="S939" t="s">
        <v>32</v>
      </c>
      <c r="T939">
        <v>19</v>
      </c>
      <c r="U939">
        <v>75</v>
      </c>
      <c r="V939">
        <v>15</v>
      </c>
      <c r="W939">
        <v>12.8</v>
      </c>
      <c r="X939">
        <v>25.7</v>
      </c>
      <c r="Z939" t="s">
        <v>32</v>
      </c>
      <c r="AB939" t="s">
        <v>53</v>
      </c>
      <c r="AC939" t="s">
        <v>122</v>
      </c>
    </row>
    <row r="940" spans="1:29" x14ac:dyDescent="0.2">
      <c r="A940" s="3">
        <v>42587</v>
      </c>
      <c r="B940" t="s">
        <v>23</v>
      </c>
      <c r="C940">
        <v>113</v>
      </c>
      <c r="D940">
        <v>9</v>
      </c>
      <c r="E940">
        <v>2</v>
      </c>
      <c r="F940" t="s">
        <v>64</v>
      </c>
      <c r="G940" t="s">
        <v>25</v>
      </c>
      <c r="H940" t="s">
        <v>26</v>
      </c>
      <c r="I940" t="s">
        <v>27</v>
      </c>
      <c r="J940" t="s">
        <v>28</v>
      </c>
      <c r="K940" t="s">
        <v>123</v>
      </c>
      <c r="L940" t="s">
        <v>30</v>
      </c>
      <c r="M940">
        <v>0</v>
      </c>
      <c r="N940">
        <v>0</v>
      </c>
      <c r="O940" s="17" t="s">
        <v>985</v>
      </c>
      <c r="P940" s="17" t="s">
        <v>986</v>
      </c>
      <c r="Q940">
        <f>28-16.5</f>
        <v>11.5</v>
      </c>
      <c r="R940" t="s">
        <v>31</v>
      </c>
      <c r="S940" t="s">
        <v>32</v>
      </c>
      <c r="T940">
        <v>16</v>
      </c>
      <c r="U940">
        <v>75</v>
      </c>
      <c r="V940">
        <v>16</v>
      </c>
      <c r="W940">
        <v>12.6</v>
      </c>
      <c r="X940">
        <v>26.5</v>
      </c>
      <c r="Z940" t="s">
        <v>145</v>
      </c>
      <c r="AA940" t="s">
        <v>260</v>
      </c>
      <c r="AB940" t="s">
        <v>53</v>
      </c>
      <c r="AC940" t="s">
        <v>254</v>
      </c>
    </row>
    <row r="941" spans="1:29" x14ac:dyDescent="0.2">
      <c r="A941" s="3">
        <v>42589</v>
      </c>
      <c r="B941" t="s">
        <v>23</v>
      </c>
      <c r="C941">
        <v>113</v>
      </c>
      <c r="D941">
        <v>10</v>
      </c>
      <c r="E941">
        <v>1</v>
      </c>
      <c r="F941" t="s">
        <v>24</v>
      </c>
      <c r="G941" t="s">
        <v>25</v>
      </c>
      <c r="H941" t="s">
        <v>26</v>
      </c>
      <c r="I941" t="s">
        <v>27</v>
      </c>
      <c r="J941" t="s">
        <v>28</v>
      </c>
      <c r="K941" t="s">
        <v>123</v>
      </c>
      <c r="L941" t="s">
        <v>30</v>
      </c>
      <c r="M941">
        <v>0</v>
      </c>
      <c r="N941">
        <v>0</v>
      </c>
      <c r="O941" s="17" t="s">
        <v>985</v>
      </c>
      <c r="P941" s="17" t="s">
        <v>986</v>
      </c>
      <c r="Q941">
        <f>34-20</f>
        <v>14</v>
      </c>
      <c r="R941" t="s">
        <v>31</v>
      </c>
      <c r="S941" t="s">
        <v>32</v>
      </c>
      <c r="T941">
        <v>15</v>
      </c>
      <c r="U941">
        <v>17</v>
      </c>
      <c r="W941">
        <v>12.35</v>
      </c>
      <c r="X941">
        <v>26.1</v>
      </c>
      <c r="Z941" t="s">
        <v>145</v>
      </c>
      <c r="AB941" t="s">
        <v>121</v>
      </c>
      <c r="AC941" t="s">
        <v>59</v>
      </c>
    </row>
    <row r="942" spans="1:29" x14ac:dyDescent="0.2">
      <c r="A942" s="3">
        <v>42598</v>
      </c>
      <c r="B942" t="s">
        <v>23</v>
      </c>
      <c r="C942">
        <v>113</v>
      </c>
      <c r="D942">
        <v>10</v>
      </c>
      <c r="E942">
        <v>2</v>
      </c>
      <c r="F942" t="s">
        <v>24</v>
      </c>
      <c r="G942" t="s">
        <v>25</v>
      </c>
      <c r="H942" t="s">
        <v>26</v>
      </c>
      <c r="I942" t="s">
        <v>27</v>
      </c>
      <c r="J942" t="s">
        <v>28</v>
      </c>
      <c r="K942" t="s">
        <v>188</v>
      </c>
      <c r="L942" t="s">
        <v>30</v>
      </c>
      <c r="M942">
        <v>0</v>
      </c>
      <c r="N942">
        <v>0</v>
      </c>
      <c r="O942" s="17" t="s">
        <v>985</v>
      </c>
      <c r="P942" s="17" t="s">
        <v>986</v>
      </c>
      <c r="Q942">
        <f>28-13.5</f>
        <v>14.5</v>
      </c>
      <c r="R942" t="s">
        <v>63</v>
      </c>
      <c r="T942">
        <v>18.5</v>
      </c>
      <c r="V942">
        <v>17</v>
      </c>
      <c r="W942">
        <v>12.5</v>
      </c>
      <c r="X942">
        <v>25</v>
      </c>
      <c r="AB942" t="s">
        <v>1589</v>
      </c>
      <c r="AC942" t="s">
        <v>122</v>
      </c>
    </row>
    <row r="943" spans="1:29" x14ac:dyDescent="0.2">
      <c r="A943" s="3">
        <v>42600</v>
      </c>
      <c r="B943" t="s">
        <v>23</v>
      </c>
      <c r="C943">
        <v>113</v>
      </c>
      <c r="D943">
        <v>10</v>
      </c>
      <c r="E943">
        <v>2</v>
      </c>
      <c r="F943" t="s">
        <v>66</v>
      </c>
      <c r="G943" t="s">
        <v>25</v>
      </c>
      <c r="H943" t="s">
        <v>26</v>
      </c>
      <c r="I943" t="s">
        <v>27</v>
      </c>
      <c r="J943" t="s">
        <v>28</v>
      </c>
      <c r="K943" t="s">
        <v>188</v>
      </c>
      <c r="L943" t="s">
        <v>30</v>
      </c>
      <c r="M943">
        <v>0</v>
      </c>
      <c r="N943">
        <v>0</v>
      </c>
      <c r="O943" s="17" t="s">
        <v>985</v>
      </c>
      <c r="P943" s="17" t="s">
        <v>986</v>
      </c>
      <c r="Q943">
        <v>17</v>
      </c>
      <c r="R943" t="s">
        <v>31</v>
      </c>
      <c r="S943" t="s">
        <v>32</v>
      </c>
      <c r="T943">
        <v>20</v>
      </c>
      <c r="U943">
        <v>68</v>
      </c>
      <c r="V943">
        <v>14</v>
      </c>
      <c r="W943">
        <v>12.6</v>
      </c>
      <c r="X943">
        <v>27.5</v>
      </c>
    </row>
    <row r="944" spans="1:29" x14ac:dyDescent="0.2">
      <c r="A944" s="3">
        <v>42584</v>
      </c>
      <c r="B944" t="s">
        <v>23</v>
      </c>
      <c r="C944">
        <v>113</v>
      </c>
      <c r="D944">
        <v>10</v>
      </c>
      <c r="E944">
        <v>2</v>
      </c>
      <c r="F944" t="s">
        <v>33</v>
      </c>
      <c r="G944" t="s">
        <v>25</v>
      </c>
      <c r="H944" t="s">
        <v>26</v>
      </c>
      <c r="I944" t="s">
        <v>27</v>
      </c>
      <c r="J944" t="s">
        <v>34</v>
      </c>
      <c r="K944" t="s">
        <v>123</v>
      </c>
      <c r="L944" t="s">
        <v>35</v>
      </c>
      <c r="M944">
        <v>0</v>
      </c>
      <c r="N944">
        <v>1</v>
      </c>
      <c r="O944" s="17">
        <v>50897</v>
      </c>
      <c r="P944" s="17">
        <v>50896</v>
      </c>
      <c r="Q944">
        <f>30-16</f>
        <v>14</v>
      </c>
      <c r="R944" t="s">
        <v>63</v>
      </c>
      <c r="T944">
        <v>19</v>
      </c>
      <c r="U944">
        <v>81</v>
      </c>
      <c r="V944">
        <v>16</v>
      </c>
      <c r="W944">
        <v>12.9</v>
      </c>
      <c r="X944">
        <v>27.3</v>
      </c>
      <c r="Z944" t="s">
        <v>145</v>
      </c>
      <c r="AA944" t="s">
        <v>260</v>
      </c>
      <c r="AB944" t="s">
        <v>121</v>
      </c>
      <c r="AC944" t="s">
        <v>59</v>
      </c>
    </row>
    <row r="945" spans="1:30" x14ac:dyDescent="0.2">
      <c r="A945" s="3">
        <v>42586</v>
      </c>
      <c r="B945" t="s">
        <v>23</v>
      </c>
      <c r="C945">
        <v>113</v>
      </c>
      <c r="D945">
        <v>10</v>
      </c>
      <c r="E945">
        <v>2</v>
      </c>
      <c r="F945" t="s">
        <v>64</v>
      </c>
      <c r="G945" t="s">
        <v>25</v>
      </c>
      <c r="H945" t="s">
        <v>26</v>
      </c>
      <c r="I945" t="s">
        <v>27</v>
      </c>
      <c r="J945" t="s">
        <v>28</v>
      </c>
      <c r="K945" t="s">
        <v>123</v>
      </c>
      <c r="L945" t="s">
        <v>35</v>
      </c>
      <c r="M945">
        <v>0</v>
      </c>
      <c r="N945">
        <v>0</v>
      </c>
      <c r="O945" s="17" t="s">
        <v>993</v>
      </c>
      <c r="P945" s="17" t="s">
        <v>994</v>
      </c>
      <c r="Q945">
        <f>31.5-17</f>
        <v>14.5</v>
      </c>
      <c r="R945" t="s">
        <v>63</v>
      </c>
      <c r="T945">
        <v>20</v>
      </c>
      <c r="U945">
        <v>79</v>
      </c>
      <c r="V945">
        <v>15.5</v>
      </c>
      <c r="W945">
        <v>12.8</v>
      </c>
      <c r="X945">
        <v>26.7</v>
      </c>
      <c r="Z945" t="s">
        <v>145</v>
      </c>
      <c r="AA945" t="s">
        <v>260</v>
      </c>
      <c r="AB945" t="s">
        <v>53</v>
      </c>
      <c r="AC945" t="s">
        <v>122</v>
      </c>
      <c r="AD945" t="s">
        <v>995</v>
      </c>
    </row>
    <row r="946" spans="1:30" x14ac:dyDescent="0.2">
      <c r="A946" s="3">
        <v>42588</v>
      </c>
      <c r="B946" t="s">
        <v>23</v>
      </c>
      <c r="C946">
        <v>113</v>
      </c>
      <c r="D946">
        <v>9</v>
      </c>
      <c r="E946">
        <v>2</v>
      </c>
      <c r="F946" t="s">
        <v>64</v>
      </c>
      <c r="G946" t="s">
        <v>25</v>
      </c>
      <c r="H946" t="s">
        <v>26</v>
      </c>
      <c r="I946" t="s">
        <v>27</v>
      </c>
      <c r="J946" t="s">
        <v>28</v>
      </c>
      <c r="K946" t="s">
        <v>123</v>
      </c>
      <c r="L946" t="s">
        <v>35</v>
      </c>
      <c r="M946">
        <v>0</v>
      </c>
      <c r="N946">
        <v>0</v>
      </c>
      <c r="O946" s="17" t="s">
        <v>993</v>
      </c>
      <c r="P946" s="17" t="s">
        <v>994</v>
      </c>
      <c r="Q946">
        <f>28-13</f>
        <v>15</v>
      </c>
      <c r="R946" t="s">
        <v>63</v>
      </c>
      <c r="T946">
        <v>19</v>
      </c>
      <c r="V946">
        <v>16</v>
      </c>
      <c r="W946">
        <v>12.8</v>
      </c>
      <c r="X946">
        <v>26</v>
      </c>
      <c r="Z946" t="s">
        <v>145</v>
      </c>
      <c r="AB946" t="s">
        <v>121</v>
      </c>
      <c r="AC946" t="s">
        <v>59</v>
      </c>
      <c r="AD946" t="s">
        <v>1221</v>
      </c>
    </row>
    <row r="947" spans="1:30" x14ac:dyDescent="0.2">
      <c r="A947" s="3">
        <v>42589</v>
      </c>
      <c r="B947" t="s">
        <v>23</v>
      </c>
      <c r="C947">
        <v>113</v>
      </c>
      <c r="D947">
        <v>10</v>
      </c>
      <c r="E947">
        <v>2</v>
      </c>
      <c r="F947" t="s">
        <v>64</v>
      </c>
      <c r="G947" t="s">
        <v>25</v>
      </c>
      <c r="H947" t="s">
        <v>26</v>
      </c>
      <c r="I947" t="s">
        <v>27</v>
      </c>
      <c r="J947" t="s">
        <v>28</v>
      </c>
      <c r="K947" t="s">
        <v>123</v>
      </c>
      <c r="L947" t="s">
        <v>35</v>
      </c>
      <c r="M947">
        <v>0</v>
      </c>
      <c r="N947">
        <v>0</v>
      </c>
      <c r="O947" s="17" t="s">
        <v>993</v>
      </c>
      <c r="P947" s="17" t="s">
        <v>994</v>
      </c>
      <c r="Q947">
        <f>28.5-13</f>
        <v>15.5</v>
      </c>
      <c r="R947" t="s">
        <v>63</v>
      </c>
      <c r="T947">
        <v>20</v>
      </c>
      <c r="V947">
        <v>17</v>
      </c>
      <c r="W947">
        <v>12.7</v>
      </c>
      <c r="X947">
        <v>26.4</v>
      </c>
      <c r="Z947" t="s">
        <v>1301</v>
      </c>
      <c r="AA947" t="s">
        <v>260</v>
      </c>
      <c r="AB947" t="s">
        <v>121</v>
      </c>
      <c r="AC947" t="s">
        <v>59</v>
      </c>
      <c r="AD947" t="s">
        <v>1221</v>
      </c>
    </row>
    <row r="948" spans="1:30" x14ac:dyDescent="0.2">
      <c r="A948" s="3">
        <v>42584</v>
      </c>
      <c r="B948" t="s">
        <v>23</v>
      </c>
      <c r="C948">
        <v>113</v>
      </c>
      <c r="D948">
        <v>1</v>
      </c>
      <c r="E948">
        <v>1</v>
      </c>
      <c r="F948" t="s">
        <v>33</v>
      </c>
      <c r="G948" t="s">
        <v>25</v>
      </c>
      <c r="H948" t="s">
        <v>26</v>
      </c>
      <c r="I948" t="s">
        <v>27</v>
      </c>
      <c r="J948" t="s">
        <v>34</v>
      </c>
      <c r="K948" t="s">
        <v>188</v>
      </c>
      <c r="L948" t="s">
        <v>35</v>
      </c>
      <c r="M948">
        <v>0</v>
      </c>
      <c r="N948">
        <v>1</v>
      </c>
      <c r="O948" s="17">
        <v>50900</v>
      </c>
      <c r="P948" s="17">
        <v>50899</v>
      </c>
      <c r="Q948">
        <f>31.5-13.5</f>
        <v>18</v>
      </c>
      <c r="R948" t="s">
        <v>39</v>
      </c>
      <c r="T948">
        <v>18</v>
      </c>
      <c r="U948">
        <v>85</v>
      </c>
      <c r="V948">
        <v>16</v>
      </c>
      <c r="W948">
        <v>13</v>
      </c>
      <c r="X948">
        <v>28.3</v>
      </c>
      <c r="Z948" t="s">
        <v>145</v>
      </c>
      <c r="AA948" t="s">
        <v>260</v>
      </c>
      <c r="AB948" t="s">
        <v>121</v>
      </c>
      <c r="AC948" t="s">
        <v>59</v>
      </c>
    </row>
    <row r="949" spans="1:30" x14ac:dyDescent="0.2">
      <c r="A949" s="3">
        <v>42585</v>
      </c>
      <c r="B949" t="s">
        <v>23</v>
      </c>
      <c r="C949">
        <v>113</v>
      </c>
      <c r="D949">
        <v>2</v>
      </c>
      <c r="E949">
        <v>2</v>
      </c>
      <c r="F949" t="s">
        <v>64</v>
      </c>
      <c r="G949" t="s">
        <v>25</v>
      </c>
      <c r="H949" t="s">
        <v>26</v>
      </c>
      <c r="I949" t="s">
        <v>27</v>
      </c>
      <c r="J949" t="s">
        <v>28</v>
      </c>
      <c r="K949" t="s">
        <v>188</v>
      </c>
      <c r="L949" t="s">
        <v>35</v>
      </c>
      <c r="M949">
        <v>0</v>
      </c>
      <c r="N949">
        <v>0</v>
      </c>
      <c r="O949" s="17">
        <v>50900</v>
      </c>
      <c r="P949" s="17">
        <v>50899</v>
      </c>
      <c r="Q949">
        <f>21-2</f>
        <v>19</v>
      </c>
      <c r="R949" t="s">
        <v>39</v>
      </c>
      <c r="T949">
        <v>18.5</v>
      </c>
      <c r="U949">
        <v>86</v>
      </c>
      <c r="V949">
        <v>17</v>
      </c>
      <c r="W949">
        <v>12.9</v>
      </c>
      <c r="X949">
        <v>27.4</v>
      </c>
      <c r="Y949" t="s">
        <v>925</v>
      </c>
      <c r="Z949" t="s">
        <v>145</v>
      </c>
      <c r="AB949" t="s">
        <v>53</v>
      </c>
      <c r="AC949" t="s">
        <v>122</v>
      </c>
    </row>
    <row r="950" spans="1:30" x14ac:dyDescent="0.2">
      <c r="A950" s="3">
        <v>42587</v>
      </c>
      <c r="B950" t="s">
        <v>23</v>
      </c>
      <c r="C950">
        <v>113</v>
      </c>
      <c r="D950">
        <v>8</v>
      </c>
      <c r="E950">
        <v>2</v>
      </c>
      <c r="F950" t="s">
        <v>64</v>
      </c>
      <c r="G950" t="s">
        <v>25</v>
      </c>
      <c r="H950" t="s">
        <v>26</v>
      </c>
      <c r="I950" t="s">
        <v>27</v>
      </c>
      <c r="J950" t="s">
        <v>28</v>
      </c>
      <c r="K950" t="s">
        <v>188</v>
      </c>
      <c r="L950" t="s">
        <v>35</v>
      </c>
      <c r="M950">
        <v>0</v>
      </c>
      <c r="N950">
        <v>0</v>
      </c>
      <c r="O950" s="17" t="s">
        <v>1180</v>
      </c>
      <c r="P950" s="17" t="s">
        <v>1181</v>
      </c>
      <c r="Q950">
        <f>35-15.5</f>
        <v>19.5</v>
      </c>
      <c r="R950" t="s">
        <v>39</v>
      </c>
      <c r="T950">
        <v>18</v>
      </c>
      <c r="U950">
        <v>80</v>
      </c>
      <c r="V950">
        <v>16</v>
      </c>
      <c r="W950">
        <v>13.1</v>
      </c>
      <c r="X950">
        <v>28.2</v>
      </c>
      <c r="Z950" t="s">
        <v>145</v>
      </c>
      <c r="AB950" t="s">
        <v>53</v>
      </c>
      <c r="AC950" t="s">
        <v>254</v>
      </c>
    </row>
    <row r="951" spans="1:30" x14ac:dyDescent="0.2">
      <c r="A951" s="3">
        <v>42589</v>
      </c>
      <c r="B951" t="s">
        <v>23</v>
      </c>
      <c r="C951">
        <v>113</v>
      </c>
      <c r="D951">
        <v>4</v>
      </c>
      <c r="E951">
        <v>1</v>
      </c>
      <c r="F951" t="s">
        <v>64</v>
      </c>
      <c r="G951" t="s">
        <v>25</v>
      </c>
      <c r="H951" t="s">
        <v>26</v>
      </c>
      <c r="I951" t="s">
        <v>27</v>
      </c>
      <c r="J951" t="s">
        <v>28</v>
      </c>
      <c r="K951" t="s">
        <v>188</v>
      </c>
      <c r="L951" t="s">
        <v>35</v>
      </c>
      <c r="M951">
        <v>0</v>
      </c>
      <c r="N951">
        <v>0</v>
      </c>
      <c r="O951" s="17" t="s">
        <v>1180</v>
      </c>
      <c r="P951" s="17" t="s">
        <v>1181</v>
      </c>
      <c r="R951" t="s">
        <v>39</v>
      </c>
      <c r="T951">
        <v>20</v>
      </c>
      <c r="U951">
        <v>82</v>
      </c>
      <c r="V951">
        <v>16</v>
      </c>
      <c r="W951">
        <v>13</v>
      </c>
      <c r="X951">
        <v>27.3</v>
      </c>
      <c r="Z951" t="s">
        <v>145</v>
      </c>
      <c r="AB951" t="s">
        <v>121</v>
      </c>
      <c r="AC951" t="s">
        <v>59</v>
      </c>
      <c r="AD951" t="s">
        <v>1244</v>
      </c>
    </row>
    <row r="952" spans="1:30" x14ac:dyDescent="0.2">
      <c r="A952" s="3">
        <v>42599</v>
      </c>
      <c r="B952" t="s">
        <v>23</v>
      </c>
      <c r="C952">
        <v>113</v>
      </c>
      <c r="D952">
        <v>8</v>
      </c>
      <c r="E952">
        <v>2</v>
      </c>
      <c r="F952" t="s">
        <v>24</v>
      </c>
      <c r="G952" t="s">
        <v>25</v>
      </c>
      <c r="H952" t="s">
        <v>26</v>
      </c>
      <c r="I952" t="s">
        <v>27</v>
      </c>
      <c r="J952" t="s">
        <v>28</v>
      </c>
      <c r="K952" t="s">
        <v>188</v>
      </c>
      <c r="L952" t="s">
        <v>35</v>
      </c>
      <c r="M952">
        <v>0</v>
      </c>
      <c r="N952">
        <v>0</v>
      </c>
      <c r="O952" s="17" t="s">
        <v>1180</v>
      </c>
      <c r="P952" s="17" t="s">
        <v>1181</v>
      </c>
      <c r="Q952">
        <f>37-19</f>
        <v>18</v>
      </c>
      <c r="R952" t="s">
        <v>39</v>
      </c>
      <c r="T952">
        <v>19</v>
      </c>
      <c r="U952">
        <v>83</v>
      </c>
      <c r="V952">
        <v>15</v>
      </c>
      <c r="W952">
        <v>13.25</v>
      </c>
      <c r="X952">
        <v>29.3</v>
      </c>
      <c r="AB952" t="s">
        <v>121</v>
      </c>
      <c r="AC952" t="s">
        <v>59</v>
      </c>
    </row>
    <row r="953" spans="1:30" x14ac:dyDescent="0.2">
      <c r="A953" s="3">
        <v>42600</v>
      </c>
      <c r="B953" t="s">
        <v>23</v>
      </c>
      <c r="C953">
        <v>113</v>
      </c>
      <c r="D953">
        <v>9</v>
      </c>
      <c r="E953">
        <v>1</v>
      </c>
      <c r="F953" t="s">
        <v>24</v>
      </c>
      <c r="G953" t="s">
        <v>25</v>
      </c>
      <c r="H953" t="s">
        <v>26</v>
      </c>
      <c r="I953" t="s">
        <v>27</v>
      </c>
      <c r="J953" t="s">
        <v>28</v>
      </c>
      <c r="K953" t="s">
        <v>188</v>
      </c>
      <c r="L953" t="s">
        <v>35</v>
      </c>
      <c r="M953">
        <v>0</v>
      </c>
      <c r="N953">
        <v>0</v>
      </c>
      <c r="O953" s="17" t="s">
        <v>1180</v>
      </c>
      <c r="P953" s="17" t="s">
        <v>1181</v>
      </c>
      <c r="Q953">
        <f>31.5-13</f>
        <v>18.5</v>
      </c>
      <c r="R953" t="s">
        <v>39</v>
      </c>
      <c r="T953">
        <v>19</v>
      </c>
      <c r="U953">
        <v>84</v>
      </c>
      <c r="V953">
        <v>19.5</v>
      </c>
      <c r="W953">
        <v>13.5</v>
      </c>
      <c r="X953">
        <v>28</v>
      </c>
      <c r="AB953" t="s">
        <v>121</v>
      </c>
      <c r="AC953" t="s">
        <v>59</v>
      </c>
    </row>
    <row r="954" spans="1:30" x14ac:dyDescent="0.2">
      <c r="A954" s="3">
        <v>42576</v>
      </c>
      <c r="B954" t="s">
        <v>23</v>
      </c>
      <c r="C954">
        <v>901</v>
      </c>
      <c r="D954">
        <v>4</v>
      </c>
      <c r="E954">
        <v>1</v>
      </c>
      <c r="F954" t="s">
        <v>24</v>
      </c>
      <c r="G954" t="s">
        <v>25</v>
      </c>
      <c r="H954" t="s">
        <v>26</v>
      </c>
      <c r="I954" t="s">
        <v>27</v>
      </c>
      <c r="J954" t="s">
        <v>34</v>
      </c>
      <c r="K954" t="s">
        <v>29</v>
      </c>
      <c r="L954" t="s">
        <v>35</v>
      </c>
      <c r="M954">
        <v>0</v>
      </c>
      <c r="N954">
        <v>1</v>
      </c>
      <c r="O954" s="17">
        <v>50920</v>
      </c>
      <c r="P954" s="17">
        <v>50921</v>
      </c>
      <c r="Q954">
        <f>32.5-12</f>
        <v>20.5</v>
      </c>
      <c r="R954" t="s">
        <v>63</v>
      </c>
      <c r="T954">
        <v>17</v>
      </c>
      <c r="U954">
        <v>83</v>
      </c>
      <c r="V954">
        <v>17</v>
      </c>
      <c r="W954">
        <v>13.7</v>
      </c>
      <c r="X954">
        <v>27</v>
      </c>
      <c r="Y954" t="s">
        <v>761</v>
      </c>
      <c r="Z954" t="s">
        <v>32</v>
      </c>
      <c r="AB954" t="s">
        <v>121</v>
      </c>
      <c r="AC954" t="s">
        <v>122</v>
      </c>
    </row>
    <row r="955" spans="1:30" x14ac:dyDescent="0.2">
      <c r="A955" s="3">
        <v>42576</v>
      </c>
      <c r="B955" t="s">
        <v>23</v>
      </c>
      <c r="C955">
        <v>801</v>
      </c>
      <c r="D955">
        <v>9</v>
      </c>
      <c r="E955">
        <v>1</v>
      </c>
      <c r="F955" t="s">
        <v>24</v>
      </c>
      <c r="G955" t="s">
        <v>25</v>
      </c>
      <c r="H955" t="s">
        <v>26</v>
      </c>
      <c r="I955" t="s">
        <v>27</v>
      </c>
      <c r="J955" t="s">
        <v>34</v>
      </c>
      <c r="K955" t="s">
        <v>123</v>
      </c>
      <c r="L955" t="s">
        <v>30</v>
      </c>
      <c r="M955">
        <v>0</v>
      </c>
      <c r="N955">
        <v>1</v>
      </c>
      <c r="O955" s="17">
        <v>50923</v>
      </c>
      <c r="P955" s="17">
        <v>50922</v>
      </c>
      <c r="Q955">
        <f>27-15.5</f>
        <v>11.5</v>
      </c>
      <c r="R955" t="s">
        <v>31</v>
      </c>
      <c r="S955" t="s">
        <v>32</v>
      </c>
      <c r="T955">
        <v>19</v>
      </c>
      <c r="U955">
        <v>81</v>
      </c>
      <c r="V955">
        <v>16</v>
      </c>
      <c r="W955">
        <v>12.8</v>
      </c>
      <c r="X955">
        <v>26.7</v>
      </c>
      <c r="Z955" t="s">
        <v>32</v>
      </c>
      <c r="AB955" t="s">
        <v>121</v>
      </c>
      <c r="AC955" t="s">
        <v>122</v>
      </c>
    </row>
    <row r="956" spans="1:30" x14ac:dyDescent="0.2">
      <c r="A956" s="3">
        <v>42605</v>
      </c>
      <c r="B956" t="s">
        <v>23</v>
      </c>
      <c r="C956">
        <v>801</v>
      </c>
      <c r="D956">
        <v>6</v>
      </c>
      <c r="E956">
        <v>2</v>
      </c>
      <c r="F956" t="s">
        <v>24</v>
      </c>
      <c r="G956" t="s">
        <v>25</v>
      </c>
      <c r="H956" t="s">
        <v>26</v>
      </c>
      <c r="I956" t="s">
        <v>27</v>
      </c>
      <c r="J956" t="s">
        <v>28</v>
      </c>
      <c r="K956" t="s">
        <v>188</v>
      </c>
      <c r="L956" t="s">
        <v>30</v>
      </c>
      <c r="M956">
        <v>0</v>
      </c>
      <c r="N956">
        <v>0</v>
      </c>
      <c r="O956" s="17" t="s">
        <v>1909</v>
      </c>
      <c r="P956" s="17" t="s">
        <v>1910</v>
      </c>
      <c r="Q956">
        <f>31-13</f>
        <v>18</v>
      </c>
      <c r="R956" t="s">
        <v>31</v>
      </c>
      <c r="S956" t="s">
        <v>32</v>
      </c>
      <c r="T956">
        <v>20</v>
      </c>
      <c r="U956">
        <v>92</v>
      </c>
      <c r="V956">
        <v>16.5</v>
      </c>
      <c r="W956">
        <v>12.85</v>
      </c>
      <c r="X956">
        <v>27.4</v>
      </c>
      <c r="Z956" t="s">
        <v>145</v>
      </c>
      <c r="AB956" t="s">
        <v>44</v>
      </c>
      <c r="AC956" t="s">
        <v>59</v>
      </c>
      <c r="AD956" t="s">
        <v>1911</v>
      </c>
    </row>
    <row r="957" spans="1:30" x14ac:dyDescent="0.2">
      <c r="A957" s="3">
        <v>42606</v>
      </c>
      <c r="B957" t="s">
        <v>23</v>
      </c>
      <c r="C957">
        <v>801</v>
      </c>
      <c r="D957">
        <v>7</v>
      </c>
      <c r="E957">
        <v>2</v>
      </c>
      <c r="F957" t="s">
        <v>24</v>
      </c>
      <c r="G957" t="s">
        <v>25</v>
      </c>
      <c r="H957" t="s">
        <v>26</v>
      </c>
      <c r="I957" t="s">
        <v>27</v>
      </c>
      <c r="J957" t="s">
        <v>28</v>
      </c>
      <c r="K957" t="s">
        <v>188</v>
      </c>
      <c r="L957" t="s">
        <v>30</v>
      </c>
      <c r="M957">
        <v>0</v>
      </c>
      <c r="N957">
        <v>0</v>
      </c>
      <c r="O957" s="17" t="s">
        <v>1909</v>
      </c>
      <c r="P957" s="17" t="s">
        <v>1910</v>
      </c>
      <c r="Q957">
        <f>31-14</f>
        <v>17</v>
      </c>
      <c r="R957" t="s">
        <v>31</v>
      </c>
      <c r="S957" t="s">
        <v>32</v>
      </c>
      <c r="T957">
        <v>20</v>
      </c>
      <c r="U957">
        <v>90</v>
      </c>
      <c r="V957">
        <v>17</v>
      </c>
      <c r="W957">
        <v>12.8</v>
      </c>
      <c r="X957">
        <v>25.05</v>
      </c>
      <c r="Z957" t="s">
        <v>145</v>
      </c>
      <c r="AB957" t="s">
        <v>44</v>
      </c>
      <c r="AC957" t="s">
        <v>59</v>
      </c>
      <c r="AD957" t="s">
        <v>1068</v>
      </c>
    </row>
    <row r="958" spans="1:30" x14ac:dyDescent="0.2">
      <c r="A958" s="3">
        <v>42584</v>
      </c>
      <c r="B958" t="s">
        <v>23</v>
      </c>
      <c r="C958">
        <v>201</v>
      </c>
      <c r="D958">
        <v>5</v>
      </c>
      <c r="E958">
        <v>2</v>
      </c>
      <c r="F958" t="s">
        <v>24</v>
      </c>
      <c r="G958" t="s">
        <v>25</v>
      </c>
      <c r="H958" t="s">
        <v>26</v>
      </c>
      <c r="I958" t="s">
        <v>27</v>
      </c>
      <c r="J958" t="s">
        <v>34</v>
      </c>
      <c r="K958" t="s">
        <v>188</v>
      </c>
      <c r="L958" t="s">
        <v>35</v>
      </c>
      <c r="M958">
        <v>0</v>
      </c>
      <c r="N958">
        <v>1</v>
      </c>
      <c r="O958" s="17">
        <v>50928</v>
      </c>
      <c r="P958" s="17">
        <v>50927</v>
      </c>
      <c r="Q958">
        <f>27-12.5</f>
        <v>14.5</v>
      </c>
      <c r="R958" t="s">
        <v>63</v>
      </c>
      <c r="T958">
        <v>17</v>
      </c>
      <c r="U958">
        <v>80</v>
      </c>
      <c r="V958">
        <v>15.5</v>
      </c>
      <c r="W958">
        <v>12.6</v>
      </c>
      <c r="X958">
        <v>25.3</v>
      </c>
      <c r="Z958" t="s">
        <v>32</v>
      </c>
      <c r="AA958" t="s">
        <v>260</v>
      </c>
      <c r="AB958" t="s">
        <v>44</v>
      </c>
      <c r="AC958" t="s">
        <v>59</v>
      </c>
    </row>
    <row r="959" spans="1:30" x14ac:dyDescent="0.2">
      <c r="A959" s="3">
        <v>42585</v>
      </c>
      <c r="B959" t="s">
        <v>23</v>
      </c>
      <c r="C959">
        <v>201</v>
      </c>
      <c r="D959">
        <v>4</v>
      </c>
      <c r="E959">
        <v>1</v>
      </c>
      <c r="F959" t="s">
        <v>24</v>
      </c>
      <c r="G959" t="s">
        <v>25</v>
      </c>
      <c r="H959" t="s">
        <v>26</v>
      </c>
      <c r="I959" t="s">
        <v>27</v>
      </c>
      <c r="J959" t="s">
        <v>28</v>
      </c>
      <c r="K959" t="s">
        <v>188</v>
      </c>
      <c r="L959" t="s">
        <v>35</v>
      </c>
      <c r="M959">
        <v>0</v>
      </c>
      <c r="N959">
        <v>0</v>
      </c>
      <c r="O959" s="17">
        <v>50928</v>
      </c>
      <c r="P959" s="17">
        <v>50927</v>
      </c>
      <c r="Q959">
        <f>27.5-13</f>
        <v>14.5</v>
      </c>
      <c r="R959" t="s">
        <v>39</v>
      </c>
      <c r="T959">
        <v>19</v>
      </c>
      <c r="U959">
        <v>81</v>
      </c>
      <c r="V959">
        <v>15</v>
      </c>
      <c r="W959">
        <v>12.7</v>
      </c>
      <c r="X959">
        <v>25.2</v>
      </c>
      <c r="Z959" t="s">
        <v>32</v>
      </c>
      <c r="AB959" t="s">
        <v>44</v>
      </c>
      <c r="AC959" t="s">
        <v>59</v>
      </c>
    </row>
    <row r="960" spans="1:30" x14ac:dyDescent="0.2">
      <c r="A960" s="3">
        <v>42586</v>
      </c>
      <c r="B960" t="s">
        <v>23</v>
      </c>
      <c r="C960">
        <v>201</v>
      </c>
      <c r="D960">
        <v>5</v>
      </c>
      <c r="E960">
        <v>2</v>
      </c>
      <c r="F960" t="s">
        <v>24</v>
      </c>
      <c r="G960" t="s">
        <v>25</v>
      </c>
      <c r="H960" t="s">
        <v>26</v>
      </c>
      <c r="I960" t="s">
        <v>27</v>
      </c>
      <c r="J960" t="s">
        <v>28</v>
      </c>
      <c r="K960" t="s">
        <v>188</v>
      </c>
      <c r="L960" t="s">
        <v>35</v>
      </c>
      <c r="M960">
        <v>0</v>
      </c>
      <c r="N960">
        <v>0</v>
      </c>
      <c r="O960" s="17">
        <v>50928</v>
      </c>
      <c r="P960" s="17">
        <v>50927</v>
      </c>
      <c r="Q960">
        <f>29-14.5</f>
        <v>14.5</v>
      </c>
      <c r="R960" t="s">
        <v>63</v>
      </c>
      <c r="T960">
        <v>18</v>
      </c>
      <c r="U960">
        <v>80</v>
      </c>
      <c r="V960">
        <v>16.5</v>
      </c>
      <c r="W960">
        <v>12.3</v>
      </c>
      <c r="X960">
        <v>27.1</v>
      </c>
      <c r="Z960" t="s">
        <v>32</v>
      </c>
      <c r="AB960" t="s">
        <v>44</v>
      </c>
      <c r="AC960" t="s">
        <v>59</v>
      </c>
    </row>
    <row r="961" spans="1:30" x14ac:dyDescent="0.2">
      <c r="A961" s="3">
        <v>42598</v>
      </c>
      <c r="B961" t="s">
        <v>23</v>
      </c>
      <c r="C961">
        <v>201</v>
      </c>
      <c r="D961">
        <v>4</v>
      </c>
      <c r="E961">
        <v>1</v>
      </c>
      <c r="F961" t="s">
        <v>64</v>
      </c>
      <c r="G961" t="s">
        <v>25</v>
      </c>
      <c r="H961" t="s">
        <v>26</v>
      </c>
      <c r="I961" t="s">
        <v>27</v>
      </c>
      <c r="J961" t="s">
        <v>28</v>
      </c>
      <c r="K961" t="s">
        <v>188</v>
      </c>
      <c r="L961" t="s">
        <v>35</v>
      </c>
      <c r="M961">
        <v>0</v>
      </c>
      <c r="N961">
        <v>0</v>
      </c>
      <c r="O961" s="17" t="s">
        <v>1532</v>
      </c>
      <c r="P961" s="17" t="s">
        <v>1533</v>
      </c>
      <c r="Q961">
        <f>28.5-14</f>
        <v>14.5</v>
      </c>
      <c r="R961" t="s">
        <v>63</v>
      </c>
      <c r="T961">
        <v>18</v>
      </c>
      <c r="U961">
        <v>82</v>
      </c>
      <c r="V961">
        <v>17</v>
      </c>
      <c r="W961">
        <v>13</v>
      </c>
      <c r="X961">
        <v>26</v>
      </c>
      <c r="Z961" t="s">
        <v>145</v>
      </c>
      <c r="AA961" t="s">
        <v>260</v>
      </c>
      <c r="AB961" t="s">
        <v>121</v>
      </c>
      <c r="AC961" t="s">
        <v>122</v>
      </c>
    </row>
    <row r="962" spans="1:30" x14ac:dyDescent="0.2">
      <c r="A962" s="3">
        <v>42584</v>
      </c>
      <c r="B962" t="s">
        <v>23</v>
      </c>
      <c r="C962">
        <v>201</v>
      </c>
      <c r="D962">
        <v>7</v>
      </c>
      <c r="E962">
        <v>2</v>
      </c>
      <c r="F962" t="s">
        <v>24</v>
      </c>
      <c r="G962" t="s">
        <v>25</v>
      </c>
      <c r="H962" t="s">
        <v>26</v>
      </c>
      <c r="I962" t="s">
        <v>27</v>
      </c>
      <c r="J962" t="s">
        <v>34</v>
      </c>
      <c r="K962" t="s">
        <v>123</v>
      </c>
      <c r="L962" t="s">
        <v>30</v>
      </c>
      <c r="M962">
        <v>0</v>
      </c>
      <c r="N962">
        <v>1</v>
      </c>
      <c r="O962" s="17">
        <v>50930</v>
      </c>
      <c r="P962" s="17">
        <v>50929</v>
      </c>
      <c r="Q962">
        <f>27-14</f>
        <v>13</v>
      </c>
      <c r="R962" t="s">
        <v>31</v>
      </c>
      <c r="S962" t="s">
        <v>32</v>
      </c>
      <c r="T962">
        <v>16</v>
      </c>
      <c r="U962">
        <v>79</v>
      </c>
      <c r="V962">
        <v>16</v>
      </c>
      <c r="W962">
        <v>12.8</v>
      </c>
      <c r="X962">
        <v>25</v>
      </c>
      <c r="Z962" t="s">
        <v>32</v>
      </c>
      <c r="AA962" t="s">
        <v>260</v>
      </c>
      <c r="AB962" t="s">
        <v>44</v>
      </c>
      <c r="AC962" t="s">
        <v>59</v>
      </c>
    </row>
    <row r="963" spans="1:30" x14ac:dyDescent="0.2">
      <c r="A963" s="3">
        <v>42585</v>
      </c>
      <c r="B963" t="s">
        <v>23</v>
      </c>
      <c r="C963">
        <v>201</v>
      </c>
      <c r="D963">
        <v>7</v>
      </c>
      <c r="E963">
        <v>2</v>
      </c>
      <c r="F963" t="s">
        <v>24</v>
      </c>
      <c r="G963" t="s">
        <v>25</v>
      </c>
      <c r="H963" t="s">
        <v>26</v>
      </c>
      <c r="I963" t="s">
        <v>27</v>
      </c>
      <c r="J963" t="s">
        <v>28</v>
      </c>
      <c r="K963" t="s">
        <v>123</v>
      </c>
      <c r="L963" t="s">
        <v>30</v>
      </c>
      <c r="M963">
        <v>0</v>
      </c>
      <c r="N963">
        <v>0</v>
      </c>
      <c r="O963" s="17" t="s">
        <v>2212</v>
      </c>
      <c r="P963" s="17">
        <v>50929</v>
      </c>
      <c r="Q963">
        <v>13</v>
      </c>
      <c r="R963" t="s">
        <v>31</v>
      </c>
      <c r="S963" t="s">
        <v>32</v>
      </c>
      <c r="Z963" t="s">
        <v>32</v>
      </c>
      <c r="AB963" t="s">
        <v>44</v>
      </c>
      <c r="AC963" t="s">
        <v>59</v>
      </c>
      <c r="AD963" t="s">
        <v>858</v>
      </c>
    </row>
    <row r="964" spans="1:30" x14ac:dyDescent="0.2">
      <c r="A964" s="3">
        <v>42586</v>
      </c>
      <c r="B964" t="s">
        <v>23</v>
      </c>
      <c r="C964">
        <v>201</v>
      </c>
      <c r="D964">
        <v>7</v>
      </c>
      <c r="E964">
        <v>2</v>
      </c>
      <c r="F964" t="s">
        <v>24</v>
      </c>
      <c r="G964" t="s">
        <v>25</v>
      </c>
      <c r="H964" t="s">
        <v>26</v>
      </c>
      <c r="I964" t="s">
        <v>27</v>
      </c>
      <c r="J964" t="s">
        <v>28</v>
      </c>
      <c r="K964" t="s">
        <v>123</v>
      </c>
      <c r="L964" t="s">
        <v>30</v>
      </c>
      <c r="M964">
        <v>0</v>
      </c>
      <c r="N964">
        <v>0</v>
      </c>
      <c r="O964" s="17" t="s">
        <v>2212</v>
      </c>
      <c r="P964" s="17">
        <v>50929</v>
      </c>
      <c r="Q964">
        <v>13</v>
      </c>
      <c r="Z964" t="s">
        <v>32</v>
      </c>
    </row>
    <row r="965" spans="1:30" x14ac:dyDescent="0.2">
      <c r="A965" s="3">
        <v>42598</v>
      </c>
      <c r="B965" t="s">
        <v>23</v>
      </c>
      <c r="C965">
        <v>201</v>
      </c>
      <c r="D965">
        <v>10</v>
      </c>
      <c r="E965">
        <v>2</v>
      </c>
      <c r="F965" t="s">
        <v>64</v>
      </c>
      <c r="G965" t="s">
        <v>25</v>
      </c>
      <c r="H965" t="s">
        <v>26</v>
      </c>
      <c r="I965" t="s">
        <v>27</v>
      </c>
      <c r="J965" t="s">
        <v>45</v>
      </c>
      <c r="K965" t="s">
        <v>123</v>
      </c>
      <c r="L965" t="s">
        <v>30</v>
      </c>
      <c r="M965">
        <v>1</v>
      </c>
      <c r="N965">
        <v>0</v>
      </c>
      <c r="O965" s="17" t="s">
        <v>2212</v>
      </c>
      <c r="P965" s="17" t="s">
        <v>1545</v>
      </c>
      <c r="Q965">
        <f>29.5-16</f>
        <v>13.5</v>
      </c>
      <c r="R965" t="s">
        <v>31</v>
      </c>
      <c r="S965" t="s">
        <v>32</v>
      </c>
      <c r="T965">
        <v>17.5</v>
      </c>
      <c r="U965">
        <v>75</v>
      </c>
      <c r="V965">
        <v>16</v>
      </c>
      <c r="W965">
        <v>12.9</v>
      </c>
      <c r="X965">
        <v>26.1</v>
      </c>
      <c r="Z965" t="s">
        <v>145</v>
      </c>
      <c r="AA965" t="s">
        <v>260</v>
      </c>
      <c r="AB965" t="s">
        <v>121</v>
      </c>
      <c r="AC965" t="s">
        <v>122</v>
      </c>
      <c r="AD965" t="s">
        <v>1546</v>
      </c>
    </row>
    <row r="966" spans="1:30" x14ac:dyDescent="0.2">
      <c r="A966" s="3">
        <v>42584</v>
      </c>
      <c r="B966" t="s">
        <v>23</v>
      </c>
      <c r="C966">
        <v>202</v>
      </c>
      <c r="D966">
        <v>2</v>
      </c>
      <c r="E966">
        <v>2</v>
      </c>
      <c r="F966" t="s">
        <v>24</v>
      </c>
      <c r="G966" t="s">
        <v>25</v>
      </c>
      <c r="H966" t="s">
        <v>26</v>
      </c>
      <c r="I966" t="s">
        <v>27</v>
      </c>
      <c r="J966" t="s">
        <v>34</v>
      </c>
      <c r="K966" t="s">
        <v>188</v>
      </c>
      <c r="L966" t="s">
        <v>35</v>
      </c>
      <c r="M966">
        <v>0</v>
      </c>
      <c r="N966">
        <v>1</v>
      </c>
      <c r="O966" s="17">
        <v>50937</v>
      </c>
      <c r="P966" s="17">
        <v>50936</v>
      </c>
      <c r="Q966">
        <f>28-12.5</f>
        <v>15.5</v>
      </c>
      <c r="R966" t="s">
        <v>63</v>
      </c>
      <c r="T966">
        <v>19</v>
      </c>
      <c r="U966">
        <v>86</v>
      </c>
      <c r="V966">
        <v>16</v>
      </c>
      <c r="W966">
        <v>12.8</v>
      </c>
      <c r="X966">
        <v>26.4</v>
      </c>
      <c r="Z966" t="s">
        <v>32</v>
      </c>
      <c r="AB966" t="s">
        <v>44</v>
      </c>
      <c r="AC966" t="s">
        <v>59</v>
      </c>
    </row>
    <row r="967" spans="1:30" x14ac:dyDescent="0.2">
      <c r="A967" s="3">
        <v>42585</v>
      </c>
      <c r="B967" t="s">
        <v>23</v>
      </c>
      <c r="C967">
        <v>202</v>
      </c>
      <c r="D967">
        <v>2</v>
      </c>
      <c r="E967">
        <v>1</v>
      </c>
      <c r="F967" t="s">
        <v>24</v>
      </c>
      <c r="G967" t="s">
        <v>25</v>
      </c>
      <c r="H967" t="s">
        <v>26</v>
      </c>
      <c r="I967" t="s">
        <v>27</v>
      </c>
      <c r="J967" t="s">
        <v>28</v>
      </c>
      <c r="K967" t="s">
        <v>188</v>
      </c>
      <c r="L967" t="s">
        <v>35</v>
      </c>
      <c r="M967">
        <v>0</v>
      </c>
      <c r="N967">
        <v>0</v>
      </c>
      <c r="O967" s="17">
        <v>50937</v>
      </c>
      <c r="P967" s="17">
        <v>50936</v>
      </c>
      <c r="Q967">
        <f>29-14</f>
        <v>15</v>
      </c>
      <c r="R967" t="s">
        <v>63</v>
      </c>
      <c r="T967">
        <v>19</v>
      </c>
      <c r="U967">
        <v>87</v>
      </c>
      <c r="V967">
        <v>15</v>
      </c>
      <c r="W967">
        <v>12.5</v>
      </c>
      <c r="X967">
        <v>24.5</v>
      </c>
      <c r="Z967" t="s">
        <v>32</v>
      </c>
      <c r="AB967" t="s">
        <v>44</v>
      </c>
      <c r="AC967" t="s">
        <v>59</v>
      </c>
    </row>
    <row r="968" spans="1:30" x14ac:dyDescent="0.2">
      <c r="A968" s="3">
        <v>42586</v>
      </c>
      <c r="B968" t="s">
        <v>23</v>
      </c>
      <c r="C968">
        <v>202</v>
      </c>
      <c r="D968">
        <v>2</v>
      </c>
      <c r="E968">
        <v>2</v>
      </c>
      <c r="F968" t="s">
        <v>24</v>
      </c>
      <c r="G968" t="s">
        <v>25</v>
      </c>
      <c r="H968" t="s">
        <v>26</v>
      </c>
      <c r="I968" t="s">
        <v>27</v>
      </c>
      <c r="J968" t="s">
        <v>28</v>
      </c>
      <c r="K968" t="s">
        <v>188</v>
      </c>
      <c r="L968" t="s">
        <v>35</v>
      </c>
      <c r="M968">
        <v>0</v>
      </c>
      <c r="N968">
        <v>0</v>
      </c>
      <c r="O968" s="17">
        <v>50937</v>
      </c>
      <c r="P968" s="17">
        <v>50936</v>
      </c>
      <c r="Q968">
        <v>16</v>
      </c>
      <c r="R968" t="s">
        <v>39</v>
      </c>
      <c r="T968">
        <v>20</v>
      </c>
      <c r="U968">
        <v>87</v>
      </c>
      <c r="V968">
        <v>15</v>
      </c>
      <c r="W968">
        <v>12.8</v>
      </c>
      <c r="X968">
        <v>25.8</v>
      </c>
      <c r="Z968" t="s">
        <v>32</v>
      </c>
      <c r="AB968" t="s">
        <v>44</v>
      </c>
      <c r="AC968" t="s">
        <v>59</v>
      </c>
    </row>
    <row r="969" spans="1:30" x14ac:dyDescent="0.2">
      <c r="A969" s="3">
        <v>42598</v>
      </c>
      <c r="B969" t="s">
        <v>23</v>
      </c>
      <c r="C969">
        <v>202</v>
      </c>
      <c r="D969">
        <v>2</v>
      </c>
      <c r="E969">
        <v>1</v>
      </c>
      <c r="F969" t="s">
        <v>64</v>
      </c>
      <c r="G969" t="s">
        <v>25</v>
      </c>
      <c r="H969" t="s">
        <v>26</v>
      </c>
      <c r="I969" t="s">
        <v>27</v>
      </c>
      <c r="J969" t="s">
        <v>28</v>
      </c>
      <c r="K969" t="s">
        <v>188</v>
      </c>
      <c r="L969" t="s">
        <v>35</v>
      </c>
      <c r="M969">
        <v>0</v>
      </c>
      <c r="N969">
        <v>0</v>
      </c>
      <c r="O969" s="17" t="s">
        <v>1569</v>
      </c>
      <c r="P969" s="17" t="s">
        <v>1570</v>
      </c>
      <c r="Q969">
        <f>37-19</f>
        <v>18</v>
      </c>
      <c r="R969" t="s">
        <v>63</v>
      </c>
      <c r="T969">
        <v>19</v>
      </c>
      <c r="U969">
        <v>87</v>
      </c>
      <c r="V969">
        <v>16</v>
      </c>
      <c r="W969">
        <v>12.9</v>
      </c>
      <c r="X969">
        <v>27.5</v>
      </c>
      <c r="Z969" t="s">
        <v>145</v>
      </c>
      <c r="AB969" t="s">
        <v>121</v>
      </c>
      <c r="AC969" t="s">
        <v>122</v>
      </c>
    </row>
    <row r="970" spans="1:30" x14ac:dyDescent="0.2">
      <c r="A970" s="3">
        <v>42599</v>
      </c>
      <c r="B970" t="s">
        <v>23</v>
      </c>
      <c r="C970">
        <v>202</v>
      </c>
      <c r="D970">
        <v>2</v>
      </c>
      <c r="E970">
        <v>1</v>
      </c>
      <c r="F970" t="s">
        <v>64</v>
      </c>
      <c r="G970" t="s">
        <v>25</v>
      </c>
      <c r="H970" t="s">
        <v>26</v>
      </c>
      <c r="I970" t="s">
        <v>27</v>
      </c>
      <c r="J970" t="s">
        <v>28</v>
      </c>
      <c r="K970" t="s">
        <v>188</v>
      </c>
      <c r="L970" t="s">
        <v>35</v>
      </c>
      <c r="M970">
        <v>0</v>
      </c>
      <c r="N970">
        <v>0</v>
      </c>
      <c r="O970" s="17" t="s">
        <v>1569</v>
      </c>
      <c r="P970" s="17" t="s">
        <v>1570</v>
      </c>
      <c r="Q970">
        <f>30-14</f>
        <v>16</v>
      </c>
      <c r="R970" t="s">
        <v>63</v>
      </c>
      <c r="T970">
        <v>19</v>
      </c>
      <c r="U970">
        <v>88</v>
      </c>
      <c r="V970">
        <v>16</v>
      </c>
      <c r="W970">
        <v>13.1</v>
      </c>
      <c r="X970">
        <v>27</v>
      </c>
      <c r="Z970" t="s">
        <v>145</v>
      </c>
      <c r="AB970" t="s">
        <v>121</v>
      </c>
      <c r="AC970" t="s">
        <v>59</v>
      </c>
    </row>
    <row r="971" spans="1:30" x14ac:dyDescent="0.2">
      <c r="A971" s="3">
        <v>42600</v>
      </c>
      <c r="B971" t="s">
        <v>23</v>
      </c>
      <c r="C971">
        <v>202</v>
      </c>
      <c r="D971">
        <v>2</v>
      </c>
      <c r="E971">
        <v>2</v>
      </c>
      <c r="F971" t="s">
        <v>64</v>
      </c>
      <c r="G971" t="s">
        <v>25</v>
      </c>
      <c r="H971" t="s">
        <v>26</v>
      </c>
      <c r="I971" t="s">
        <v>27</v>
      </c>
      <c r="J971" t="s">
        <v>28</v>
      </c>
      <c r="K971" t="s">
        <v>188</v>
      </c>
      <c r="L971" t="s">
        <v>35</v>
      </c>
      <c r="M971">
        <v>0</v>
      </c>
      <c r="N971">
        <v>0</v>
      </c>
      <c r="O971" s="17" t="s">
        <v>1569</v>
      </c>
      <c r="P971" s="17" t="s">
        <v>1570</v>
      </c>
      <c r="Q971">
        <f>29.5-15</f>
        <v>14.5</v>
      </c>
      <c r="R971" t="s">
        <v>63</v>
      </c>
      <c r="T971">
        <v>19.5</v>
      </c>
      <c r="U971">
        <v>88</v>
      </c>
      <c r="V971">
        <v>14</v>
      </c>
      <c r="W971">
        <v>13</v>
      </c>
      <c r="X971">
        <v>27.4</v>
      </c>
      <c r="Z971" t="s">
        <v>145</v>
      </c>
      <c r="AA971" t="s">
        <v>260</v>
      </c>
      <c r="AB971" t="s">
        <v>121</v>
      </c>
      <c r="AC971" t="s">
        <v>122</v>
      </c>
    </row>
    <row r="972" spans="1:30" x14ac:dyDescent="0.2">
      <c r="A972" s="3">
        <v>42584</v>
      </c>
      <c r="B972" t="s">
        <v>23</v>
      </c>
      <c r="C972">
        <v>304</v>
      </c>
      <c r="D972">
        <v>1</v>
      </c>
      <c r="E972">
        <v>2</v>
      </c>
      <c r="F972" t="s">
        <v>24</v>
      </c>
      <c r="G972" t="s">
        <v>25</v>
      </c>
      <c r="H972" t="s">
        <v>26</v>
      </c>
      <c r="I972" t="s">
        <v>27</v>
      </c>
      <c r="J972" t="s">
        <v>34</v>
      </c>
      <c r="K972" t="s">
        <v>188</v>
      </c>
      <c r="L972" t="s">
        <v>35</v>
      </c>
      <c r="M972">
        <v>0</v>
      </c>
      <c r="N972">
        <v>1</v>
      </c>
      <c r="O972" s="17">
        <v>50944</v>
      </c>
      <c r="P972" s="17">
        <v>50943</v>
      </c>
      <c r="R972" t="s">
        <v>63</v>
      </c>
      <c r="T972">
        <v>20</v>
      </c>
      <c r="U972">
        <v>83</v>
      </c>
      <c r="V972">
        <v>16</v>
      </c>
      <c r="W972">
        <v>13.1</v>
      </c>
      <c r="X972">
        <v>29.1</v>
      </c>
      <c r="Z972" t="s">
        <v>145</v>
      </c>
      <c r="AB972" t="s">
        <v>44</v>
      </c>
      <c r="AC972" t="s">
        <v>59</v>
      </c>
    </row>
    <row r="973" spans="1:30" x14ac:dyDescent="0.2">
      <c r="A973" s="3">
        <v>42585</v>
      </c>
      <c r="B973" t="s">
        <v>23</v>
      </c>
      <c r="C973">
        <v>304</v>
      </c>
      <c r="D973">
        <v>1</v>
      </c>
      <c r="E973">
        <v>1</v>
      </c>
      <c r="F973" t="s">
        <v>64</v>
      </c>
      <c r="G973" t="s">
        <v>25</v>
      </c>
      <c r="H973" t="s">
        <v>26</v>
      </c>
      <c r="I973" t="s">
        <v>27</v>
      </c>
      <c r="J973" t="s">
        <v>28</v>
      </c>
      <c r="K973" t="s">
        <v>188</v>
      </c>
      <c r="L973" t="s">
        <v>35</v>
      </c>
      <c r="M973">
        <v>0</v>
      </c>
      <c r="N973">
        <v>0</v>
      </c>
      <c r="O973" s="17">
        <v>50944</v>
      </c>
      <c r="P973" s="17">
        <v>50943</v>
      </c>
      <c r="Q973">
        <f>30-13.5</f>
        <v>16.5</v>
      </c>
      <c r="R973" t="s">
        <v>63</v>
      </c>
      <c r="T973">
        <v>19</v>
      </c>
      <c r="U973">
        <v>85</v>
      </c>
      <c r="V973">
        <v>15</v>
      </c>
      <c r="W973">
        <v>12.8</v>
      </c>
      <c r="X973">
        <v>27.1</v>
      </c>
      <c r="Z973" t="s">
        <v>145</v>
      </c>
      <c r="AA973" t="s">
        <v>260</v>
      </c>
      <c r="AB973" t="s">
        <v>53</v>
      </c>
      <c r="AC973" t="s">
        <v>122</v>
      </c>
    </row>
    <row r="974" spans="1:30" x14ac:dyDescent="0.2">
      <c r="A974" s="3">
        <v>42585</v>
      </c>
      <c r="B974" t="s">
        <v>23</v>
      </c>
      <c r="C974">
        <v>203</v>
      </c>
      <c r="D974">
        <v>9</v>
      </c>
      <c r="E974">
        <v>1</v>
      </c>
      <c r="F974" t="s">
        <v>24</v>
      </c>
      <c r="G974" t="s">
        <v>25</v>
      </c>
      <c r="H974" t="s">
        <v>26</v>
      </c>
      <c r="I974" t="s">
        <v>27</v>
      </c>
      <c r="J974" t="s">
        <v>34</v>
      </c>
      <c r="K974" t="s">
        <v>188</v>
      </c>
      <c r="L974" t="s">
        <v>35</v>
      </c>
      <c r="M974">
        <v>0</v>
      </c>
      <c r="N974">
        <v>0</v>
      </c>
      <c r="O974" s="17">
        <v>50949</v>
      </c>
      <c r="P974" s="17">
        <v>50948</v>
      </c>
      <c r="Q974">
        <f>28.5-13.5</f>
        <v>15</v>
      </c>
      <c r="R974" t="s">
        <v>63</v>
      </c>
      <c r="T974">
        <v>19</v>
      </c>
      <c r="U974">
        <v>88.5</v>
      </c>
      <c r="V974">
        <v>17</v>
      </c>
      <c r="W974">
        <v>12.8</v>
      </c>
      <c r="X974">
        <v>27.6</v>
      </c>
      <c r="Y974" t="s">
        <v>859</v>
      </c>
      <c r="Z974" t="s">
        <v>32</v>
      </c>
      <c r="AB974" t="s">
        <v>44</v>
      </c>
      <c r="AC974" t="s">
        <v>59</v>
      </c>
    </row>
    <row r="975" spans="1:30" x14ac:dyDescent="0.2">
      <c r="A975" s="3">
        <v>42586</v>
      </c>
      <c r="B975" t="s">
        <v>23</v>
      </c>
      <c r="C975">
        <v>203</v>
      </c>
      <c r="D975">
        <v>9</v>
      </c>
      <c r="E975">
        <v>1</v>
      </c>
      <c r="F975" t="s">
        <v>24</v>
      </c>
      <c r="G975" t="s">
        <v>25</v>
      </c>
      <c r="H975" t="s">
        <v>26</v>
      </c>
      <c r="I975" t="s">
        <v>27</v>
      </c>
      <c r="J975" t="s">
        <v>28</v>
      </c>
      <c r="K975" t="s">
        <v>188</v>
      </c>
      <c r="L975" t="s">
        <v>35</v>
      </c>
      <c r="M975">
        <v>0</v>
      </c>
      <c r="N975">
        <v>0</v>
      </c>
      <c r="O975" s="17">
        <v>50949</v>
      </c>
      <c r="P975" s="17">
        <v>50948</v>
      </c>
      <c r="Q975">
        <f>29-13</f>
        <v>16</v>
      </c>
      <c r="R975" t="s">
        <v>63</v>
      </c>
      <c r="T975">
        <v>19</v>
      </c>
      <c r="U975">
        <v>90</v>
      </c>
      <c r="V975">
        <v>15</v>
      </c>
      <c r="W975">
        <v>12.7</v>
      </c>
      <c r="X975">
        <v>23</v>
      </c>
      <c r="Y975" t="s">
        <v>884</v>
      </c>
      <c r="Z975" t="s">
        <v>32</v>
      </c>
      <c r="AB975" t="s">
        <v>44</v>
      </c>
      <c r="AC975" t="s">
        <v>59</v>
      </c>
    </row>
    <row r="976" spans="1:30" x14ac:dyDescent="0.2">
      <c r="A976" s="3">
        <v>42584</v>
      </c>
      <c r="B976" t="s">
        <v>23</v>
      </c>
      <c r="C976">
        <v>111</v>
      </c>
      <c r="D976">
        <v>9</v>
      </c>
      <c r="E976">
        <v>2</v>
      </c>
      <c r="F976" t="s">
        <v>33</v>
      </c>
      <c r="G976" t="s">
        <v>25</v>
      </c>
      <c r="H976" t="s">
        <v>26</v>
      </c>
      <c r="I976" t="s">
        <v>27</v>
      </c>
      <c r="J976" t="s">
        <v>34</v>
      </c>
      <c r="K976" t="s">
        <v>123</v>
      </c>
      <c r="L976" t="s">
        <v>35</v>
      </c>
      <c r="M976">
        <v>0</v>
      </c>
      <c r="N976">
        <v>1</v>
      </c>
      <c r="O976" s="17">
        <v>50952</v>
      </c>
      <c r="P976" s="17">
        <v>50951</v>
      </c>
      <c r="Q976">
        <f>24-9.5</f>
        <v>14.5</v>
      </c>
      <c r="R976" t="s">
        <v>63</v>
      </c>
      <c r="T976">
        <v>19</v>
      </c>
      <c r="V976">
        <v>17</v>
      </c>
      <c r="W976">
        <v>12.9</v>
      </c>
      <c r="X976">
        <v>25.6</v>
      </c>
      <c r="Z976" t="s">
        <v>145</v>
      </c>
      <c r="AB976" t="s">
        <v>121</v>
      </c>
      <c r="AC976" t="s">
        <v>59</v>
      </c>
    </row>
    <row r="977" spans="1:29" x14ac:dyDescent="0.2">
      <c r="A977" s="3">
        <v>42587</v>
      </c>
      <c r="B977" t="s">
        <v>23</v>
      </c>
      <c r="C977">
        <v>111</v>
      </c>
      <c r="D977">
        <v>6</v>
      </c>
      <c r="E977">
        <v>1</v>
      </c>
      <c r="F977" t="s">
        <v>64</v>
      </c>
      <c r="G977" t="s">
        <v>25</v>
      </c>
      <c r="H977" t="s">
        <v>26</v>
      </c>
      <c r="I977" t="s">
        <v>27</v>
      </c>
      <c r="J977" t="s">
        <v>28</v>
      </c>
      <c r="K977" t="s">
        <v>123</v>
      </c>
      <c r="L977" t="s">
        <v>35</v>
      </c>
      <c r="M977">
        <v>0</v>
      </c>
      <c r="N977">
        <v>0</v>
      </c>
      <c r="O977" s="17" t="s">
        <v>1071</v>
      </c>
      <c r="P977" s="17" t="s">
        <v>1072</v>
      </c>
      <c r="Q977">
        <f>26.5-12.5</f>
        <v>14</v>
      </c>
      <c r="R977" t="s">
        <v>63</v>
      </c>
      <c r="Z977" t="s">
        <v>145</v>
      </c>
      <c r="AA977" t="s">
        <v>260</v>
      </c>
      <c r="AB977" t="s">
        <v>53</v>
      </c>
      <c r="AC977" t="s">
        <v>254</v>
      </c>
    </row>
    <row r="978" spans="1:29" x14ac:dyDescent="0.2">
      <c r="A978" s="3">
        <v>42588</v>
      </c>
      <c r="B978" t="s">
        <v>23</v>
      </c>
      <c r="C978">
        <v>111</v>
      </c>
      <c r="D978">
        <v>6</v>
      </c>
      <c r="E978">
        <v>1</v>
      </c>
      <c r="F978" t="s">
        <v>64</v>
      </c>
      <c r="G978" t="s">
        <v>25</v>
      </c>
      <c r="H978" t="s">
        <v>26</v>
      </c>
      <c r="I978" t="s">
        <v>27</v>
      </c>
      <c r="J978" t="s">
        <v>28</v>
      </c>
      <c r="K978" t="s">
        <v>123</v>
      </c>
      <c r="L978" t="s">
        <v>35</v>
      </c>
      <c r="M978">
        <v>0</v>
      </c>
      <c r="N978">
        <v>0</v>
      </c>
      <c r="O978" s="17" t="s">
        <v>1071</v>
      </c>
      <c r="P978" s="17" t="s">
        <v>1072</v>
      </c>
      <c r="Q978">
        <v>14</v>
      </c>
      <c r="R978" t="s">
        <v>63</v>
      </c>
      <c r="T978">
        <v>19</v>
      </c>
      <c r="V978">
        <v>15</v>
      </c>
      <c r="W978">
        <v>12.9</v>
      </c>
      <c r="X978">
        <v>25.6</v>
      </c>
      <c r="Z978" t="s">
        <v>145</v>
      </c>
      <c r="AB978" t="s">
        <v>121</v>
      </c>
      <c r="AC978" t="s">
        <v>59</v>
      </c>
    </row>
    <row r="979" spans="1:29" x14ac:dyDescent="0.2">
      <c r="A979" s="3">
        <v>42589</v>
      </c>
      <c r="B979" t="s">
        <v>23</v>
      </c>
      <c r="C979">
        <v>111</v>
      </c>
      <c r="D979">
        <v>7</v>
      </c>
      <c r="E979">
        <v>1</v>
      </c>
      <c r="F979" t="s">
        <v>24</v>
      </c>
      <c r="G979" t="s">
        <v>25</v>
      </c>
      <c r="H979" t="s">
        <v>26</v>
      </c>
      <c r="I979" t="s">
        <v>27</v>
      </c>
      <c r="J979" t="s">
        <v>28</v>
      </c>
      <c r="K979" t="s">
        <v>123</v>
      </c>
      <c r="L979" t="s">
        <v>35</v>
      </c>
      <c r="M979">
        <v>0</v>
      </c>
      <c r="N979">
        <v>0</v>
      </c>
      <c r="O979" s="17" t="s">
        <v>1071</v>
      </c>
      <c r="P979" s="17" t="s">
        <v>1072</v>
      </c>
      <c r="Q979">
        <v>14</v>
      </c>
      <c r="R979" t="s">
        <v>39</v>
      </c>
      <c r="T979">
        <v>20</v>
      </c>
      <c r="V979">
        <v>16</v>
      </c>
      <c r="W979">
        <v>13</v>
      </c>
      <c r="X979">
        <v>25.2</v>
      </c>
      <c r="Z979" t="s">
        <v>145</v>
      </c>
      <c r="AB979" t="s">
        <v>121</v>
      </c>
      <c r="AC979" t="s">
        <v>59</v>
      </c>
    </row>
    <row r="980" spans="1:29" x14ac:dyDescent="0.2">
      <c r="A980" s="3">
        <v>42598</v>
      </c>
      <c r="B980" t="s">
        <v>23</v>
      </c>
      <c r="C980">
        <v>111</v>
      </c>
      <c r="D980">
        <v>9</v>
      </c>
      <c r="E980">
        <v>1</v>
      </c>
      <c r="F980" t="s">
        <v>24</v>
      </c>
      <c r="G980" t="s">
        <v>25</v>
      </c>
      <c r="H980" t="s">
        <v>26</v>
      </c>
      <c r="I980" t="s">
        <v>27</v>
      </c>
      <c r="J980" t="s">
        <v>28</v>
      </c>
      <c r="K980" t="s">
        <v>123</v>
      </c>
      <c r="L980" t="s">
        <v>35</v>
      </c>
      <c r="M980">
        <v>0</v>
      </c>
      <c r="N980">
        <v>0</v>
      </c>
      <c r="O980" s="17" t="s">
        <v>1071</v>
      </c>
      <c r="P980" s="17" t="s">
        <v>1072</v>
      </c>
      <c r="Q980">
        <f>28.5-13</f>
        <v>15.5</v>
      </c>
      <c r="R980" t="s">
        <v>63</v>
      </c>
      <c r="T980">
        <v>20</v>
      </c>
      <c r="V980">
        <v>16</v>
      </c>
      <c r="W980">
        <v>13</v>
      </c>
      <c r="X980">
        <v>28</v>
      </c>
      <c r="Z980" t="s">
        <v>145</v>
      </c>
      <c r="AB980" t="s">
        <v>1589</v>
      </c>
      <c r="AC980" t="s">
        <v>122</v>
      </c>
    </row>
    <row r="981" spans="1:29" x14ac:dyDescent="0.2">
      <c r="A981" s="3">
        <v>42599</v>
      </c>
      <c r="B981" t="s">
        <v>23</v>
      </c>
      <c r="C981">
        <v>111</v>
      </c>
      <c r="D981">
        <v>9</v>
      </c>
      <c r="E981">
        <v>1</v>
      </c>
      <c r="F981" t="s">
        <v>24</v>
      </c>
      <c r="G981" t="s">
        <v>25</v>
      </c>
      <c r="H981" t="s">
        <v>26</v>
      </c>
      <c r="I981" t="s">
        <v>27</v>
      </c>
      <c r="J981" t="s">
        <v>28</v>
      </c>
      <c r="K981" t="s">
        <v>123</v>
      </c>
      <c r="L981" t="s">
        <v>35</v>
      </c>
      <c r="M981">
        <v>0</v>
      </c>
      <c r="N981">
        <v>0</v>
      </c>
      <c r="O981" s="17" t="s">
        <v>1071</v>
      </c>
      <c r="P981" s="17" t="s">
        <v>1072</v>
      </c>
      <c r="Q981">
        <f>27.3-13</f>
        <v>14.3</v>
      </c>
      <c r="R981" t="s">
        <v>63</v>
      </c>
      <c r="T981">
        <v>19</v>
      </c>
      <c r="V981">
        <v>16</v>
      </c>
      <c r="W981">
        <v>13</v>
      </c>
      <c r="X981">
        <v>25.4</v>
      </c>
      <c r="Z981" t="s">
        <v>145</v>
      </c>
      <c r="AB981" t="s">
        <v>121</v>
      </c>
      <c r="AC981" t="s">
        <v>59</v>
      </c>
    </row>
    <row r="982" spans="1:29" x14ac:dyDescent="0.2">
      <c r="A982" s="3">
        <v>42584</v>
      </c>
      <c r="B982" t="s">
        <v>23</v>
      </c>
      <c r="C982">
        <v>112</v>
      </c>
      <c r="D982">
        <v>4</v>
      </c>
      <c r="E982">
        <v>1</v>
      </c>
      <c r="F982" t="s">
        <v>33</v>
      </c>
      <c r="G982" t="s">
        <v>25</v>
      </c>
      <c r="H982" t="s">
        <v>26</v>
      </c>
      <c r="I982" t="s">
        <v>27</v>
      </c>
      <c r="J982" t="s">
        <v>34</v>
      </c>
      <c r="K982" t="s">
        <v>29</v>
      </c>
      <c r="L982" t="s">
        <v>30</v>
      </c>
      <c r="M982">
        <v>0</v>
      </c>
      <c r="N982">
        <v>1</v>
      </c>
      <c r="O982" s="17">
        <v>50954</v>
      </c>
      <c r="P982" s="17">
        <v>50953</v>
      </c>
      <c r="Q982">
        <f>38-13</f>
        <v>25</v>
      </c>
      <c r="R982" t="s">
        <v>192</v>
      </c>
      <c r="S982" t="s">
        <v>32</v>
      </c>
      <c r="T982">
        <v>19</v>
      </c>
      <c r="U982">
        <v>90</v>
      </c>
      <c r="V982">
        <v>16</v>
      </c>
      <c r="W982">
        <v>12.9</v>
      </c>
      <c r="X982">
        <v>28.9</v>
      </c>
      <c r="Y982" t="s">
        <v>829</v>
      </c>
      <c r="Z982" t="s">
        <v>32</v>
      </c>
      <c r="AB982" t="s">
        <v>121</v>
      </c>
      <c r="AC982" t="s">
        <v>59</v>
      </c>
    </row>
    <row r="983" spans="1:29" x14ac:dyDescent="0.2">
      <c r="A983" s="3">
        <v>42585</v>
      </c>
      <c r="B983" t="s">
        <v>23</v>
      </c>
      <c r="C983">
        <v>112</v>
      </c>
      <c r="D983">
        <v>5</v>
      </c>
      <c r="E983">
        <v>2</v>
      </c>
      <c r="F983" t="s">
        <v>64</v>
      </c>
      <c r="G983" t="s">
        <v>25</v>
      </c>
      <c r="H983" t="s">
        <v>26</v>
      </c>
      <c r="I983" t="s">
        <v>27</v>
      </c>
      <c r="J983" t="s">
        <v>28</v>
      </c>
      <c r="K983" t="s">
        <v>187</v>
      </c>
      <c r="L983" t="s">
        <v>30</v>
      </c>
      <c r="M983">
        <v>0</v>
      </c>
      <c r="N983">
        <v>0</v>
      </c>
      <c r="O983" s="17">
        <v>50954</v>
      </c>
      <c r="P983" s="17">
        <v>50953</v>
      </c>
      <c r="Q983">
        <v>20</v>
      </c>
      <c r="R983" t="s">
        <v>83</v>
      </c>
      <c r="S983" t="s">
        <v>145</v>
      </c>
      <c r="T983">
        <v>19</v>
      </c>
      <c r="U983">
        <v>92</v>
      </c>
      <c r="V983">
        <v>17</v>
      </c>
      <c r="W983">
        <v>12.8</v>
      </c>
      <c r="X983">
        <v>27.8</v>
      </c>
      <c r="Z983" t="s">
        <v>32</v>
      </c>
      <c r="AB983" t="s">
        <v>53</v>
      </c>
      <c r="AC983" t="s">
        <v>122</v>
      </c>
    </row>
    <row r="984" spans="1:29" x14ac:dyDescent="0.2">
      <c r="A984" s="3">
        <v>42588</v>
      </c>
      <c r="B984" t="s">
        <v>23</v>
      </c>
      <c r="C984">
        <v>112</v>
      </c>
      <c r="D984">
        <v>3</v>
      </c>
      <c r="E984">
        <v>2</v>
      </c>
      <c r="F984" t="s">
        <v>24</v>
      </c>
      <c r="G984" t="s">
        <v>25</v>
      </c>
      <c r="H984" t="s">
        <v>26</v>
      </c>
      <c r="I984" t="s">
        <v>27</v>
      </c>
      <c r="J984" t="s">
        <v>28</v>
      </c>
      <c r="K984" t="s">
        <v>29</v>
      </c>
      <c r="L984" t="s">
        <v>30</v>
      </c>
      <c r="M984">
        <v>0</v>
      </c>
      <c r="N984">
        <v>0</v>
      </c>
      <c r="O984" s="17" t="s">
        <v>1047</v>
      </c>
      <c r="P984" s="17" t="s">
        <v>1048</v>
      </c>
      <c r="Q984">
        <f>34-13</f>
        <v>21</v>
      </c>
      <c r="R984" t="s">
        <v>75</v>
      </c>
      <c r="S984" t="s">
        <v>145</v>
      </c>
      <c r="T984">
        <v>18</v>
      </c>
      <c r="U984">
        <v>91</v>
      </c>
      <c r="V984">
        <v>18</v>
      </c>
      <c r="Z984" t="s">
        <v>32</v>
      </c>
      <c r="AB984" t="s">
        <v>121</v>
      </c>
      <c r="AC984" t="s">
        <v>59</v>
      </c>
    </row>
    <row r="985" spans="1:29" x14ac:dyDescent="0.2">
      <c r="A985" s="3">
        <v>42589</v>
      </c>
      <c r="B985" t="s">
        <v>23</v>
      </c>
      <c r="C985">
        <v>112</v>
      </c>
      <c r="D985">
        <v>4</v>
      </c>
      <c r="E985">
        <v>1</v>
      </c>
      <c r="F985" t="s">
        <v>24</v>
      </c>
      <c r="G985" t="s">
        <v>25</v>
      </c>
      <c r="H985" t="s">
        <v>26</v>
      </c>
      <c r="I985" t="s">
        <v>27</v>
      </c>
      <c r="J985" t="s">
        <v>28</v>
      </c>
      <c r="K985" t="s">
        <v>29</v>
      </c>
      <c r="L985" t="s">
        <v>30</v>
      </c>
      <c r="M985">
        <v>0</v>
      </c>
      <c r="N985">
        <v>0</v>
      </c>
      <c r="O985" s="17" t="s">
        <v>1047</v>
      </c>
      <c r="P985" s="17" t="s">
        <v>1048</v>
      </c>
      <c r="Q985">
        <f>35-14</f>
        <v>21</v>
      </c>
      <c r="R985" t="s">
        <v>75</v>
      </c>
      <c r="S985" t="s">
        <v>145</v>
      </c>
      <c r="T985">
        <v>17</v>
      </c>
      <c r="U985">
        <v>90</v>
      </c>
      <c r="V985">
        <v>19</v>
      </c>
      <c r="W985">
        <v>13.5</v>
      </c>
      <c r="X985">
        <v>26</v>
      </c>
      <c r="Z985" t="s">
        <v>32</v>
      </c>
      <c r="AB985" t="s">
        <v>121</v>
      </c>
      <c r="AC985" t="s">
        <v>59</v>
      </c>
    </row>
    <row r="986" spans="1:29" x14ac:dyDescent="0.2">
      <c r="A986" s="3">
        <v>42584</v>
      </c>
      <c r="B986" t="s">
        <v>23</v>
      </c>
      <c r="C986">
        <v>112</v>
      </c>
      <c r="D986">
        <v>7</v>
      </c>
      <c r="E986">
        <v>1</v>
      </c>
      <c r="F986" t="s">
        <v>33</v>
      </c>
      <c r="G986" t="s">
        <v>25</v>
      </c>
      <c r="H986" t="s">
        <v>26</v>
      </c>
      <c r="I986" t="s">
        <v>27</v>
      </c>
      <c r="J986" t="s">
        <v>28</v>
      </c>
      <c r="K986" t="s">
        <v>29</v>
      </c>
      <c r="L986" t="s">
        <v>30</v>
      </c>
      <c r="M986">
        <v>0</v>
      </c>
      <c r="N986">
        <v>0</v>
      </c>
      <c r="O986" s="17">
        <v>50956</v>
      </c>
      <c r="P986" s="17">
        <v>50955</v>
      </c>
      <c r="Q986">
        <f>36-17</f>
        <v>19</v>
      </c>
      <c r="R986" t="s">
        <v>75</v>
      </c>
      <c r="S986" t="s">
        <v>145</v>
      </c>
      <c r="T986">
        <v>18</v>
      </c>
      <c r="U986">
        <v>90</v>
      </c>
      <c r="V986">
        <v>16</v>
      </c>
      <c r="W986">
        <v>13</v>
      </c>
      <c r="X986">
        <v>27.2</v>
      </c>
      <c r="Z986" t="s">
        <v>145</v>
      </c>
      <c r="AA986" t="s">
        <v>260</v>
      </c>
      <c r="AB986" t="s">
        <v>121</v>
      </c>
      <c r="AC986" t="s">
        <v>59</v>
      </c>
    </row>
    <row r="987" spans="1:29" x14ac:dyDescent="0.2">
      <c r="A987" s="3">
        <v>42585</v>
      </c>
      <c r="B987" t="s">
        <v>23</v>
      </c>
      <c r="C987">
        <v>112</v>
      </c>
      <c r="D987">
        <v>6</v>
      </c>
      <c r="E987">
        <v>1</v>
      </c>
      <c r="F987" t="s">
        <v>64</v>
      </c>
      <c r="G987" t="s">
        <v>25</v>
      </c>
      <c r="H987" t="s">
        <v>26</v>
      </c>
      <c r="I987" t="s">
        <v>27</v>
      </c>
      <c r="J987" t="s">
        <v>28</v>
      </c>
      <c r="K987" t="s">
        <v>29</v>
      </c>
      <c r="L987" t="s">
        <v>30</v>
      </c>
      <c r="M987">
        <v>0</v>
      </c>
      <c r="N987">
        <v>0</v>
      </c>
      <c r="O987" s="17">
        <v>50956</v>
      </c>
      <c r="P987" s="17">
        <v>50955</v>
      </c>
      <c r="Q987">
        <f>25-5</f>
        <v>20</v>
      </c>
      <c r="R987" t="s">
        <v>83</v>
      </c>
      <c r="S987" t="s">
        <v>145</v>
      </c>
      <c r="T987">
        <v>19</v>
      </c>
      <c r="U987">
        <v>90</v>
      </c>
      <c r="V987">
        <v>14</v>
      </c>
      <c r="W987">
        <v>12.8</v>
      </c>
      <c r="X987">
        <v>27.2</v>
      </c>
      <c r="Z987" t="s">
        <v>145</v>
      </c>
      <c r="AA987" t="s">
        <v>260</v>
      </c>
      <c r="AB987" t="s">
        <v>53</v>
      </c>
      <c r="AC987" t="s">
        <v>122</v>
      </c>
    </row>
    <row r="988" spans="1:29" x14ac:dyDescent="0.2">
      <c r="A988" s="3">
        <v>42586</v>
      </c>
      <c r="B988" t="s">
        <v>23</v>
      </c>
      <c r="C988">
        <v>112</v>
      </c>
      <c r="D988">
        <v>10</v>
      </c>
      <c r="E988">
        <v>2</v>
      </c>
      <c r="F988" t="s">
        <v>64</v>
      </c>
      <c r="G988" t="s">
        <v>25</v>
      </c>
      <c r="H988" t="s">
        <v>26</v>
      </c>
      <c r="I988" t="s">
        <v>27</v>
      </c>
      <c r="J988" t="s">
        <v>28</v>
      </c>
      <c r="K988" t="s">
        <v>29</v>
      </c>
      <c r="L988" t="s">
        <v>30</v>
      </c>
      <c r="M988">
        <v>0</v>
      </c>
      <c r="N988">
        <v>0</v>
      </c>
      <c r="O988" s="17" t="s">
        <v>973</v>
      </c>
      <c r="P988" s="17" t="s">
        <v>974</v>
      </c>
      <c r="Q988">
        <f>37-18</f>
        <v>19</v>
      </c>
      <c r="R988" t="s">
        <v>83</v>
      </c>
      <c r="S988" t="s">
        <v>145</v>
      </c>
      <c r="T988">
        <v>19</v>
      </c>
      <c r="U988">
        <v>92</v>
      </c>
      <c r="V988">
        <v>15</v>
      </c>
      <c r="W988">
        <v>12.9</v>
      </c>
      <c r="X988">
        <v>26.9</v>
      </c>
      <c r="Z988" t="s">
        <v>145</v>
      </c>
      <c r="AB988" t="s">
        <v>53</v>
      </c>
      <c r="AC988" t="s">
        <v>122</v>
      </c>
    </row>
    <row r="989" spans="1:29" x14ac:dyDescent="0.2">
      <c r="A989" s="3">
        <v>42587</v>
      </c>
      <c r="B989" t="s">
        <v>23</v>
      </c>
      <c r="C989">
        <v>112</v>
      </c>
      <c r="D989">
        <v>6</v>
      </c>
      <c r="E989">
        <v>2</v>
      </c>
      <c r="F989" t="s">
        <v>64</v>
      </c>
      <c r="G989" t="s">
        <v>25</v>
      </c>
      <c r="H989" t="s">
        <v>26</v>
      </c>
      <c r="I989" t="s">
        <v>27</v>
      </c>
      <c r="J989" t="s">
        <v>28</v>
      </c>
      <c r="K989" t="s">
        <v>29</v>
      </c>
      <c r="L989" t="s">
        <v>30</v>
      </c>
      <c r="M989">
        <v>0</v>
      </c>
      <c r="N989">
        <v>0</v>
      </c>
      <c r="O989" s="17" t="s">
        <v>973</v>
      </c>
      <c r="P989" s="17" t="s">
        <v>974</v>
      </c>
      <c r="Q989">
        <f>34.5-17</f>
        <v>17.5</v>
      </c>
      <c r="R989" t="s">
        <v>61</v>
      </c>
      <c r="S989" t="s">
        <v>32</v>
      </c>
      <c r="T989">
        <v>19</v>
      </c>
      <c r="U989">
        <v>92</v>
      </c>
      <c r="V989">
        <v>17</v>
      </c>
      <c r="W989">
        <v>12.9</v>
      </c>
      <c r="X989">
        <v>26.8</v>
      </c>
      <c r="Z989" t="s">
        <v>145</v>
      </c>
      <c r="AB989" t="s">
        <v>53</v>
      </c>
      <c r="AC989" t="s">
        <v>254</v>
      </c>
    </row>
    <row r="990" spans="1:29" x14ac:dyDescent="0.2">
      <c r="A990" s="3">
        <v>42588</v>
      </c>
      <c r="B990" t="s">
        <v>23</v>
      </c>
      <c r="C990">
        <v>112</v>
      </c>
      <c r="D990">
        <v>10</v>
      </c>
      <c r="E990">
        <v>1</v>
      </c>
      <c r="F990" t="s">
        <v>64</v>
      </c>
      <c r="G990" t="s">
        <v>25</v>
      </c>
      <c r="H990" t="s">
        <v>26</v>
      </c>
      <c r="I990" t="s">
        <v>27</v>
      </c>
      <c r="J990" t="s">
        <v>28</v>
      </c>
      <c r="K990" t="s">
        <v>29</v>
      </c>
      <c r="L990" t="s">
        <v>30</v>
      </c>
      <c r="M990">
        <v>0</v>
      </c>
      <c r="N990">
        <v>0</v>
      </c>
      <c r="O990" s="17" t="s">
        <v>973</v>
      </c>
      <c r="P990" s="17" t="s">
        <v>974</v>
      </c>
      <c r="Q990">
        <f>32.5-14</f>
        <v>18.5</v>
      </c>
      <c r="R990" t="s">
        <v>83</v>
      </c>
      <c r="S990" t="s">
        <v>145</v>
      </c>
      <c r="T990">
        <v>19</v>
      </c>
      <c r="U990">
        <v>94</v>
      </c>
      <c r="V990">
        <v>17</v>
      </c>
      <c r="W990">
        <v>13.1</v>
      </c>
      <c r="X990">
        <v>27.4</v>
      </c>
      <c r="Z990" t="s">
        <v>145</v>
      </c>
      <c r="AA990" t="s">
        <v>260</v>
      </c>
      <c r="AB990" t="s">
        <v>121</v>
      </c>
      <c r="AC990" t="s">
        <v>59</v>
      </c>
    </row>
    <row r="991" spans="1:29" x14ac:dyDescent="0.2">
      <c r="A991" s="3">
        <v>42589</v>
      </c>
      <c r="B991" t="s">
        <v>23</v>
      </c>
      <c r="C991">
        <v>112</v>
      </c>
      <c r="D991">
        <v>8</v>
      </c>
      <c r="E991">
        <v>1</v>
      </c>
      <c r="F991" t="s">
        <v>24</v>
      </c>
      <c r="G991" t="s">
        <v>25</v>
      </c>
      <c r="H991" t="s">
        <v>26</v>
      </c>
      <c r="I991" t="s">
        <v>27</v>
      </c>
      <c r="J991" t="s">
        <v>28</v>
      </c>
      <c r="K991" t="s">
        <v>29</v>
      </c>
      <c r="L991" t="s">
        <v>30</v>
      </c>
      <c r="M991">
        <v>0</v>
      </c>
      <c r="N991">
        <v>0</v>
      </c>
      <c r="O991" s="17" t="s">
        <v>973</v>
      </c>
      <c r="P991" s="17" t="s">
        <v>974</v>
      </c>
      <c r="Q991">
        <f>33-14.5</f>
        <v>18.5</v>
      </c>
      <c r="R991" t="s">
        <v>31</v>
      </c>
      <c r="S991" t="s">
        <v>32</v>
      </c>
      <c r="T991">
        <v>19</v>
      </c>
      <c r="U991">
        <v>90</v>
      </c>
      <c r="V991">
        <v>16</v>
      </c>
      <c r="W991">
        <v>13.4</v>
      </c>
      <c r="X991">
        <v>27</v>
      </c>
      <c r="Z991" t="s">
        <v>145</v>
      </c>
      <c r="AB991" t="s">
        <v>121</v>
      </c>
      <c r="AC991" t="s">
        <v>59</v>
      </c>
    </row>
    <row r="992" spans="1:29" x14ac:dyDescent="0.2">
      <c r="A992" s="3">
        <v>42600</v>
      </c>
      <c r="B992" t="s">
        <v>23</v>
      </c>
      <c r="C992">
        <v>112</v>
      </c>
      <c r="D992">
        <v>9</v>
      </c>
      <c r="E992">
        <v>1</v>
      </c>
      <c r="F992" t="s">
        <v>66</v>
      </c>
      <c r="G992" t="s">
        <v>25</v>
      </c>
      <c r="H992" t="s">
        <v>26</v>
      </c>
      <c r="I992" t="s">
        <v>27</v>
      </c>
      <c r="J992" t="s">
        <v>28</v>
      </c>
      <c r="K992" t="s">
        <v>29</v>
      </c>
      <c r="L992" t="s">
        <v>30</v>
      </c>
      <c r="M992">
        <v>0</v>
      </c>
      <c r="N992">
        <v>0</v>
      </c>
      <c r="O992" s="17" t="s">
        <v>973</v>
      </c>
      <c r="P992" s="17" t="s">
        <v>974</v>
      </c>
      <c r="Q992">
        <v>19.5</v>
      </c>
      <c r="R992" t="s">
        <v>31</v>
      </c>
      <c r="S992" t="s">
        <v>32</v>
      </c>
      <c r="T992">
        <v>19</v>
      </c>
      <c r="U992">
        <v>90</v>
      </c>
      <c r="V992">
        <v>19</v>
      </c>
      <c r="W992">
        <v>12.9</v>
      </c>
      <c r="X992">
        <v>27.5</v>
      </c>
    </row>
    <row r="993" spans="1:30" x14ac:dyDescent="0.2">
      <c r="A993" s="3">
        <v>42576</v>
      </c>
      <c r="B993" t="s">
        <v>23</v>
      </c>
      <c r="C993">
        <v>503</v>
      </c>
      <c r="D993">
        <v>9</v>
      </c>
      <c r="E993">
        <v>1</v>
      </c>
      <c r="F993" t="s">
        <v>33</v>
      </c>
      <c r="G993" t="s">
        <v>25</v>
      </c>
      <c r="H993" t="s">
        <v>26</v>
      </c>
      <c r="I993" t="s">
        <v>27</v>
      </c>
      <c r="J993" t="s">
        <v>34</v>
      </c>
      <c r="K993" t="s">
        <v>188</v>
      </c>
      <c r="L993" t="s">
        <v>35</v>
      </c>
      <c r="M993">
        <v>0</v>
      </c>
      <c r="N993">
        <v>1</v>
      </c>
      <c r="O993" s="17">
        <v>50962</v>
      </c>
      <c r="P993" s="17">
        <v>50961</v>
      </c>
      <c r="Q993">
        <f>29-13</f>
        <v>16</v>
      </c>
      <c r="R993" t="s">
        <v>39</v>
      </c>
      <c r="T993">
        <v>20</v>
      </c>
      <c r="U993">
        <v>84</v>
      </c>
      <c r="V993">
        <v>16</v>
      </c>
      <c r="W993">
        <v>12.8</v>
      </c>
      <c r="X993">
        <v>27.3</v>
      </c>
      <c r="Z993" t="s">
        <v>145</v>
      </c>
      <c r="AA993" t="s">
        <v>260</v>
      </c>
      <c r="AB993" t="s">
        <v>121</v>
      </c>
      <c r="AC993" t="s">
        <v>122</v>
      </c>
    </row>
    <row r="994" spans="1:30" x14ac:dyDescent="0.2">
      <c r="A994" s="3">
        <v>42576</v>
      </c>
      <c r="B994" t="s">
        <v>23</v>
      </c>
      <c r="C994">
        <v>503</v>
      </c>
      <c r="D994">
        <v>8</v>
      </c>
      <c r="E994">
        <v>1</v>
      </c>
      <c r="F994" t="s">
        <v>33</v>
      </c>
      <c r="G994" t="s">
        <v>25</v>
      </c>
      <c r="H994" t="s">
        <v>26</v>
      </c>
      <c r="I994" t="s">
        <v>27</v>
      </c>
      <c r="J994" t="s">
        <v>34</v>
      </c>
      <c r="K994" t="s">
        <v>123</v>
      </c>
      <c r="L994" t="s">
        <v>35</v>
      </c>
      <c r="M994">
        <v>0</v>
      </c>
      <c r="N994">
        <v>1</v>
      </c>
      <c r="O994" s="17">
        <v>50964</v>
      </c>
      <c r="P994" s="17">
        <v>50963</v>
      </c>
      <c r="Q994">
        <f>26.5-14</f>
        <v>12.5</v>
      </c>
      <c r="R994" t="s">
        <v>63</v>
      </c>
      <c r="T994">
        <v>17</v>
      </c>
      <c r="U994">
        <v>76</v>
      </c>
      <c r="V994">
        <v>16</v>
      </c>
      <c r="W994">
        <v>12.8</v>
      </c>
      <c r="X994">
        <v>25.4</v>
      </c>
      <c r="Z994" t="s">
        <v>145</v>
      </c>
      <c r="AA994" t="s">
        <v>260</v>
      </c>
      <c r="AB994" t="s">
        <v>121</v>
      </c>
      <c r="AC994" t="s">
        <v>122</v>
      </c>
    </row>
    <row r="995" spans="1:30" x14ac:dyDescent="0.2">
      <c r="A995" s="3">
        <v>42591</v>
      </c>
      <c r="B995" t="s">
        <v>23</v>
      </c>
      <c r="C995">
        <v>503</v>
      </c>
      <c r="D995">
        <v>5</v>
      </c>
      <c r="E995">
        <v>1</v>
      </c>
      <c r="F995" t="s">
        <v>24</v>
      </c>
      <c r="G995" t="s">
        <v>25</v>
      </c>
      <c r="H995" t="s">
        <v>26</v>
      </c>
      <c r="I995" t="s">
        <v>27</v>
      </c>
      <c r="J995" t="s">
        <v>206</v>
      </c>
      <c r="M995">
        <v>0</v>
      </c>
      <c r="N995">
        <v>0</v>
      </c>
      <c r="O995" s="17" t="s">
        <v>1123</v>
      </c>
      <c r="P995" s="17" t="s">
        <v>1124</v>
      </c>
      <c r="AD995" t="s">
        <v>1125</v>
      </c>
    </row>
    <row r="996" spans="1:30" x14ac:dyDescent="0.2">
      <c r="A996" s="3">
        <v>42576</v>
      </c>
      <c r="B996" t="s">
        <v>23</v>
      </c>
      <c r="C996">
        <v>503</v>
      </c>
      <c r="D996">
        <v>7</v>
      </c>
      <c r="E996">
        <v>2</v>
      </c>
      <c r="F996" t="s">
        <v>33</v>
      </c>
      <c r="G996" t="s">
        <v>25</v>
      </c>
      <c r="H996" t="s">
        <v>26</v>
      </c>
      <c r="I996" t="s">
        <v>27</v>
      </c>
      <c r="J996" t="s">
        <v>34</v>
      </c>
      <c r="K996" t="s">
        <v>123</v>
      </c>
      <c r="L996" t="s">
        <v>30</v>
      </c>
      <c r="M996">
        <v>0</v>
      </c>
      <c r="N996">
        <v>1</v>
      </c>
      <c r="O996" s="17">
        <v>50966</v>
      </c>
      <c r="P996" s="17">
        <v>50965</v>
      </c>
      <c r="Q996">
        <f>32-17</f>
        <v>15</v>
      </c>
      <c r="R996" t="s">
        <v>31</v>
      </c>
      <c r="S996" t="s">
        <v>32</v>
      </c>
      <c r="T996">
        <v>17</v>
      </c>
      <c r="U996">
        <v>76</v>
      </c>
      <c r="V996">
        <v>15</v>
      </c>
      <c r="W996">
        <v>12.9</v>
      </c>
      <c r="X996">
        <v>25.2</v>
      </c>
      <c r="Z996" t="s">
        <v>145</v>
      </c>
      <c r="AA996" t="s">
        <v>260</v>
      </c>
      <c r="AB996" t="s">
        <v>121</v>
      </c>
      <c r="AC996" t="s">
        <v>122</v>
      </c>
    </row>
    <row r="997" spans="1:30" x14ac:dyDescent="0.2">
      <c r="A997" s="3">
        <v>42576</v>
      </c>
      <c r="B997" t="s">
        <v>23</v>
      </c>
      <c r="C997">
        <v>503</v>
      </c>
      <c r="D997">
        <v>7</v>
      </c>
      <c r="E997">
        <v>1</v>
      </c>
      <c r="F997" t="s">
        <v>33</v>
      </c>
      <c r="G997" t="s">
        <v>25</v>
      </c>
      <c r="H997" t="s">
        <v>26</v>
      </c>
      <c r="I997" t="s">
        <v>27</v>
      </c>
      <c r="J997" t="s">
        <v>28</v>
      </c>
      <c r="K997" t="s">
        <v>29</v>
      </c>
      <c r="L997" t="s">
        <v>30</v>
      </c>
      <c r="M997">
        <v>0</v>
      </c>
      <c r="N997">
        <v>0</v>
      </c>
      <c r="O997" s="17">
        <v>50968</v>
      </c>
      <c r="P997" s="17">
        <v>50467</v>
      </c>
      <c r="Q997">
        <v>20</v>
      </c>
      <c r="R997" t="s">
        <v>83</v>
      </c>
      <c r="S997" t="s">
        <v>145</v>
      </c>
      <c r="T997">
        <v>19</v>
      </c>
      <c r="U997">
        <v>84</v>
      </c>
      <c r="V997">
        <v>17</v>
      </c>
      <c r="W997">
        <v>12.9</v>
      </c>
      <c r="X997">
        <v>27.4</v>
      </c>
      <c r="Z997" t="s">
        <v>145</v>
      </c>
      <c r="AA997" t="s">
        <v>260</v>
      </c>
      <c r="AB997" t="s">
        <v>121</v>
      </c>
      <c r="AC997" t="s">
        <v>122</v>
      </c>
    </row>
    <row r="998" spans="1:30" x14ac:dyDescent="0.2">
      <c r="A998" s="3">
        <v>42593</v>
      </c>
      <c r="B998" t="s">
        <v>23</v>
      </c>
      <c r="C998">
        <v>503</v>
      </c>
      <c r="D998">
        <v>7</v>
      </c>
      <c r="E998">
        <v>2</v>
      </c>
      <c r="F998" t="s">
        <v>24</v>
      </c>
      <c r="G998" t="s">
        <v>25</v>
      </c>
      <c r="H998" t="s">
        <v>26</v>
      </c>
      <c r="I998" t="s">
        <v>27</v>
      </c>
      <c r="J998" t="s">
        <v>28</v>
      </c>
      <c r="K998" t="s">
        <v>29</v>
      </c>
      <c r="L998" t="s">
        <v>30</v>
      </c>
      <c r="M998">
        <v>0</v>
      </c>
      <c r="N998">
        <v>0</v>
      </c>
      <c r="O998" s="17" t="s">
        <v>1271</v>
      </c>
      <c r="P998" s="17" t="s">
        <v>1272</v>
      </c>
      <c r="Q998">
        <f>30-13</f>
        <v>17</v>
      </c>
      <c r="R998" t="s">
        <v>31</v>
      </c>
      <c r="S998" t="s">
        <v>32</v>
      </c>
      <c r="T998">
        <v>18</v>
      </c>
      <c r="U998">
        <v>82</v>
      </c>
      <c r="V998">
        <v>16.5</v>
      </c>
      <c r="W998">
        <v>13.3</v>
      </c>
      <c r="X998">
        <v>27.5</v>
      </c>
      <c r="Z998" t="s">
        <v>32</v>
      </c>
      <c r="AB998" t="s">
        <v>44</v>
      </c>
      <c r="AC998" t="s">
        <v>122</v>
      </c>
    </row>
    <row r="999" spans="1:30" x14ac:dyDescent="0.2">
      <c r="A999" s="3">
        <v>42576</v>
      </c>
      <c r="B999" t="s">
        <v>23</v>
      </c>
      <c r="C999">
        <v>503</v>
      </c>
      <c r="D999">
        <v>1</v>
      </c>
      <c r="E999">
        <v>2</v>
      </c>
      <c r="F999" t="s">
        <v>33</v>
      </c>
      <c r="G999" t="s">
        <v>25</v>
      </c>
      <c r="H999" t="s">
        <v>26</v>
      </c>
      <c r="I999" t="s">
        <v>27</v>
      </c>
      <c r="J999" t="s">
        <v>34</v>
      </c>
      <c r="K999" t="s">
        <v>123</v>
      </c>
      <c r="L999" t="s">
        <v>35</v>
      </c>
      <c r="M999">
        <v>0</v>
      </c>
      <c r="N999">
        <v>1</v>
      </c>
      <c r="O999" s="17">
        <v>50971</v>
      </c>
      <c r="P999" s="17">
        <v>50970</v>
      </c>
      <c r="Q999">
        <v>15</v>
      </c>
      <c r="R999" t="s">
        <v>63</v>
      </c>
      <c r="T999">
        <v>19</v>
      </c>
      <c r="U999">
        <v>81</v>
      </c>
      <c r="V999">
        <v>16</v>
      </c>
      <c r="W999">
        <v>12.6</v>
      </c>
      <c r="X999">
        <v>26.7</v>
      </c>
      <c r="Z999" t="s">
        <v>32</v>
      </c>
      <c r="AB999" t="s">
        <v>121</v>
      </c>
      <c r="AC999" t="s">
        <v>122</v>
      </c>
    </row>
    <row r="1000" spans="1:30" x14ac:dyDescent="0.2">
      <c r="A1000" s="3">
        <v>42591</v>
      </c>
      <c r="B1000" t="s">
        <v>23</v>
      </c>
      <c r="C1000">
        <v>503</v>
      </c>
      <c r="D1000">
        <v>7</v>
      </c>
      <c r="E1000">
        <v>2</v>
      </c>
      <c r="F1000" t="s">
        <v>24</v>
      </c>
      <c r="G1000" t="s">
        <v>25</v>
      </c>
      <c r="H1000" t="s">
        <v>26</v>
      </c>
      <c r="I1000" t="s">
        <v>27</v>
      </c>
      <c r="J1000" t="s">
        <v>28</v>
      </c>
      <c r="K1000" t="s">
        <v>123</v>
      </c>
      <c r="L1000" t="s">
        <v>35</v>
      </c>
      <c r="M1000">
        <v>0</v>
      </c>
      <c r="N1000">
        <v>0</v>
      </c>
      <c r="O1000" s="17" t="s">
        <v>1126</v>
      </c>
      <c r="P1000" s="17" t="s">
        <v>1124</v>
      </c>
      <c r="Q1000">
        <f>29-15</f>
        <v>14</v>
      </c>
      <c r="R1000" t="s">
        <v>63</v>
      </c>
      <c r="T1000">
        <v>17</v>
      </c>
      <c r="U1000">
        <v>72</v>
      </c>
      <c r="V1000">
        <v>15</v>
      </c>
      <c r="W1000">
        <v>12.3</v>
      </c>
      <c r="X1000">
        <v>26</v>
      </c>
      <c r="Z1000" t="s">
        <v>145</v>
      </c>
      <c r="AB1000" t="s">
        <v>44</v>
      </c>
      <c r="AC1000" t="s">
        <v>59</v>
      </c>
    </row>
    <row r="1001" spans="1:30" x14ac:dyDescent="0.2">
      <c r="A1001" s="3">
        <v>42592</v>
      </c>
      <c r="B1001" t="s">
        <v>23</v>
      </c>
      <c r="C1001">
        <v>503</v>
      </c>
      <c r="D1001">
        <v>7</v>
      </c>
      <c r="E1001">
        <v>2</v>
      </c>
      <c r="F1001" t="s">
        <v>24</v>
      </c>
      <c r="G1001" t="s">
        <v>25</v>
      </c>
      <c r="H1001" t="s">
        <v>26</v>
      </c>
      <c r="I1001" t="s">
        <v>27</v>
      </c>
      <c r="J1001" t="s">
        <v>28</v>
      </c>
      <c r="K1001" t="s">
        <v>123</v>
      </c>
      <c r="L1001" t="s">
        <v>35</v>
      </c>
      <c r="M1001">
        <v>0</v>
      </c>
      <c r="N1001">
        <v>0</v>
      </c>
      <c r="O1001" s="17" t="s">
        <v>1126</v>
      </c>
      <c r="P1001" s="17" t="s">
        <v>1124</v>
      </c>
      <c r="Q1001">
        <f>27.5-14</f>
        <v>13.5</v>
      </c>
      <c r="R1001" t="s">
        <v>63</v>
      </c>
      <c r="T1001">
        <v>19</v>
      </c>
      <c r="U1001">
        <v>75</v>
      </c>
      <c r="V1001">
        <v>16.5</v>
      </c>
      <c r="W1001">
        <v>12.4</v>
      </c>
      <c r="X1001">
        <v>29</v>
      </c>
      <c r="Y1001" t="s">
        <v>1249</v>
      </c>
      <c r="Z1001" t="s">
        <v>145</v>
      </c>
      <c r="AB1001" t="s">
        <v>44</v>
      </c>
      <c r="AC1001" t="s">
        <v>59</v>
      </c>
    </row>
    <row r="1002" spans="1:30" x14ac:dyDescent="0.2">
      <c r="A1002" s="3">
        <v>42593</v>
      </c>
      <c r="B1002" t="s">
        <v>23</v>
      </c>
      <c r="C1002">
        <v>503</v>
      </c>
      <c r="D1002">
        <v>7</v>
      </c>
      <c r="E1002">
        <v>1</v>
      </c>
      <c r="F1002" t="s">
        <v>24</v>
      </c>
      <c r="G1002" t="s">
        <v>25</v>
      </c>
      <c r="H1002" t="s">
        <v>26</v>
      </c>
      <c r="I1002" t="s">
        <v>27</v>
      </c>
      <c r="J1002" t="s">
        <v>28</v>
      </c>
      <c r="K1002" t="s">
        <v>123</v>
      </c>
      <c r="L1002" t="s">
        <v>35</v>
      </c>
      <c r="M1002">
        <v>0</v>
      </c>
      <c r="N1002">
        <v>0</v>
      </c>
      <c r="O1002" s="17" t="s">
        <v>1126</v>
      </c>
      <c r="P1002" s="17" t="s">
        <v>1124</v>
      </c>
      <c r="Q1002">
        <v>13</v>
      </c>
      <c r="R1002" t="s">
        <v>63</v>
      </c>
      <c r="T1002">
        <v>19</v>
      </c>
      <c r="U1002">
        <v>74</v>
      </c>
      <c r="V1002">
        <v>16</v>
      </c>
      <c r="W1002">
        <v>12.25</v>
      </c>
      <c r="X1002">
        <v>25.2</v>
      </c>
      <c r="Z1002" t="s">
        <v>145</v>
      </c>
      <c r="AB1002" t="s">
        <v>44</v>
      </c>
      <c r="AC1002" t="s">
        <v>122</v>
      </c>
    </row>
    <row r="1003" spans="1:30" x14ac:dyDescent="0.2">
      <c r="A1003" s="3">
        <v>42605</v>
      </c>
      <c r="B1003" t="s">
        <v>23</v>
      </c>
      <c r="C1003">
        <v>503</v>
      </c>
      <c r="D1003">
        <v>1</v>
      </c>
      <c r="E1003">
        <v>2</v>
      </c>
      <c r="F1003" t="s">
        <v>64</v>
      </c>
      <c r="G1003" t="s">
        <v>25</v>
      </c>
      <c r="H1003" t="s">
        <v>26</v>
      </c>
      <c r="I1003" t="s">
        <v>27</v>
      </c>
      <c r="J1003" t="s">
        <v>28</v>
      </c>
      <c r="K1003" t="s">
        <v>123</v>
      </c>
      <c r="L1003" t="s">
        <v>35</v>
      </c>
      <c r="M1003">
        <v>0</v>
      </c>
      <c r="N1003">
        <v>0</v>
      </c>
      <c r="O1003" s="17" t="s">
        <v>1126</v>
      </c>
      <c r="P1003" s="17" t="s">
        <v>1124</v>
      </c>
      <c r="Q1003">
        <f>30.5-16</f>
        <v>14.5</v>
      </c>
      <c r="R1003" t="s">
        <v>63</v>
      </c>
      <c r="T1003">
        <v>19</v>
      </c>
      <c r="U1003">
        <v>75</v>
      </c>
      <c r="V1003">
        <v>17</v>
      </c>
      <c r="W1003">
        <v>12.9</v>
      </c>
      <c r="X1003">
        <v>26.3</v>
      </c>
      <c r="Z1003" t="s">
        <v>145</v>
      </c>
      <c r="AA1003" t="s">
        <v>260</v>
      </c>
      <c r="AB1003" t="s">
        <v>121</v>
      </c>
      <c r="AC1003" t="s">
        <v>59</v>
      </c>
    </row>
    <row r="1004" spans="1:30" x14ac:dyDescent="0.2">
      <c r="A1004" s="3">
        <v>42606</v>
      </c>
      <c r="B1004" t="s">
        <v>23</v>
      </c>
      <c r="C1004">
        <v>503</v>
      </c>
      <c r="D1004">
        <v>3</v>
      </c>
      <c r="E1004">
        <v>2</v>
      </c>
      <c r="F1004" t="s">
        <v>64</v>
      </c>
      <c r="G1004" t="s">
        <v>25</v>
      </c>
      <c r="H1004" t="s">
        <v>26</v>
      </c>
      <c r="I1004" t="s">
        <v>27</v>
      </c>
      <c r="J1004" t="s">
        <v>28</v>
      </c>
      <c r="K1004" t="s">
        <v>123</v>
      </c>
      <c r="L1004" t="s">
        <v>35</v>
      </c>
      <c r="M1004">
        <v>0</v>
      </c>
      <c r="N1004">
        <v>0</v>
      </c>
      <c r="O1004" s="17" t="s">
        <v>1126</v>
      </c>
      <c r="P1004" s="17" t="s">
        <v>1124</v>
      </c>
      <c r="Q1004">
        <f>31.5-17</f>
        <v>14.5</v>
      </c>
      <c r="R1004" t="s">
        <v>63</v>
      </c>
      <c r="T1004">
        <v>18</v>
      </c>
      <c r="U1004">
        <v>77</v>
      </c>
      <c r="V1004">
        <v>16</v>
      </c>
      <c r="W1004">
        <v>12.8</v>
      </c>
      <c r="X1004">
        <v>26.2</v>
      </c>
      <c r="Z1004" t="s">
        <v>145</v>
      </c>
      <c r="AA1004" t="s">
        <v>260</v>
      </c>
      <c r="AB1004" t="s">
        <v>53</v>
      </c>
      <c r="AC1004" t="s">
        <v>122</v>
      </c>
    </row>
    <row r="1005" spans="1:30" x14ac:dyDescent="0.2">
      <c r="A1005" s="3">
        <v>42576</v>
      </c>
      <c r="B1005" t="s">
        <v>23</v>
      </c>
      <c r="C1005">
        <v>501</v>
      </c>
      <c r="D1005">
        <v>9</v>
      </c>
      <c r="E1005">
        <v>1</v>
      </c>
      <c r="F1005" t="s">
        <v>33</v>
      </c>
      <c r="G1005" t="s">
        <v>25</v>
      </c>
      <c r="H1005" t="s">
        <v>26</v>
      </c>
      <c r="I1005" t="s">
        <v>27</v>
      </c>
      <c r="J1005" t="s">
        <v>34</v>
      </c>
      <c r="K1005" t="s">
        <v>123</v>
      </c>
      <c r="L1005" t="s">
        <v>35</v>
      </c>
      <c r="M1005">
        <v>0</v>
      </c>
      <c r="N1005">
        <v>1</v>
      </c>
      <c r="O1005" s="17">
        <v>50973</v>
      </c>
      <c r="P1005" s="17">
        <v>50972</v>
      </c>
      <c r="Q1005">
        <f>27-13</f>
        <v>14</v>
      </c>
      <c r="R1005" t="s">
        <v>63</v>
      </c>
      <c r="T1005">
        <v>20</v>
      </c>
      <c r="U1005">
        <v>86</v>
      </c>
      <c r="V1005">
        <v>16</v>
      </c>
      <c r="W1005">
        <v>12.7</v>
      </c>
      <c r="X1005">
        <v>27.2</v>
      </c>
      <c r="Z1005" t="s">
        <v>32</v>
      </c>
      <c r="AB1005" t="s">
        <v>121</v>
      </c>
      <c r="AC1005" t="s">
        <v>122</v>
      </c>
    </row>
    <row r="1006" spans="1:30" x14ac:dyDescent="0.2">
      <c r="A1006" s="3">
        <v>42576</v>
      </c>
      <c r="B1006" t="s">
        <v>23</v>
      </c>
      <c r="C1006">
        <v>501</v>
      </c>
      <c r="D1006">
        <v>4</v>
      </c>
      <c r="E1006">
        <v>1</v>
      </c>
      <c r="F1006" t="s">
        <v>33</v>
      </c>
      <c r="G1006" t="s">
        <v>25</v>
      </c>
      <c r="H1006" t="s">
        <v>26</v>
      </c>
      <c r="I1006" t="s">
        <v>27</v>
      </c>
      <c r="J1006" t="s">
        <v>34</v>
      </c>
      <c r="K1006" t="s">
        <v>29</v>
      </c>
      <c r="L1006" t="s">
        <v>30</v>
      </c>
      <c r="M1006">
        <v>0</v>
      </c>
      <c r="N1006">
        <v>1</v>
      </c>
      <c r="O1006" s="17">
        <v>50975</v>
      </c>
      <c r="P1006" s="17">
        <v>50974</v>
      </c>
      <c r="Q1006">
        <f>31.5-12</f>
        <v>19.5</v>
      </c>
      <c r="R1006" t="s">
        <v>61</v>
      </c>
      <c r="S1006" t="s">
        <v>32</v>
      </c>
      <c r="T1006">
        <v>18</v>
      </c>
      <c r="U1006">
        <v>87</v>
      </c>
      <c r="V1006">
        <v>15</v>
      </c>
      <c r="W1006">
        <v>13.1</v>
      </c>
      <c r="X1006">
        <v>27</v>
      </c>
      <c r="Z1006" t="s">
        <v>32</v>
      </c>
      <c r="AB1006" t="s">
        <v>121</v>
      </c>
      <c r="AC1006" t="s">
        <v>122</v>
      </c>
    </row>
    <row r="1007" spans="1:30" x14ac:dyDescent="0.2">
      <c r="A1007" s="3">
        <v>42576</v>
      </c>
      <c r="B1007" t="s">
        <v>23</v>
      </c>
      <c r="C1007">
        <v>801</v>
      </c>
      <c r="D1007">
        <v>3</v>
      </c>
      <c r="E1007">
        <v>2</v>
      </c>
      <c r="F1007" t="s">
        <v>66</v>
      </c>
      <c r="G1007" t="s">
        <v>25</v>
      </c>
      <c r="H1007" t="s">
        <v>26</v>
      </c>
      <c r="I1007" t="s">
        <v>27</v>
      </c>
      <c r="J1007" t="s">
        <v>34</v>
      </c>
      <c r="K1007" t="s">
        <v>123</v>
      </c>
      <c r="L1007" t="s">
        <v>30</v>
      </c>
      <c r="M1007">
        <v>0</v>
      </c>
      <c r="N1007">
        <v>1</v>
      </c>
      <c r="O1007" s="17">
        <v>50998</v>
      </c>
      <c r="P1007" s="17">
        <v>50999</v>
      </c>
      <c r="Q1007">
        <v>13</v>
      </c>
      <c r="R1007" t="s">
        <v>31</v>
      </c>
      <c r="S1007" t="s">
        <v>32</v>
      </c>
      <c r="T1007">
        <v>19.5</v>
      </c>
      <c r="U1007">
        <v>80</v>
      </c>
      <c r="V1007">
        <v>14</v>
      </c>
      <c r="W1007">
        <v>12.6</v>
      </c>
      <c r="X1007">
        <v>28.3</v>
      </c>
      <c r="Z1007" t="s">
        <v>32</v>
      </c>
      <c r="AB1007" t="s">
        <v>121</v>
      </c>
      <c r="AC1007" t="s">
        <v>122</v>
      </c>
    </row>
    <row r="1008" spans="1:30" x14ac:dyDescent="0.2">
      <c r="A1008" s="3">
        <v>42493</v>
      </c>
      <c r="B1008" t="s">
        <v>23</v>
      </c>
      <c r="C1008">
        <v>203</v>
      </c>
      <c r="D1008">
        <v>3</v>
      </c>
      <c r="E1008">
        <v>1</v>
      </c>
      <c r="F1008" t="s">
        <v>33</v>
      </c>
      <c r="G1008" t="s">
        <v>25</v>
      </c>
      <c r="H1008" t="s">
        <v>26</v>
      </c>
      <c r="I1008" t="s">
        <v>27</v>
      </c>
      <c r="J1008" t="s">
        <v>28</v>
      </c>
      <c r="K1008" t="s">
        <v>29</v>
      </c>
      <c r="L1008" t="s">
        <v>35</v>
      </c>
      <c r="M1008">
        <v>0</v>
      </c>
      <c r="N1008">
        <v>0</v>
      </c>
      <c r="O1008" s="17" t="s">
        <v>37</v>
      </c>
      <c r="P1008" s="17" t="s">
        <v>38</v>
      </c>
      <c r="Q1008">
        <f>29.5-8</f>
        <v>21.5</v>
      </c>
      <c r="R1008" t="s">
        <v>39</v>
      </c>
      <c r="S1008" t="s">
        <v>32</v>
      </c>
      <c r="T1008">
        <v>21</v>
      </c>
      <c r="U1008">
        <v>82</v>
      </c>
      <c r="V1008">
        <v>13</v>
      </c>
      <c r="Z1008" t="s">
        <v>32</v>
      </c>
      <c r="AB1008" t="s">
        <v>44</v>
      </c>
    </row>
    <row r="1009" spans="1:30" x14ac:dyDescent="0.2">
      <c r="A1009" s="3">
        <v>42494</v>
      </c>
      <c r="B1009" t="s">
        <v>23</v>
      </c>
      <c r="C1009">
        <v>203</v>
      </c>
      <c r="D1009">
        <v>2</v>
      </c>
      <c r="E1009">
        <v>1</v>
      </c>
      <c r="F1009" t="s">
        <v>24</v>
      </c>
      <c r="G1009" t="s">
        <v>25</v>
      </c>
      <c r="H1009" t="s">
        <v>26</v>
      </c>
      <c r="I1009" t="s">
        <v>27</v>
      </c>
      <c r="J1009" t="s">
        <v>28</v>
      </c>
      <c r="K1009" t="s">
        <v>29</v>
      </c>
      <c r="L1009" t="s">
        <v>35</v>
      </c>
      <c r="M1009">
        <v>0</v>
      </c>
      <c r="N1009">
        <v>0</v>
      </c>
      <c r="O1009" s="17" t="s">
        <v>37</v>
      </c>
      <c r="P1009" s="17" t="s">
        <v>38</v>
      </c>
      <c r="Q1009">
        <v>21.75</v>
      </c>
      <c r="R1009" t="s">
        <v>39</v>
      </c>
      <c r="S1009" t="s">
        <v>32</v>
      </c>
      <c r="T1009">
        <v>20</v>
      </c>
      <c r="U1009">
        <v>82</v>
      </c>
      <c r="V1009">
        <v>14</v>
      </c>
      <c r="Z1009" t="s">
        <v>32</v>
      </c>
      <c r="AB1009" t="s">
        <v>60</v>
      </c>
      <c r="AC1009" t="s">
        <v>59</v>
      </c>
    </row>
    <row r="1010" spans="1:30" x14ac:dyDescent="0.2">
      <c r="A1010" s="3">
        <v>42495</v>
      </c>
      <c r="B1010" t="s">
        <v>23</v>
      </c>
      <c r="C1010">
        <v>203</v>
      </c>
      <c r="D1010">
        <v>2</v>
      </c>
      <c r="E1010">
        <v>1</v>
      </c>
      <c r="F1010" t="s">
        <v>33</v>
      </c>
      <c r="G1010" t="s">
        <v>25</v>
      </c>
      <c r="H1010" t="s">
        <v>26</v>
      </c>
      <c r="I1010" t="s">
        <v>27</v>
      </c>
      <c r="J1010" t="s">
        <v>28</v>
      </c>
      <c r="K1010" t="s">
        <v>29</v>
      </c>
      <c r="L1010" t="s">
        <v>35</v>
      </c>
      <c r="M1010">
        <v>0</v>
      </c>
      <c r="N1010">
        <v>0</v>
      </c>
      <c r="O1010" s="17" t="s">
        <v>37</v>
      </c>
      <c r="P1010" s="17" t="s">
        <v>38</v>
      </c>
      <c r="Q1010">
        <v>22</v>
      </c>
      <c r="R1010" t="s">
        <v>39</v>
      </c>
      <c r="S1010" t="s">
        <v>32</v>
      </c>
      <c r="T1010">
        <v>20</v>
      </c>
      <c r="U1010">
        <v>88</v>
      </c>
      <c r="V1010">
        <v>13</v>
      </c>
      <c r="Z1010" t="s">
        <v>32</v>
      </c>
      <c r="AB1010" t="s">
        <v>53</v>
      </c>
      <c r="AC1010" t="s">
        <v>59</v>
      </c>
    </row>
    <row r="1011" spans="1:30" x14ac:dyDescent="0.2">
      <c r="A1011" s="3">
        <v>42529</v>
      </c>
      <c r="B1011" t="s">
        <v>23</v>
      </c>
      <c r="C1011">
        <v>203</v>
      </c>
      <c r="D1011">
        <v>9</v>
      </c>
      <c r="E1011">
        <v>1</v>
      </c>
      <c r="F1011" t="s">
        <v>24</v>
      </c>
      <c r="G1011" t="s">
        <v>25</v>
      </c>
      <c r="H1011" t="s">
        <v>26</v>
      </c>
      <c r="I1011" t="s">
        <v>27</v>
      </c>
      <c r="J1011" t="s">
        <v>28</v>
      </c>
      <c r="K1011" t="s">
        <v>187</v>
      </c>
      <c r="L1011" t="s">
        <v>35</v>
      </c>
      <c r="M1011">
        <v>0</v>
      </c>
      <c r="N1011">
        <v>0</v>
      </c>
      <c r="O1011" s="17" t="s">
        <v>37</v>
      </c>
      <c r="P1011" s="17" t="s">
        <v>38</v>
      </c>
      <c r="Q1011">
        <f>34-12</f>
        <v>22</v>
      </c>
      <c r="R1011" t="s">
        <v>39</v>
      </c>
      <c r="S1011" t="s">
        <v>32</v>
      </c>
      <c r="T1011">
        <v>18</v>
      </c>
      <c r="U1011">
        <v>86</v>
      </c>
      <c r="V1011">
        <v>15.5</v>
      </c>
      <c r="W1011">
        <v>12.8</v>
      </c>
      <c r="X1011">
        <v>30.5</v>
      </c>
      <c r="Z1011" t="s">
        <v>32</v>
      </c>
      <c r="AB1011" t="s">
        <v>121</v>
      </c>
      <c r="AC1011" t="s">
        <v>59</v>
      </c>
    </row>
    <row r="1012" spans="1:30" x14ac:dyDescent="0.2">
      <c r="A1012" s="3">
        <v>42541</v>
      </c>
      <c r="B1012" t="s">
        <v>23</v>
      </c>
      <c r="C1012">
        <v>203</v>
      </c>
      <c r="D1012">
        <v>5</v>
      </c>
      <c r="E1012">
        <v>1</v>
      </c>
      <c r="F1012" t="s">
        <v>33</v>
      </c>
      <c r="G1012" t="s">
        <v>25</v>
      </c>
      <c r="H1012" t="s">
        <v>26</v>
      </c>
      <c r="I1012" t="s">
        <v>27</v>
      </c>
      <c r="J1012" t="s">
        <v>28</v>
      </c>
      <c r="K1012" t="s">
        <v>29</v>
      </c>
      <c r="L1012" t="s">
        <v>35</v>
      </c>
      <c r="M1012">
        <v>0</v>
      </c>
      <c r="N1012">
        <v>0</v>
      </c>
      <c r="O1012" s="17" t="s">
        <v>37</v>
      </c>
      <c r="P1012" s="17" t="s">
        <v>38</v>
      </c>
      <c r="Q1012">
        <f>34-12</f>
        <v>22</v>
      </c>
      <c r="R1012" t="s">
        <v>39</v>
      </c>
      <c r="T1012">
        <v>20</v>
      </c>
      <c r="U1012">
        <v>86</v>
      </c>
      <c r="V1012">
        <v>15</v>
      </c>
      <c r="W1012">
        <v>12.5</v>
      </c>
      <c r="X1012">
        <v>30.4</v>
      </c>
      <c r="Z1012" t="s">
        <v>32</v>
      </c>
      <c r="AB1012" t="s">
        <v>53</v>
      </c>
      <c r="AC1012" t="s">
        <v>122</v>
      </c>
    </row>
    <row r="1013" spans="1:30" x14ac:dyDescent="0.2">
      <c r="A1013" s="3">
        <v>42495</v>
      </c>
      <c r="B1013" t="s">
        <v>23</v>
      </c>
      <c r="C1013">
        <v>203</v>
      </c>
      <c r="D1013">
        <v>9</v>
      </c>
      <c r="E1013">
        <v>1</v>
      </c>
      <c r="F1013" t="s">
        <v>33</v>
      </c>
      <c r="G1013" t="s">
        <v>25</v>
      </c>
      <c r="H1013" t="s">
        <v>26</v>
      </c>
      <c r="I1013" t="s">
        <v>27</v>
      </c>
      <c r="J1013" t="s">
        <v>28</v>
      </c>
      <c r="K1013" t="s">
        <v>29</v>
      </c>
      <c r="L1013" t="s">
        <v>30</v>
      </c>
      <c r="M1013">
        <v>0</v>
      </c>
      <c r="N1013">
        <v>0</v>
      </c>
      <c r="O1013" s="17" t="s">
        <v>54</v>
      </c>
      <c r="P1013" s="17" t="s">
        <v>55</v>
      </c>
      <c r="Q1013">
        <v>19</v>
      </c>
      <c r="R1013" t="s">
        <v>31</v>
      </c>
      <c r="S1013" t="s">
        <v>32</v>
      </c>
      <c r="T1013">
        <v>19</v>
      </c>
      <c r="U1013">
        <v>79</v>
      </c>
      <c r="V1013">
        <v>13</v>
      </c>
      <c r="Z1013" t="s">
        <v>32</v>
      </c>
      <c r="AB1013" t="s">
        <v>53</v>
      </c>
      <c r="AC1013" t="s">
        <v>59</v>
      </c>
    </row>
    <row r="1014" spans="1:30" x14ac:dyDescent="0.2">
      <c r="A1014" s="3">
        <v>42501</v>
      </c>
      <c r="B1014" t="s">
        <v>23</v>
      </c>
      <c r="C1014">
        <v>703</v>
      </c>
      <c r="D1014">
        <v>2</v>
      </c>
      <c r="E1014">
        <v>1</v>
      </c>
      <c r="F1014" t="s">
        <v>33</v>
      </c>
      <c r="G1014" t="s">
        <v>25</v>
      </c>
      <c r="H1014" t="s">
        <v>26</v>
      </c>
      <c r="I1014" t="s">
        <v>27</v>
      </c>
      <c r="J1014" t="s">
        <v>28</v>
      </c>
      <c r="K1014" t="s">
        <v>29</v>
      </c>
      <c r="L1014" t="s">
        <v>30</v>
      </c>
      <c r="M1014">
        <v>0</v>
      </c>
      <c r="N1014">
        <v>0</v>
      </c>
      <c r="O1014" s="17" t="s">
        <v>73</v>
      </c>
      <c r="P1014" s="17" t="s">
        <v>74</v>
      </c>
      <c r="Q1014">
        <f>35-9</f>
        <v>26</v>
      </c>
      <c r="R1014" t="s">
        <v>61</v>
      </c>
      <c r="S1014" t="s">
        <v>32</v>
      </c>
      <c r="T1014">
        <v>21</v>
      </c>
      <c r="U1014">
        <v>86</v>
      </c>
      <c r="V1014">
        <v>12</v>
      </c>
      <c r="Z1014" t="s">
        <v>32</v>
      </c>
      <c r="AB1014" t="s">
        <v>44</v>
      </c>
      <c r="AC1014" t="s">
        <v>59</v>
      </c>
    </row>
    <row r="1015" spans="1:30" x14ac:dyDescent="0.2">
      <c r="A1015" s="3">
        <v>42502</v>
      </c>
      <c r="B1015" t="s">
        <v>23</v>
      </c>
      <c r="C1015">
        <v>703</v>
      </c>
      <c r="D1015">
        <v>1</v>
      </c>
      <c r="E1015">
        <v>1</v>
      </c>
      <c r="F1015" t="s">
        <v>33</v>
      </c>
      <c r="G1015" t="s">
        <v>25</v>
      </c>
      <c r="H1015" t="s">
        <v>26</v>
      </c>
      <c r="I1015" t="s">
        <v>27</v>
      </c>
      <c r="J1015" t="s">
        <v>28</v>
      </c>
      <c r="K1015" t="s">
        <v>29</v>
      </c>
      <c r="L1015" t="s">
        <v>30</v>
      </c>
      <c r="M1015">
        <v>0</v>
      </c>
      <c r="N1015">
        <v>0</v>
      </c>
      <c r="O1015" s="17" t="s">
        <v>73</v>
      </c>
      <c r="P1015" s="17" t="s">
        <v>74</v>
      </c>
      <c r="Q1015">
        <f>35.5-12</f>
        <v>23.5</v>
      </c>
      <c r="R1015" t="s">
        <v>61</v>
      </c>
      <c r="S1015" t="s">
        <v>32</v>
      </c>
      <c r="T1015">
        <v>20</v>
      </c>
      <c r="U1015">
        <v>88</v>
      </c>
      <c r="V1015">
        <v>13</v>
      </c>
      <c r="Z1015" t="s">
        <v>32</v>
      </c>
      <c r="AB1015" t="s">
        <v>53</v>
      </c>
      <c r="AC1015" t="s">
        <v>59</v>
      </c>
    </row>
    <row r="1016" spans="1:30" x14ac:dyDescent="0.2">
      <c r="A1016" s="3">
        <v>42514</v>
      </c>
      <c r="B1016" t="s">
        <v>23</v>
      </c>
      <c r="C1016">
        <v>703</v>
      </c>
      <c r="D1016">
        <v>9</v>
      </c>
      <c r="E1016">
        <v>1</v>
      </c>
      <c r="F1016" t="s">
        <v>24</v>
      </c>
      <c r="G1016" t="s">
        <v>25</v>
      </c>
      <c r="H1016" t="s">
        <v>26</v>
      </c>
      <c r="I1016" t="s">
        <v>27</v>
      </c>
      <c r="J1016" t="s">
        <v>28</v>
      </c>
      <c r="K1016" t="s">
        <v>29</v>
      </c>
      <c r="L1016" t="s">
        <v>30</v>
      </c>
      <c r="M1016">
        <v>0</v>
      </c>
      <c r="N1016">
        <v>0</v>
      </c>
      <c r="O1016" s="17" t="s">
        <v>73</v>
      </c>
      <c r="P1016" s="17" t="s">
        <v>74</v>
      </c>
      <c r="Q1016">
        <f>39-17.5</f>
        <v>21.5</v>
      </c>
      <c r="R1016" t="s">
        <v>91</v>
      </c>
      <c r="S1016" t="s">
        <v>32</v>
      </c>
      <c r="T1016">
        <v>19</v>
      </c>
      <c r="U1016">
        <v>90</v>
      </c>
      <c r="V1016">
        <v>12</v>
      </c>
      <c r="W1016">
        <v>10.85</v>
      </c>
      <c r="X1016">
        <v>25.5</v>
      </c>
      <c r="Z1016" t="s">
        <v>32</v>
      </c>
      <c r="AB1016" t="s">
        <v>44</v>
      </c>
      <c r="AC1016" t="s">
        <v>59</v>
      </c>
    </row>
    <row r="1017" spans="1:30" x14ac:dyDescent="0.2">
      <c r="A1017" s="3">
        <v>42515</v>
      </c>
      <c r="B1017" t="s">
        <v>23</v>
      </c>
      <c r="C1017">
        <v>703</v>
      </c>
      <c r="D1017">
        <v>2</v>
      </c>
      <c r="E1017">
        <v>1</v>
      </c>
      <c r="F1017" t="s">
        <v>24</v>
      </c>
      <c r="G1017" t="s">
        <v>25</v>
      </c>
      <c r="H1017" t="s">
        <v>26</v>
      </c>
      <c r="I1017" t="s">
        <v>27</v>
      </c>
      <c r="J1017" t="s">
        <v>28</v>
      </c>
      <c r="K1017" t="s">
        <v>29</v>
      </c>
      <c r="L1017" t="s">
        <v>30</v>
      </c>
      <c r="M1017">
        <v>0</v>
      </c>
      <c r="N1017">
        <v>0</v>
      </c>
      <c r="O1017" s="17" t="s">
        <v>73</v>
      </c>
      <c r="P1017" s="17" t="s">
        <v>74</v>
      </c>
      <c r="Q1017">
        <f>29-10.5</f>
        <v>18.5</v>
      </c>
      <c r="R1017" t="s">
        <v>61</v>
      </c>
      <c r="S1017" t="s">
        <v>32</v>
      </c>
      <c r="T1017">
        <v>18</v>
      </c>
      <c r="U1017">
        <v>93</v>
      </c>
      <c r="V1017">
        <v>13</v>
      </c>
      <c r="W1017">
        <v>11.5</v>
      </c>
      <c r="X1017">
        <v>21.25</v>
      </c>
      <c r="Z1017" t="s">
        <v>32</v>
      </c>
      <c r="AB1017" t="s">
        <v>121</v>
      </c>
      <c r="AC1017" t="s">
        <v>122</v>
      </c>
    </row>
    <row r="1018" spans="1:30" x14ac:dyDescent="0.2">
      <c r="A1018" s="3">
        <v>42516</v>
      </c>
      <c r="B1018" t="s">
        <v>23</v>
      </c>
      <c r="C1018">
        <v>703</v>
      </c>
      <c r="D1018">
        <v>3</v>
      </c>
      <c r="E1018">
        <v>2</v>
      </c>
      <c r="F1018" t="s">
        <v>24</v>
      </c>
      <c r="G1018" t="s">
        <v>25</v>
      </c>
      <c r="H1018" t="s">
        <v>26</v>
      </c>
      <c r="I1018" t="s">
        <v>27</v>
      </c>
      <c r="J1018" t="s">
        <v>28</v>
      </c>
      <c r="K1018" t="s">
        <v>29</v>
      </c>
      <c r="L1018" t="s">
        <v>30</v>
      </c>
      <c r="M1018">
        <v>0</v>
      </c>
      <c r="N1018">
        <v>0</v>
      </c>
      <c r="O1018" s="17" t="s">
        <v>73</v>
      </c>
      <c r="P1018" s="17" t="s">
        <v>74</v>
      </c>
      <c r="Q1018">
        <f>35-14.5</f>
        <v>20.5</v>
      </c>
      <c r="R1018" t="s">
        <v>91</v>
      </c>
      <c r="S1018" t="s">
        <v>32</v>
      </c>
      <c r="T1018">
        <v>19</v>
      </c>
      <c r="U1018">
        <v>92</v>
      </c>
      <c r="V1018">
        <v>13</v>
      </c>
      <c r="W1018">
        <v>12</v>
      </c>
      <c r="X1018">
        <v>25.8</v>
      </c>
      <c r="Z1018" t="s">
        <v>32</v>
      </c>
      <c r="AB1018" t="s">
        <v>44</v>
      </c>
      <c r="AC1018" t="s">
        <v>59</v>
      </c>
    </row>
    <row r="1019" spans="1:30" x14ac:dyDescent="0.2">
      <c r="A1019" s="3">
        <v>42535</v>
      </c>
      <c r="B1019" t="s">
        <v>23</v>
      </c>
      <c r="C1019">
        <v>703</v>
      </c>
      <c r="D1019">
        <v>1</v>
      </c>
      <c r="E1019">
        <v>1</v>
      </c>
      <c r="F1019" t="s">
        <v>33</v>
      </c>
      <c r="G1019" t="s">
        <v>25</v>
      </c>
      <c r="H1019" t="s">
        <v>26</v>
      </c>
      <c r="I1019" t="s">
        <v>27</v>
      </c>
      <c r="J1019" t="s">
        <v>28</v>
      </c>
      <c r="K1019" t="s">
        <v>187</v>
      </c>
      <c r="L1019" t="s">
        <v>30</v>
      </c>
      <c r="M1019">
        <v>0</v>
      </c>
      <c r="N1019">
        <v>0</v>
      </c>
      <c r="O1019" s="17" t="s">
        <v>73</v>
      </c>
      <c r="P1019" s="17" t="s">
        <v>74</v>
      </c>
      <c r="Q1019">
        <f>30-10.5</f>
        <v>19.5</v>
      </c>
      <c r="R1019" t="s">
        <v>61</v>
      </c>
      <c r="S1019" t="s">
        <v>145</v>
      </c>
      <c r="T1019">
        <v>21</v>
      </c>
      <c r="U1019">
        <v>88</v>
      </c>
      <c r="V1019">
        <v>13</v>
      </c>
      <c r="W1019">
        <v>13.3</v>
      </c>
      <c r="X1019">
        <v>29.5</v>
      </c>
      <c r="Z1019" t="s">
        <v>32</v>
      </c>
      <c r="AB1019" t="s">
        <v>44</v>
      </c>
      <c r="AC1019" t="s">
        <v>116</v>
      </c>
    </row>
    <row r="1020" spans="1:30" x14ac:dyDescent="0.2">
      <c r="A1020" s="3">
        <v>42536</v>
      </c>
      <c r="B1020" t="s">
        <v>23</v>
      </c>
      <c r="C1020">
        <v>703</v>
      </c>
      <c r="D1020">
        <v>9</v>
      </c>
      <c r="E1020">
        <v>2</v>
      </c>
      <c r="F1020" t="s">
        <v>33</v>
      </c>
      <c r="G1020" t="s">
        <v>25</v>
      </c>
      <c r="H1020" t="s">
        <v>26</v>
      </c>
      <c r="I1020" t="s">
        <v>27</v>
      </c>
      <c r="J1020" t="s">
        <v>28</v>
      </c>
      <c r="K1020" t="s">
        <v>187</v>
      </c>
      <c r="L1020" t="s">
        <v>30</v>
      </c>
      <c r="M1020">
        <v>0</v>
      </c>
      <c r="N1020">
        <v>0</v>
      </c>
      <c r="O1020" s="17" t="s">
        <v>73</v>
      </c>
      <c r="P1020" s="17" t="s">
        <v>74</v>
      </c>
      <c r="Q1020">
        <f>33-12</f>
        <v>21</v>
      </c>
      <c r="R1020" t="s">
        <v>61</v>
      </c>
      <c r="S1020" t="s">
        <v>145</v>
      </c>
      <c r="T1020">
        <v>21</v>
      </c>
      <c r="U1020">
        <v>88</v>
      </c>
      <c r="V1020">
        <v>12</v>
      </c>
      <c r="W1020">
        <v>12.5</v>
      </c>
      <c r="X1020">
        <v>29.2</v>
      </c>
      <c r="Y1020" t="s">
        <v>212</v>
      </c>
      <c r="Z1020" t="s">
        <v>32</v>
      </c>
      <c r="AB1020" t="s">
        <v>44</v>
      </c>
      <c r="AC1020" t="s">
        <v>59</v>
      </c>
    </row>
    <row r="1021" spans="1:30" x14ac:dyDescent="0.2">
      <c r="A1021" s="3">
        <v>42537</v>
      </c>
      <c r="B1021" t="s">
        <v>23</v>
      </c>
      <c r="C1021">
        <v>703</v>
      </c>
      <c r="D1021">
        <v>9</v>
      </c>
      <c r="E1021">
        <v>2</v>
      </c>
      <c r="F1021" t="s">
        <v>33</v>
      </c>
      <c r="G1021" t="s">
        <v>25</v>
      </c>
      <c r="H1021" t="s">
        <v>26</v>
      </c>
      <c r="I1021" t="s">
        <v>27</v>
      </c>
      <c r="J1021" t="s">
        <v>28</v>
      </c>
      <c r="K1021" t="s">
        <v>187</v>
      </c>
      <c r="L1021" t="s">
        <v>30</v>
      </c>
      <c r="M1021">
        <v>0</v>
      </c>
      <c r="N1021">
        <v>0</v>
      </c>
      <c r="O1021" s="17" t="s">
        <v>73</v>
      </c>
      <c r="P1021" s="17" t="s">
        <v>74</v>
      </c>
      <c r="Q1021">
        <f>22-2.5</f>
        <v>19.5</v>
      </c>
      <c r="R1021" t="s">
        <v>61</v>
      </c>
      <c r="S1021" t="s">
        <v>145</v>
      </c>
      <c r="T1021">
        <v>19</v>
      </c>
      <c r="U1021">
        <v>86</v>
      </c>
      <c r="V1021">
        <v>12</v>
      </c>
      <c r="W1021">
        <v>12.5</v>
      </c>
      <c r="X1021">
        <v>29.6</v>
      </c>
      <c r="Z1021" t="s">
        <v>32</v>
      </c>
      <c r="AB1021" t="s">
        <v>60</v>
      </c>
      <c r="AC1021" t="s">
        <v>122</v>
      </c>
    </row>
    <row r="1022" spans="1:30" x14ac:dyDescent="0.2">
      <c r="A1022" s="3">
        <v>42549</v>
      </c>
      <c r="B1022" t="s">
        <v>23</v>
      </c>
      <c r="C1022">
        <v>703</v>
      </c>
      <c r="D1022">
        <v>5</v>
      </c>
      <c r="E1022">
        <v>1</v>
      </c>
      <c r="F1022" t="s">
        <v>24</v>
      </c>
      <c r="G1022" t="s">
        <v>25</v>
      </c>
      <c r="H1022" t="s">
        <v>26</v>
      </c>
      <c r="I1022" t="s">
        <v>27</v>
      </c>
      <c r="J1022" t="s">
        <v>28</v>
      </c>
      <c r="K1022" t="s">
        <v>29</v>
      </c>
      <c r="L1022" t="s">
        <v>30</v>
      </c>
      <c r="M1022">
        <v>0</v>
      </c>
      <c r="N1022">
        <v>0</v>
      </c>
      <c r="O1022" s="17" t="s">
        <v>73</v>
      </c>
      <c r="P1022" s="17" t="s">
        <v>74</v>
      </c>
      <c r="Q1022">
        <f>34-12.5</f>
        <v>21.5</v>
      </c>
      <c r="R1022" t="s">
        <v>31</v>
      </c>
      <c r="S1022" t="s">
        <v>32</v>
      </c>
      <c r="T1022">
        <v>19</v>
      </c>
      <c r="U1022">
        <v>93</v>
      </c>
      <c r="V1022">
        <v>14</v>
      </c>
      <c r="W1022">
        <v>12.8</v>
      </c>
      <c r="X1022">
        <v>27.4</v>
      </c>
      <c r="Z1022" t="s">
        <v>32</v>
      </c>
      <c r="AB1022" t="s">
        <v>149</v>
      </c>
      <c r="AC1022" t="s">
        <v>122</v>
      </c>
    </row>
    <row r="1023" spans="1:30" x14ac:dyDescent="0.2">
      <c r="A1023" s="3">
        <v>42550</v>
      </c>
      <c r="B1023" t="s">
        <v>23</v>
      </c>
      <c r="C1023">
        <v>701</v>
      </c>
      <c r="D1023">
        <v>9</v>
      </c>
      <c r="E1023">
        <v>2</v>
      </c>
      <c r="F1023" t="s">
        <v>24</v>
      </c>
      <c r="G1023" t="s">
        <v>25</v>
      </c>
      <c r="H1023" t="s">
        <v>26</v>
      </c>
      <c r="I1023" t="s">
        <v>27</v>
      </c>
      <c r="J1023" t="s">
        <v>28</v>
      </c>
      <c r="K1023" t="s">
        <v>29</v>
      </c>
      <c r="L1023" t="s">
        <v>30</v>
      </c>
      <c r="M1023">
        <v>0</v>
      </c>
      <c r="N1023">
        <v>0</v>
      </c>
      <c r="O1023" s="17" t="s">
        <v>73</v>
      </c>
      <c r="P1023" s="17" t="s">
        <v>74</v>
      </c>
      <c r="Q1023">
        <f>37-14.5</f>
        <v>22.5</v>
      </c>
      <c r="R1023" t="s">
        <v>94</v>
      </c>
      <c r="S1023" t="s">
        <v>32</v>
      </c>
      <c r="T1023">
        <v>19</v>
      </c>
      <c r="U1023">
        <v>92</v>
      </c>
      <c r="V1023">
        <v>13</v>
      </c>
      <c r="W1023">
        <v>12.3</v>
      </c>
      <c r="X1023">
        <v>27.5</v>
      </c>
      <c r="Z1023" t="s">
        <v>32</v>
      </c>
      <c r="AB1023" t="s">
        <v>53</v>
      </c>
      <c r="AC1023" t="s">
        <v>59</v>
      </c>
    </row>
    <row r="1024" spans="1:30" x14ac:dyDescent="0.2">
      <c r="A1024" s="3">
        <v>42551</v>
      </c>
      <c r="B1024" t="s">
        <v>23</v>
      </c>
      <c r="C1024">
        <v>703</v>
      </c>
      <c r="D1024">
        <v>7</v>
      </c>
      <c r="E1024">
        <v>2</v>
      </c>
      <c r="F1024" t="s">
        <v>24</v>
      </c>
      <c r="G1024" t="s">
        <v>25</v>
      </c>
      <c r="H1024" t="s">
        <v>26</v>
      </c>
      <c r="I1024" t="s">
        <v>27</v>
      </c>
      <c r="J1024" t="s">
        <v>28</v>
      </c>
      <c r="K1024" t="s">
        <v>29</v>
      </c>
      <c r="L1024" t="s">
        <v>30</v>
      </c>
      <c r="M1024">
        <v>0</v>
      </c>
      <c r="N1024">
        <v>0</v>
      </c>
      <c r="O1024" s="17" t="s">
        <v>73</v>
      </c>
      <c r="P1024" s="17" t="s">
        <v>74</v>
      </c>
      <c r="Q1024">
        <f>31-12</f>
        <v>19</v>
      </c>
      <c r="R1024" t="s">
        <v>94</v>
      </c>
      <c r="S1024" t="s">
        <v>32</v>
      </c>
      <c r="T1024">
        <v>20</v>
      </c>
      <c r="U1024">
        <v>89.5</v>
      </c>
      <c r="V1024">
        <v>14.5</v>
      </c>
      <c r="Z1024" t="s">
        <v>32</v>
      </c>
      <c r="AB1024" t="s">
        <v>44</v>
      </c>
      <c r="AC1024" t="s">
        <v>116</v>
      </c>
      <c r="AD1024" t="s">
        <v>336</v>
      </c>
    </row>
    <row r="1025" spans="1:30" x14ac:dyDescent="0.2">
      <c r="A1025" s="3">
        <v>42549</v>
      </c>
      <c r="B1025" t="s">
        <v>23</v>
      </c>
      <c r="C1025">
        <v>901</v>
      </c>
      <c r="D1025">
        <v>1</v>
      </c>
      <c r="E1025">
        <v>1</v>
      </c>
      <c r="F1025" t="s">
        <v>24</v>
      </c>
      <c r="G1025" t="s">
        <v>25</v>
      </c>
      <c r="H1025" t="s">
        <v>26</v>
      </c>
      <c r="I1025" t="s">
        <v>27</v>
      </c>
      <c r="J1025" t="s">
        <v>28</v>
      </c>
      <c r="K1025" t="s">
        <v>29</v>
      </c>
      <c r="L1025" t="s">
        <v>30</v>
      </c>
      <c r="M1025">
        <v>0</v>
      </c>
      <c r="N1025">
        <v>0</v>
      </c>
      <c r="O1025" s="17" t="s">
        <v>334</v>
      </c>
      <c r="P1025" s="17" t="s">
        <v>335</v>
      </c>
      <c r="Q1025">
        <f>34-12</f>
        <v>22</v>
      </c>
      <c r="R1025" t="s">
        <v>31</v>
      </c>
      <c r="S1025" t="s">
        <v>32</v>
      </c>
      <c r="T1025">
        <v>19</v>
      </c>
      <c r="U1025">
        <v>87</v>
      </c>
      <c r="V1025">
        <v>17.5</v>
      </c>
      <c r="W1025">
        <v>12.1</v>
      </c>
      <c r="X1025">
        <v>28.7</v>
      </c>
      <c r="Z1025" t="s">
        <v>32</v>
      </c>
      <c r="AB1025" t="s">
        <v>121</v>
      </c>
      <c r="AC1025" t="s">
        <v>122</v>
      </c>
    </row>
    <row r="1026" spans="1:30" x14ac:dyDescent="0.2">
      <c r="A1026" s="3">
        <v>42493</v>
      </c>
      <c r="B1026" t="s">
        <v>23</v>
      </c>
      <c r="C1026">
        <v>202</v>
      </c>
      <c r="D1026">
        <v>6</v>
      </c>
      <c r="E1026">
        <v>1</v>
      </c>
      <c r="F1026" t="s">
        <v>33</v>
      </c>
      <c r="G1026" t="s">
        <v>25</v>
      </c>
      <c r="H1026" t="s">
        <v>26</v>
      </c>
      <c r="I1026" t="s">
        <v>27</v>
      </c>
      <c r="J1026" t="s">
        <v>28</v>
      </c>
      <c r="K1026" t="s">
        <v>29</v>
      </c>
      <c r="L1026" t="s">
        <v>30</v>
      </c>
      <c r="M1026">
        <v>0</v>
      </c>
      <c r="N1026">
        <v>0</v>
      </c>
      <c r="O1026" s="17" t="s">
        <v>40</v>
      </c>
      <c r="P1026" s="17" t="s">
        <v>41</v>
      </c>
      <c r="Q1026">
        <v>21.6</v>
      </c>
      <c r="R1026" t="s">
        <v>31</v>
      </c>
      <c r="S1026" t="s">
        <v>32</v>
      </c>
      <c r="T1026">
        <v>19</v>
      </c>
      <c r="U1026">
        <v>74</v>
      </c>
      <c r="V1026">
        <v>15</v>
      </c>
      <c r="Z1026" t="s">
        <v>32</v>
      </c>
      <c r="AB1026" t="s">
        <v>44</v>
      </c>
    </row>
    <row r="1027" spans="1:30" x14ac:dyDescent="0.2">
      <c r="A1027" s="3">
        <v>42494</v>
      </c>
      <c r="B1027" t="s">
        <v>23</v>
      </c>
      <c r="C1027">
        <v>202</v>
      </c>
      <c r="D1027">
        <v>5</v>
      </c>
      <c r="E1027">
        <v>1</v>
      </c>
      <c r="F1027" t="s">
        <v>24</v>
      </c>
      <c r="G1027" t="s">
        <v>25</v>
      </c>
      <c r="H1027" t="s">
        <v>26</v>
      </c>
      <c r="I1027" t="s">
        <v>27</v>
      </c>
      <c r="J1027" t="s">
        <v>28</v>
      </c>
      <c r="K1027" t="s">
        <v>29</v>
      </c>
      <c r="L1027" t="s">
        <v>30</v>
      </c>
      <c r="M1027">
        <v>0</v>
      </c>
      <c r="N1027">
        <v>0</v>
      </c>
      <c r="O1027" s="17" t="s">
        <v>40</v>
      </c>
      <c r="P1027" s="17" t="s">
        <v>41</v>
      </c>
      <c r="Q1027">
        <f>26.5-8.5</f>
        <v>18</v>
      </c>
      <c r="R1027" t="s">
        <v>31</v>
      </c>
      <c r="S1027" t="s">
        <v>32</v>
      </c>
      <c r="U1027">
        <v>76</v>
      </c>
      <c r="Z1027" t="s">
        <v>32</v>
      </c>
      <c r="AB1027" t="s">
        <v>60</v>
      </c>
      <c r="AC1027" t="s">
        <v>59</v>
      </c>
    </row>
    <row r="1028" spans="1:30" x14ac:dyDescent="0.2">
      <c r="A1028" s="3">
        <v>42495</v>
      </c>
      <c r="B1028" t="s">
        <v>23</v>
      </c>
      <c r="C1028">
        <v>202</v>
      </c>
      <c r="D1028">
        <v>5</v>
      </c>
      <c r="E1028">
        <v>1</v>
      </c>
      <c r="F1028" t="s">
        <v>24</v>
      </c>
      <c r="G1028" t="s">
        <v>25</v>
      </c>
      <c r="H1028" t="s">
        <v>26</v>
      </c>
      <c r="I1028" t="s">
        <v>27</v>
      </c>
      <c r="J1028" t="s">
        <v>28</v>
      </c>
      <c r="K1028" t="s">
        <v>29</v>
      </c>
      <c r="L1028" t="s">
        <v>30</v>
      </c>
      <c r="M1028">
        <v>0</v>
      </c>
      <c r="N1028">
        <v>0</v>
      </c>
      <c r="O1028" s="17" t="s">
        <v>40</v>
      </c>
      <c r="P1028" s="17" t="s">
        <v>41</v>
      </c>
      <c r="Q1028">
        <f>25-7.5</f>
        <v>17.5</v>
      </c>
      <c r="R1028" t="s">
        <v>31</v>
      </c>
      <c r="S1028" t="s">
        <v>32</v>
      </c>
      <c r="T1028">
        <v>18.5</v>
      </c>
      <c r="U1028">
        <v>78</v>
      </c>
      <c r="V1028">
        <v>16</v>
      </c>
      <c r="Z1028" t="s">
        <v>32</v>
      </c>
      <c r="AB1028" t="s">
        <v>53</v>
      </c>
      <c r="AC1028" t="s">
        <v>59</v>
      </c>
    </row>
    <row r="1029" spans="1:30" x14ac:dyDescent="0.2">
      <c r="A1029" s="3">
        <v>42507</v>
      </c>
      <c r="B1029" t="s">
        <v>23</v>
      </c>
      <c r="C1029">
        <v>202</v>
      </c>
      <c r="D1029">
        <v>5</v>
      </c>
      <c r="E1029">
        <v>1</v>
      </c>
      <c r="F1029" t="s">
        <v>33</v>
      </c>
      <c r="G1029" t="s">
        <v>25</v>
      </c>
      <c r="H1029" t="s">
        <v>26</v>
      </c>
      <c r="I1029" t="s">
        <v>27</v>
      </c>
      <c r="J1029" t="s">
        <v>28</v>
      </c>
      <c r="K1029" t="s">
        <v>29</v>
      </c>
      <c r="L1029" t="s">
        <v>30</v>
      </c>
      <c r="M1029">
        <v>0</v>
      </c>
      <c r="N1029">
        <v>0</v>
      </c>
      <c r="O1029" s="17" t="s">
        <v>40</v>
      </c>
      <c r="P1029" s="17" t="s">
        <v>41</v>
      </c>
      <c r="Q1029">
        <f>34-12.5</f>
        <v>21.5</v>
      </c>
      <c r="R1029" t="s">
        <v>31</v>
      </c>
      <c r="S1029" t="s">
        <v>32</v>
      </c>
      <c r="T1029">
        <v>18</v>
      </c>
      <c r="U1029">
        <v>78</v>
      </c>
      <c r="V1029">
        <v>13</v>
      </c>
      <c r="Z1029" t="s">
        <v>32</v>
      </c>
      <c r="AB1029" t="s">
        <v>44</v>
      </c>
      <c r="AC1029" t="s">
        <v>116</v>
      </c>
    </row>
    <row r="1030" spans="1:30" x14ac:dyDescent="0.2">
      <c r="A1030" s="3">
        <v>42515</v>
      </c>
      <c r="B1030" t="s">
        <v>23</v>
      </c>
      <c r="C1030">
        <v>901</v>
      </c>
      <c r="D1030">
        <v>2</v>
      </c>
      <c r="E1030">
        <v>1</v>
      </c>
      <c r="F1030" t="s">
        <v>24</v>
      </c>
      <c r="G1030" t="s">
        <v>25</v>
      </c>
      <c r="H1030" t="s">
        <v>26</v>
      </c>
      <c r="I1030" t="s">
        <v>27</v>
      </c>
      <c r="J1030" t="s">
        <v>28</v>
      </c>
      <c r="K1030" t="s">
        <v>29</v>
      </c>
      <c r="L1030" t="s">
        <v>30</v>
      </c>
      <c r="M1030">
        <v>0</v>
      </c>
      <c r="N1030">
        <v>0</v>
      </c>
      <c r="O1030" s="17" t="s">
        <v>150</v>
      </c>
      <c r="P1030" s="17" t="s">
        <v>151</v>
      </c>
      <c r="Q1030">
        <v>21</v>
      </c>
      <c r="R1030" t="s">
        <v>31</v>
      </c>
      <c r="S1030" t="s">
        <v>32</v>
      </c>
      <c r="T1030">
        <v>19</v>
      </c>
      <c r="U1030">
        <v>88</v>
      </c>
      <c r="V1030">
        <v>16</v>
      </c>
      <c r="W1030">
        <v>11.92</v>
      </c>
      <c r="X1030">
        <v>28.01</v>
      </c>
      <c r="Y1030" t="s">
        <v>152</v>
      </c>
      <c r="Z1030" t="s">
        <v>32</v>
      </c>
      <c r="AB1030" t="s">
        <v>121</v>
      </c>
      <c r="AC1030" t="s">
        <v>122</v>
      </c>
    </row>
    <row r="1031" spans="1:30" x14ac:dyDescent="0.2">
      <c r="A1031" s="3">
        <v>42516</v>
      </c>
      <c r="B1031" t="s">
        <v>23</v>
      </c>
      <c r="C1031">
        <v>901</v>
      </c>
      <c r="D1031">
        <v>1</v>
      </c>
      <c r="E1031">
        <v>1</v>
      </c>
      <c r="F1031" t="s">
        <v>24</v>
      </c>
      <c r="G1031" t="s">
        <v>25</v>
      </c>
      <c r="H1031" t="s">
        <v>26</v>
      </c>
      <c r="I1031" t="s">
        <v>27</v>
      </c>
      <c r="J1031" t="s">
        <v>28</v>
      </c>
      <c r="K1031" t="s">
        <v>29</v>
      </c>
      <c r="L1031" t="s">
        <v>30</v>
      </c>
      <c r="M1031">
        <v>0</v>
      </c>
      <c r="N1031">
        <v>0</v>
      </c>
      <c r="O1031" s="17" t="s">
        <v>150</v>
      </c>
      <c r="P1031" s="17" t="s">
        <v>151</v>
      </c>
      <c r="Q1031">
        <v>20</v>
      </c>
      <c r="R1031" t="s">
        <v>75</v>
      </c>
      <c r="S1031" t="s">
        <v>145</v>
      </c>
      <c r="T1031">
        <v>18</v>
      </c>
      <c r="U1031">
        <v>90.5</v>
      </c>
      <c r="V1031">
        <v>15.5</v>
      </c>
      <c r="W1031">
        <v>12.2</v>
      </c>
      <c r="X1031">
        <v>27.5</v>
      </c>
      <c r="Z1031" t="s">
        <v>32</v>
      </c>
      <c r="AB1031" t="s">
        <v>44</v>
      </c>
      <c r="AC1031" t="s">
        <v>59</v>
      </c>
    </row>
    <row r="1032" spans="1:30" x14ac:dyDescent="0.2">
      <c r="A1032" s="3">
        <v>42550</v>
      </c>
      <c r="B1032" t="s">
        <v>23</v>
      </c>
      <c r="C1032">
        <v>901</v>
      </c>
      <c r="D1032">
        <v>2</v>
      </c>
      <c r="E1032">
        <v>1</v>
      </c>
      <c r="F1032" t="s">
        <v>24</v>
      </c>
      <c r="G1032" t="s">
        <v>25</v>
      </c>
      <c r="H1032" t="s">
        <v>26</v>
      </c>
      <c r="I1032" t="s">
        <v>27</v>
      </c>
      <c r="J1032" t="s">
        <v>28</v>
      </c>
      <c r="K1032" t="s">
        <v>29</v>
      </c>
      <c r="L1032" t="s">
        <v>30</v>
      </c>
      <c r="M1032">
        <v>0</v>
      </c>
      <c r="N1032">
        <v>0</v>
      </c>
      <c r="O1032" s="17" t="s">
        <v>150</v>
      </c>
      <c r="P1032" s="17" t="s">
        <v>339</v>
      </c>
      <c r="Q1032">
        <v>22</v>
      </c>
      <c r="R1032" t="s">
        <v>31</v>
      </c>
      <c r="S1032" t="s">
        <v>32</v>
      </c>
      <c r="T1032">
        <v>18</v>
      </c>
      <c r="U1032">
        <v>92</v>
      </c>
      <c r="V1032">
        <v>17.5</v>
      </c>
      <c r="W1032">
        <v>12.5</v>
      </c>
      <c r="X1032">
        <v>24.5</v>
      </c>
      <c r="Z1032" t="s">
        <v>32</v>
      </c>
      <c r="AB1032" t="s">
        <v>53</v>
      </c>
      <c r="AC1032" t="s">
        <v>59</v>
      </c>
    </row>
    <row r="1033" spans="1:30" x14ac:dyDescent="0.2">
      <c r="A1033" s="3">
        <v>42551</v>
      </c>
      <c r="B1033" t="s">
        <v>23</v>
      </c>
      <c r="C1033">
        <v>901</v>
      </c>
      <c r="D1033">
        <v>2</v>
      </c>
      <c r="E1033">
        <v>1</v>
      </c>
      <c r="F1033" t="s">
        <v>24</v>
      </c>
      <c r="G1033" t="s">
        <v>25</v>
      </c>
      <c r="H1033" t="s">
        <v>26</v>
      </c>
      <c r="I1033" t="s">
        <v>27</v>
      </c>
      <c r="J1033" t="s">
        <v>28</v>
      </c>
      <c r="K1033" t="s">
        <v>29</v>
      </c>
      <c r="L1033" t="s">
        <v>30</v>
      </c>
      <c r="M1033">
        <v>0</v>
      </c>
      <c r="N1033">
        <v>0</v>
      </c>
      <c r="O1033" s="17" t="s">
        <v>150</v>
      </c>
      <c r="P1033" s="17" t="s">
        <v>339</v>
      </c>
      <c r="Q1033">
        <f>34.5-12</f>
        <v>22.5</v>
      </c>
      <c r="R1033" t="s">
        <v>31</v>
      </c>
      <c r="S1033" t="s">
        <v>32</v>
      </c>
      <c r="T1033">
        <v>17</v>
      </c>
      <c r="U1033">
        <v>88</v>
      </c>
      <c r="V1033">
        <v>15</v>
      </c>
      <c r="W1033">
        <v>12.8</v>
      </c>
      <c r="X1033">
        <v>27.3</v>
      </c>
      <c r="Z1033" t="s">
        <v>32</v>
      </c>
      <c r="AB1033" t="s">
        <v>44</v>
      </c>
      <c r="AC1033" t="s">
        <v>116</v>
      </c>
    </row>
    <row r="1034" spans="1:30" x14ac:dyDescent="0.2">
      <c r="A1034" s="3">
        <v>42563</v>
      </c>
      <c r="B1034" t="s">
        <v>23</v>
      </c>
      <c r="C1034">
        <v>901</v>
      </c>
      <c r="D1034">
        <v>2</v>
      </c>
      <c r="E1034">
        <v>1</v>
      </c>
      <c r="F1034" t="s">
        <v>33</v>
      </c>
      <c r="G1034" t="s">
        <v>25</v>
      </c>
      <c r="H1034" t="s">
        <v>26</v>
      </c>
      <c r="I1034" t="s">
        <v>27</v>
      </c>
      <c r="J1034" t="s">
        <v>28</v>
      </c>
      <c r="K1034" t="s">
        <v>29</v>
      </c>
      <c r="L1034" t="s">
        <v>30</v>
      </c>
      <c r="M1034">
        <v>0</v>
      </c>
      <c r="N1034">
        <v>0</v>
      </c>
      <c r="O1034" s="17" t="s">
        <v>150</v>
      </c>
      <c r="P1034" s="17" t="s">
        <v>339</v>
      </c>
      <c r="Q1034">
        <f>40.5-14</f>
        <v>26.5</v>
      </c>
      <c r="R1034" t="s">
        <v>273</v>
      </c>
      <c r="S1034" t="s">
        <v>145</v>
      </c>
      <c r="T1034">
        <v>19</v>
      </c>
      <c r="U1034">
        <v>89</v>
      </c>
      <c r="V1034">
        <v>16</v>
      </c>
      <c r="W1034">
        <v>13</v>
      </c>
      <c r="X1034">
        <v>27.6</v>
      </c>
      <c r="Z1034" t="s">
        <v>32</v>
      </c>
      <c r="AB1034" t="s">
        <v>255</v>
      </c>
      <c r="AC1034" t="s">
        <v>122</v>
      </c>
    </row>
    <row r="1035" spans="1:30" x14ac:dyDescent="0.2">
      <c r="A1035" s="3">
        <v>42564</v>
      </c>
      <c r="B1035" t="s">
        <v>23</v>
      </c>
      <c r="C1035">
        <v>901</v>
      </c>
      <c r="D1035">
        <v>2</v>
      </c>
      <c r="E1035">
        <v>2</v>
      </c>
      <c r="F1035" t="s">
        <v>33</v>
      </c>
      <c r="G1035" t="s">
        <v>25</v>
      </c>
      <c r="H1035" t="s">
        <v>26</v>
      </c>
      <c r="I1035" t="s">
        <v>27</v>
      </c>
      <c r="J1035" t="s">
        <v>28</v>
      </c>
      <c r="K1035" t="s">
        <v>29</v>
      </c>
      <c r="L1035" t="s">
        <v>30</v>
      </c>
      <c r="M1035">
        <v>0</v>
      </c>
      <c r="N1035">
        <v>0</v>
      </c>
      <c r="O1035" s="17" t="s">
        <v>150</v>
      </c>
      <c r="P1035" s="17" t="s">
        <v>339</v>
      </c>
      <c r="Q1035">
        <f>38-15</f>
        <v>23</v>
      </c>
      <c r="R1035" t="s">
        <v>273</v>
      </c>
      <c r="S1035" t="s">
        <v>145</v>
      </c>
      <c r="T1035">
        <v>19</v>
      </c>
      <c r="U1035">
        <v>86</v>
      </c>
      <c r="V1035">
        <v>15</v>
      </c>
      <c r="W1035">
        <v>13</v>
      </c>
      <c r="X1035">
        <v>26.2</v>
      </c>
      <c r="Z1035" t="s">
        <v>32</v>
      </c>
      <c r="AB1035" t="s">
        <v>121</v>
      </c>
      <c r="AC1035" t="s">
        <v>122</v>
      </c>
    </row>
    <row r="1036" spans="1:30" x14ac:dyDescent="0.2">
      <c r="A1036" s="3">
        <v>42565</v>
      </c>
      <c r="B1036" t="s">
        <v>23</v>
      </c>
      <c r="C1036">
        <v>901</v>
      </c>
      <c r="D1036">
        <v>1</v>
      </c>
      <c r="E1036">
        <v>2</v>
      </c>
      <c r="F1036" t="s">
        <v>33</v>
      </c>
      <c r="G1036" t="s">
        <v>25</v>
      </c>
      <c r="H1036" t="s">
        <v>26</v>
      </c>
      <c r="I1036" t="s">
        <v>27</v>
      </c>
      <c r="J1036" t="s">
        <v>28</v>
      </c>
      <c r="K1036" t="s">
        <v>29</v>
      </c>
      <c r="L1036" t="s">
        <v>30</v>
      </c>
      <c r="M1036">
        <v>0</v>
      </c>
      <c r="N1036">
        <v>0</v>
      </c>
      <c r="O1036" s="17" t="s">
        <v>150</v>
      </c>
      <c r="P1036" s="17" t="s">
        <v>339</v>
      </c>
      <c r="Q1036">
        <v>27</v>
      </c>
      <c r="R1036" t="s">
        <v>273</v>
      </c>
      <c r="S1036" t="s">
        <v>145</v>
      </c>
      <c r="T1036">
        <v>20</v>
      </c>
      <c r="U1036">
        <v>85</v>
      </c>
      <c r="V1036">
        <v>15</v>
      </c>
      <c r="W1036">
        <v>13</v>
      </c>
      <c r="X1036">
        <v>27.3</v>
      </c>
      <c r="Z1036" t="s">
        <v>32</v>
      </c>
      <c r="AB1036" t="s">
        <v>121</v>
      </c>
      <c r="AC1036" t="s">
        <v>254</v>
      </c>
    </row>
    <row r="1037" spans="1:30" x14ac:dyDescent="0.2">
      <c r="A1037" s="3">
        <v>42576</v>
      </c>
      <c r="B1037" t="s">
        <v>23</v>
      </c>
      <c r="C1037">
        <v>901</v>
      </c>
      <c r="D1037">
        <v>2</v>
      </c>
      <c r="E1037">
        <v>2</v>
      </c>
      <c r="F1037" t="s">
        <v>66</v>
      </c>
      <c r="G1037" t="s">
        <v>25</v>
      </c>
      <c r="H1037" t="s">
        <v>26</v>
      </c>
      <c r="I1037" t="s">
        <v>27</v>
      </c>
      <c r="J1037" t="s">
        <v>28</v>
      </c>
      <c r="K1037" t="s">
        <v>29</v>
      </c>
      <c r="L1037" t="s">
        <v>30</v>
      </c>
      <c r="M1037">
        <v>0</v>
      </c>
      <c r="N1037">
        <v>0</v>
      </c>
      <c r="O1037" s="17" t="s">
        <v>150</v>
      </c>
      <c r="P1037" s="17" t="s">
        <v>339</v>
      </c>
      <c r="Q1037">
        <f>31-12</f>
        <v>19</v>
      </c>
      <c r="R1037" t="s">
        <v>31</v>
      </c>
      <c r="S1037" t="s">
        <v>32</v>
      </c>
      <c r="T1037">
        <v>19</v>
      </c>
      <c r="U1037">
        <v>89</v>
      </c>
      <c r="V1037">
        <v>19</v>
      </c>
      <c r="W1037">
        <v>12.6</v>
      </c>
      <c r="X1037">
        <v>24.1</v>
      </c>
      <c r="Z1037" t="s">
        <v>32</v>
      </c>
      <c r="AB1037" t="s">
        <v>121</v>
      </c>
      <c r="AC1037" t="s">
        <v>122</v>
      </c>
    </row>
    <row r="1038" spans="1:30" x14ac:dyDescent="0.2">
      <c r="A1038" s="3">
        <v>42591</v>
      </c>
      <c r="B1038" t="s">
        <v>23</v>
      </c>
      <c r="C1038">
        <v>901</v>
      </c>
      <c r="D1038">
        <v>1</v>
      </c>
      <c r="E1038">
        <v>1</v>
      </c>
      <c r="F1038" t="s">
        <v>64</v>
      </c>
      <c r="G1038" t="s">
        <v>25</v>
      </c>
      <c r="H1038" t="s">
        <v>26</v>
      </c>
      <c r="I1038" t="s">
        <v>27</v>
      </c>
      <c r="J1038" t="s">
        <v>28</v>
      </c>
      <c r="K1038" t="s">
        <v>29</v>
      </c>
      <c r="L1038" t="s">
        <v>30</v>
      </c>
      <c r="M1038">
        <v>0</v>
      </c>
      <c r="N1038">
        <v>0</v>
      </c>
      <c r="O1038" s="17" t="s">
        <v>150</v>
      </c>
      <c r="P1038" s="17" t="s">
        <v>339</v>
      </c>
      <c r="Q1038">
        <f>34.5-14</f>
        <v>20.5</v>
      </c>
      <c r="R1038" t="s">
        <v>75</v>
      </c>
      <c r="S1038" t="s">
        <v>145</v>
      </c>
      <c r="T1038">
        <v>18</v>
      </c>
      <c r="U1038">
        <v>91</v>
      </c>
      <c r="V1038">
        <v>16</v>
      </c>
      <c r="W1038">
        <v>13.2</v>
      </c>
      <c r="X1038">
        <v>27.2</v>
      </c>
      <c r="Y1038" t="s">
        <v>1386</v>
      </c>
      <c r="Z1038" t="s">
        <v>145</v>
      </c>
      <c r="AA1038" t="s">
        <v>260</v>
      </c>
      <c r="AB1038" t="s">
        <v>44</v>
      </c>
      <c r="AC1038" t="s">
        <v>59</v>
      </c>
      <c r="AD1038" t="s">
        <v>1387</v>
      </c>
    </row>
    <row r="1039" spans="1:30" x14ac:dyDescent="0.2">
      <c r="A1039" s="3">
        <v>42592</v>
      </c>
      <c r="B1039" t="s">
        <v>23</v>
      </c>
      <c r="C1039">
        <v>901</v>
      </c>
      <c r="D1039">
        <v>6</v>
      </c>
      <c r="E1039">
        <v>1</v>
      </c>
      <c r="F1039" t="s">
        <v>64</v>
      </c>
      <c r="G1039" t="s">
        <v>25</v>
      </c>
      <c r="H1039" t="s">
        <v>26</v>
      </c>
      <c r="I1039" t="s">
        <v>27</v>
      </c>
      <c r="J1039" t="s">
        <v>28</v>
      </c>
      <c r="O1039" s="17" t="s">
        <v>150</v>
      </c>
      <c r="P1039" s="17" t="s">
        <v>339</v>
      </c>
      <c r="Z1039" t="s">
        <v>145</v>
      </c>
      <c r="AB1039" t="s">
        <v>53</v>
      </c>
      <c r="AC1039" t="s">
        <v>59</v>
      </c>
      <c r="AD1039" t="s">
        <v>1472</v>
      </c>
    </row>
    <row r="1040" spans="1:30" x14ac:dyDescent="0.2">
      <c r="A1040" s="3">
        <v>42543</v>
      </c>
      <c r="B1040" t="s">
        <v>23</v>
      </c>
      <c r="C1040">
        <v>203</v>
      </c>
      <c r="D1040">
        <v>6</v>
      </c>
      <c r="E1040">
        <v>1</v>
      </c>
      <c r="F1040" t="s">
        <v>33</v>
      </c>
      <c r="G1040" t="s">
        <v>25</v>
      </c>
      <c r="H1040" t="s">
        <v>26</v>
      </c>
      <c r="I1040" t="s">
        <v>27</v>
      </c>
      <c r="J1040" t="s">
        <v>28</v>
      </c>
      <c r="K1040" t="s">
        <v>29</v>
      </c>
      <c r="L1040" t="s">
        <v>35</v>
      </c>
      <c r="M1040">
        <v>0</v>
      </c>
      <c r="N1040">
        <v>0</v>
      </c>
      <c r="O1040" s="17" t="s">
        <v>290</v>
      </c>
      <c r="P1040" s="17" t="s">
        <v>291</v>
      </c>
      <c r="Q1040">
        <f>33-13</f>
        <v>20</v>
      </c>
      <c r="R1040" t="s">
        <v>39</v>
      </c>
      <c r="T1040">
        <v>20</v>
      </c>
      <c r="U1040">
        <v>88</v>
      </c>
      <c r="V1040">
        <v>13</v>
      </c>
      <c r="W1040">
        <v>12</v>
      </c>
      <c r="X1040">
        <v>28.3</v>
      </c>
      <c r="Z1040" t="s">
        <v>32</v>
      </c>
      <c r="AB1040" t="s">
        <v>53</v>
      </c>
      <c r="AC1040" t="s">
        <v>122</v>
      </c>
    </row>
    <row r="1041" spans="1:30" x14ac:dyDescent="0.2">
      <c r="A1041" s="3">
        <v>42556</v>
      </c>
      <c r="B1041" t="s">
        <v>23</v>
      </c>
      <c r="C1041">
        <v>203</v>
      </c>
      <c r="D1041">
        <v>9</v>
      </c>
      <c r="E1041">
        <v>1</v>
      </c>
      <c r="F1041" t="s">
        <v>24</v>
      </c>
      <c r="G1041" t="s">
        <v>25</v>
      </c>
      <c r="H1041" t="s">
        <v>26</v>
      </c>
      <c r="I1041" t="s">
        <v>27</v>
      </c>
      <c r="J1041" t="s">
        <v>28</v>
      </c>
      <c r="K1041" t="s">
        <v>29</v>
      </c>
      <c r="L1041" t="s">
        <v>35</v>
      </c>
      <c r="M1041">
        <v>0</v>
      </c>
      <c r="N1041">
        <v>0</v>
      </c>
      <c r="O1041" s="17" t="s">
        <v>290</v>
      </c>
      <c r="P1041" s="17" t="s">
        <v>291</v>
      </c>
      <c r="Q1041">
        <v>20.5</v>
      </c>
      <c r="R1041" t="s">
        <v>63</v>
      </c>
      <c r="T1041">
        <v>19</v>
      </c>
      <c r="U1041">
        <v>93</v>
      </c>
      <c r="V1041">
        <v>16</v>
      </c>
      <c r="W1041">
        <v>12.9</v>
      </c>
      <c r="X1041">
        <v>28.3</v>
      </c>
      <c r="Z1041" t="s">
        <v>32</v>
      </c>
      <c r="AB1041" t="s">
        <v>44</v>
      </c>
      <c r="AC1041" t="s">
        <v>59</v>
      </c>
    </row>
    <row r="1042" spans="1:30" x14ac:dyDescent="0.2">
      <c r="A1042" s="3">
        <v>42557</v>
      </c>
      <c r="B1042" t="s">
        <v>23</v>
      </c>
      <c r="C1042">
        <v>203</v>
      </c>
      <c r="D1042">
        <v>5</v>
      </c>
      <c r="E1042">
        <v>2</v>
      </c>
      <c r="F1042" t="s">
        <v>24</v>
      </c>
      <c r="G1042" t="s">
        <v>25</v>
      </c>
      <c r="H1042" t="s">
        <v>26</v>
      </c>
      <c r="I1042" t="s">
        <v>27</v>
      </c>
      <c r="J1042" t="s">
        <v>28</v>
      </c>
      <c r="K1042" t="s">
        <v>29</v>
      </c>
      <c r="L1042" t="s">
        <v>35</v>
      </c>
      <c r="M1042">
        <v>0</v>
      </c>
      <c r="N1042">
        <v>0</v>
      </c>
      <c r="O1042" s="17" t="s">
        <v>290</v>
      </c>
      <c r="P1042" s="17" t="s">
        <v>291</v>
      </c>
      <c r="Q1042">
        <f>29-9.5</f>
        <v>19.5</v>
      </c>
      <c r="R1042" t="s">
        <v>39</v>
      </c>
      <c r="T1042">
        <v>19</v>
      </c>
      <c r="U1042">
        <v>92</v>
      </c>
      <c r="V1042">
        <v>16</v>
      </c>
      <c r="W1042">
        <v>13.1</v>
      </c>
      <c r="X1042">
        <v>28.5</v>
      </c>
      <c r="Z1042" t="s">
        <v>32</v>
      </c>
      <c r="AB1042" t="s">
        <v>44</v>
      </c>
      <c r="AC1042" t="s">
        <v>122</v>
      </c>
    </row>
    <row r="1043" spans="1:30" x14ac:dyDescent="0.2">
      <c r="A1043" s="3">
        <v>42541</v>
      </c>
      <c r="B1043" t="s">
        <v>23</v>
      </c>
      <c r="C1043">
        <v>202</v>
      </c>
      <c r="D1043">
        <v>5</v>
      </c>
      <c r="E1043">
        <v>1</v>
      </c>
      <c r="F1043" t="s">
        <v>33</v>
      </c>
      <c r="G1043" t="s">
        <v>25</v>
      </c>
      <c r="H1043" t="s">
        <v>26</v>
      </c>
      <c r="I1043" t="s">
        <v>27</v>
      </c>
      <c r="J1043" t="s">
        <v>205</v>
      </c>
      <c r="Z1043" t="s">
        <v>32</v>
      </c>
    </row>
    <row r="1044" spans="1:30" x14ac:dyDescent="0.2">
      <c r="A1044" s="3">
        <v>42541</v>
      </c>
      <c r="B1044" t="s">
        <v>23</v>
      </c>
      <c r="C1044">
        <v>113</v>
      </c>
      <c r="D1044">
        <v>1</v>
      </c>
      <c r="E1044">
        <v>1</v>
      </c>
      <c r="F1044" t="s">
        <v>24</v>
      </c>
      <c r="G1044" t="s">
        <v>25</v>
      </c>
      <c r="H1044" t="s">
        <v>26</v>
      </c>
      <c r="I1044" t="s">
        <v>27</v>
      </c>
      <c r="J1044" t="s">
        <v>258</v>
      </c>
      <c r="Z1044" t="s">
        <v>32</v>
      </c>
      <c r="AB1044" t="s">
        <v>53</v>
      </c>
      <c r="AC1044" t="s">
        <v>254</v>
      </c>
      <c r="AD1044" t="s">
        <v>259</v>
      </c>
    </row>
    <row r="1045" spans="1:30" x14ac:dyDescent="0.2">
      <c r="A1045" s="3">
        <v>42558</v>
      </c>
      <c r="B1045" t="s">
        <v>23</v>
      </c>
      <c r="C1045">
        <v>201</v>
      </c>
      <c r="D1045">
        <v>9</v>
      </c>
      <c r="E1045">
        <v>2</v>
      </c>
      <c r="F1045" t="s">
        <v>24</v>
      </c>
      <c r="G1045" t="s">
        <v>25</v>
      </c>
      <c r="H1045" t="s">
        <v>26</v>
      </c>
      <c r="I1045" t="s">
        <v>27</v>
      </c>
      <c r="J1045" t="s">
        <v>258</v>
      </c>
    </row>
    <row r="1046" spans="1:30" x14ac:dyDescent="0.2">
      <c r="A1046" s="3">
        <v>42558</v>
      </c>
      <c r="B1046" t="s">
        <v>23</v>
      </c>
      <c r="C1046">
        <v>201</v>
      </c>
      <c r="D1046">
        <v>10</v>
      </c>
      <c r="E1046">
        <v>1</v>
      </c>
      <c r="F1046" t="s">
        <v>24</v>
      </c>
      <c r="G1046" t="s">
        <v>25</v>
      </c>
      <c r="H1046" t="s">
        <v>26</v>
      </c>
      <c r="I1046" t="s">
        <v>27</v>
      </c>
      <c r="J1046" t="s">
        <v>258</v>
      </c>
    </row>
    <row r="1047" spans="1:30" x14ac:dyDescent="0.2">
      <c r="A1047" s="3">
        <v>42558</v>
      </c>
      <c r="B1047" t="s">
        <v>23</v>
      </c>
      <c r="C1047">
        <v>202</v>
      </c>
      <c r="D1047">
        <v>3</v>
      </c>
      <c r="E1047">
        <v>1</v>
      </c>
      <c r="F1047" t="s">
        <v>24</v>
      </c>
      <c r="G1047" t="s">
        <v>25</v>
      </c>
      <c r="H1047" t="s">
        <v>26</v>
      </c>
      <c r="I1047" t="s">
        <v>27</v>
      </c>
      <c r="J1047" t="s">
        <v>258</v>
      </c>
    </row>
    <row r="1048" spans="1:30" x14ac:dyDescent="0.2">
      <c r="A1048" s="3">
        <v>42558</v>
      </c>
      <c r="B1048" t="s">
        <v>23</v>
      </c>
      <c r="C1048">
        <v>202</v>
      </c>
      <c r="D1048">
        <v>3</v>
      </c>
      <c r="E1048">
        <v>2</v>
      </c>
      <c r="F1048" t="s">
        <v>24</v>
      </c>
      <c r="G1048" t="s">
        <v>25</v>
      </c>
      <c r="H1048" t="s">
        <v>26</v>
      </c>
      <c r="I1048" t="s">
        <v>27</v>
      </c>
      <c r="J1048" t="s">
        <v>258</v>
      </c>
    </row>
    <row r="1049" spans="1:30" x14ac:dyDescent="0.2">
      <c r="A1049" s="3">
        <v>42571</v>
      </c>
      <c r="B1049" t="s">
        <v>23</v>
      </c>
      <c r="C1049">
        <v>201</v>
      </c>
      <c r="D1049">
        <v>5</v>
      </c>
      <c r="E1049">
        <v>2</v>
      </c>
      <c r="F1049" t="s">
        <v>33</v>
      </c>
      <c r="G1049" t="s">
        <v>25</v>
      </c>
      <c r="H1049" t="s">
        <v>26</v>
      </c>
      <c r="I1049" t="s">
        <v>27</v>
      </c>
      <c r="J1049" t="s">
        <v>583</v>
      </c>
      <c r="K1049" t="s">
        <v>585</v>
      </c>
    </row>
    <row r="1050" spans="1:30" x14ac:dyDescent="0.2">
      <c r="A1050" s="3">
        <v>42571</v>
      </c>
      <c r="B1050" t="s">
        <v>23</v>
      </c>
      <c r="C1050">
        <v>111</v>
      </c>
      <c r="D1050">
        <v>8</v>
      </c>
      <c r="E1050">
        <v>1</v>
      </c>
      <c r="F1050" t="s">
        <v>24</v>
      </c>
      <c r="G1050" t="s">
        <v>25</v>
      </c>
      <c r="H1050" t="s">
        <v>26</v>
      </c>
      <c r="I1050" t="s">
        <v>27</v>
      </c>
      <c r="J1050" t="s">
        <v>205</v>
      </c>
    </row>
    <row r="1051" spans="1:30" x14ac:dyDescent="0.2">
      <c r="A1051" s="3">
        <v>42571</v>
      </c>
      <c r="B1051" t="s">
        <v>23</v>
      </c>
      <c r="C1051">
        <v>402</v>
      </c>
      <c r="D1051">
        <v>9</v>
      </c>
      <c r="E1051">
        <v>1</v>
      </c>
      <c r="F1051" t="s">
        <v>24</v>
      </c>
      <c r="G1051" t="s">
        <v>25</v>
      </c>
      <c r="H1051" t="s">
        <v>26</v>
      </c>
      <c r="I1051" t="s">
        <v>27</v>
      </c>
      <c r="J1051" t="s">
        <v>583</v>
      </c>
    </row>
    <row r="1052" spans="1:30" x14ac:dyDescent="0.2">
      <c r="A1052" s="3">
        <v>42572</v>
      </c>
      <c r="B1052" t="s">
        <v>23</v>
      </c>
      <c r="C1052">
        <v>201</v>
      </c>
      <c r="D1052">
        <v>9</v>
      </c>
      <c r="E1052">
        <v>1</v>
      </c>
      <c r="F1052" t="s">
        <v>33</v>
      </c>
      <c r="G1052" t="s">
        <v>25</v>
      </c>
      <c r="H1052" t="s">
        <v>26</v>
      </c>
      <c r="I1052" t="s">
        <v>27</v>
      </c>
      <c r="J1052" t="s">
        <v>205</v>
      </c>
      <c r="K1052" t="s">
        <v>123</v>
      </c>
      <c r="L1052" t="s">
        <v>30</v>
      </c>
    </row>
    <row r="1053" spans="1:30" x14ac:dyDescent="0.2">
      <c r="A1053" s="3">
        <v>42572</v>
      </c>
      <c r="B1053" t="s">
        <v>23</v>
      </c>
      <c r="C1053">
        <v>113</v>
      </c>
      <c r="D1053">
        <v>1</v>
      </c>
      <c r="E1053">
        <v>1</v>
      </c>
      <c r="F1053" t="s">
        <v>24</v>
      </c>
      <c r="G1053" t="s">
        <v>25</v>
      </c>
      <c r="H1053" t="s">
        <v>26</v>
      </c>
      <c r="I1053" t="s">
        <v>27</v>
      </c>
      <c r="J1053" t="s">
        <v>583</v>
      </c>
    </row>
    <row r="1054" spans="1:30" x14ac:dyDescent="0.2">
      <c r="A1054" s="3">
        <v>42575</v>
      </c>
      <c r="B1054" t="s">
        <v>23</v>
      </c>
      <c r="C1054">
        <v>501</v>
      </c>
      <c r="D1054">
        <v>9</v>
      </c>
      <c r="E1054">
        <v>2</v>
      </c>
      <c r="F1054" t="s">
        <v>33</v>
      </c>
      <c r="G1054" t="s">
        <v>25</v>
      </c>
      <c r="H1054" t="s">
        <v>26</v>
      </c>
      <c r="I1054" t="s">
        <v>27</v>
      </c>
      <c r="J1054" t="s">
        <v>205</v>
      </c>
    </row>
    <row r="1055" spans="1:30" x14ac:dyDescent="0.2">
      <c r="A1055" s="3">
        <v>42586</v>
      </c>
      <c r="B1055" t="s">
        <v>23</v>
      </c>
      <c r="C1055">
        <v>402</v>
      </c>
      <c r="D1055">
        <v>2</v>
      </c>
      <c r="E1055">
        <v>2</v>
      </c>
      <c r="F1055" t="s">
        <v>64</v>
      </c>
      <c r="G1055" t="s">
        <v>25</v>
      </c>
      <c r="H1055" t="s">
        <v>26</v>
      </c>
      <c r="I1055" t="s">
        <v>27</v>
      </c>
      <c r="J1055" t="s">
        <v>911</v>
      </c>
    </row>
    <row r="1056" spans="1:30" x14ac:dyDescent="0.2">
      <c r="A1056" s="3">
        <v>42593</v>
      </c>
      <c r="B1056" t="s">
        <v>23</v>
      </c>
      <c r="C1056">
        <v>701</v>
      </c>
      <c r="D1056">
        <v>2</v>
      </c>
      <c r="E1056">
        <v>2</v>
      </c>
      <c r="F1056" t="s">
        <v>64</v>
      </c>
      <c r="G1056" t="s">
        <v>25</v>
      </c>
      <c r="H1056" t="s">
        <v>26</v>
      </c>
      <c r="I1056" t="s">
        <v>27</v>
      </c>
      <c r="J1056" t="s">
        <v>28</v>
      </c>
      <c r="K1056" t="s">
        <v>123</v>
      </c>
      <c r="L1056" t="s">
        <v>35</v>
      </c>
      <c r="M1056">
        <v>0</v>
      </c>
      <c r="N1056">
        <v>0</v>
      </c>
      <c r="Q1056">
        <f>29-16.5</f>
        <v>12.5</v>
      </c>
      <c r="R1056" t="s">
        <v>63</v>
      </c>
      <c r="T1056">
        <v>20</v>
      </c>
      <c r="U1056">
        <v>89</v>
      </c>
      <c r="V1056">
        <v>16</v>
      </c>
      <c r="W1056">
        <v>12.6</v>
      </c>
      <c r="X1056">
        <v>26.7</v>
      </c>
      <c r="Z1056" t="s">
        <v>32</v>
      </c>
      <c r="AB1056" t="s">
        <v>44</v>
      </c>
      <c r="AC1056" t="s">
        <v>122</v>
      </c>
      <c r="AD1056" t="s">
        <v>1480</v>
      </c>
    </row>
    <row r="1057" spans="1:30" x14ac:dyDescent="0.2">
      <c r="A1057" s="3">
        <v>42600</v>
      </c>
      <c r="B1057" t="s">
        <v>23</v>
      </c>
      <c r="C1057">
        <v>111</v>
      </c>
      <c r="D1057">
        <v>7</v>
      </c>
      <c r="E1057">
        <v>1</v>
      </c>
      <c r="F1057" t="s">
        <v>66</v>
      </c>
      <c r="G1057" t="s">
        <v>25</v>
      </c>
      <c r="H1057" t="s">
        <v>26</v>
      </c>
      <c r="I1057" t="s">
        <v>27</v>
      </c>
      <c r="J1057" t="s">
        <v>205</v>
      </c>
    </row>
    <row r="1058" spans="1:30" x14ac:dyDescent="0.2">
      <c r="A1058" s="3">
        <v>42600</v>
      </c>
      <c r="B1058" t="s">
        <v>23</v>
      </c>
      <c r="C1058">
        <v>113</v>
      </c>
      <c r="D1058">
        <v>6</v>
      </c>
      <c r="E1058">
        <v>1</v>
      </c>
      <c r="F1058" t="s">
        <v>66</v>
      </c>
      <c r="G1058" t="s">
        <v>25</v>
      </c>
      <c r="H1058" t="s">
        <v>26</v>
      </c>
      <c r="I1058" t="s">
        <v>27</v>
      </c>
      <c r="J1058" t="s">
        <v>205</v>
      </c>
      <c r="AD1058" t="s">
        <v>1614</v>
      </c>
    </row>
    <row r="1059" spans="1:30" x14ac:dyDescent="0.2">
      <c r="A1059" s="3">
        <v>42600</v>
      </c>
      <c r="B1059" t="s">
        <v>23</v>
      </c>
      <c r="C1059">
        <v>203</v>
      </c>
      <c r="D1059">
        <v>6</v>
      </c>
      <c r="E1059">
        <v>2</v>
      </c>
      <c r="F1059" t="s">
        <v>64</v>
      </c>
      <c r="G1059" t="s">
        <v>25</v>
      </c>
      <c r="H1059" t="s">
        <v>26</v>
      </c>
      <c r="I1059" t="s">
        <v>27</v>
      </c>
      <c r="J1059" t="s">
        <v>205</v>
      </c>
    </row>
    <row r="1060" spans="1:30" x14ac:dyDescent="0.2">
      <c r="A1060" s="3">
        <v>42604</v>
      </c>
      <c r="B1060" t="s">
        <v>23</v>
      </c>
      <c r="C1060">
        <v>503</v>
      </c>
      <c r="D1060">
        <v>3</v>
      </c>
      <c r="E1060">
        <v>1</v>
      </c>
      <c r="F1060" t="s">
        <v>64</v>
      </c>
      <c r="G1060" t="s">
        <v>25</v>
      </c>
      <c r="H1060" t="s">
        <v>26</v>
      </c>
      <c r="I1060" t="s">
        <v>27</v>
      </c>
      <c r="J1060" t="s">
        <v>28</v>
      </c>
      <c r="K1060" t="s">
        <v>123</v>
      </c>
      <c r="L1060" t="s">
        <v>35</v>
      </c>
      <c r="M1060">
        <v>0</v>
      </c>
      <c r="N1060">
        <v>0</v>
      </c>
      <c r="P1060" s="17" t="s">
        <v>1268</v>
      </c>
      <c r="Q1060">
        <f>32-17</f>
        <v>15</v>
      </c>
      <c r="R1060" t="s">
        <v>63</v>
      </c>
      <c r="T1060">
        <v>19</v>
      </c>
      <c r="U1060">
        <v>84</v>
      </c>
      <c r="V1060">
        <v>17</v>
      </c>
      <c r="W1060">
        <v>12.9</v>
      </c>
      <c r="X1060">
        <v>26.4</v>
      </c>
      <c r="Z1060" t="s">
        <v>32</v>
      </c>
      <c r="AB1060" t="s">
        <v>121</v>
      </c>
      <c r="AC1060" t="s">
        <v>59</v>
      </c>
      <c r="AD1060" t="s">
        <v>1665</v>
      </c>
    </row>
    <row r="1061" spans="1:30" x14ac:dyDescent="0.2">
      <c r="A1061" s="3">
        <v>42606</v>
      </c>
      <c r="B1061" t="s">
        <v>23</v>
      </c>
      <c r="C1061">
        <v>503</v>
      </c>
      <c r="D1061">
        <v>1</v>
      </c>
      <c r="E1061">
        <v>2</v>
      </c>
      <c r="F1061" t="s">
        <v>64</v>
      </c>
      <c r="G1061" t="s">
        <v>25</v>
      </c>
      <c r="H1061" t="s">
        <v>26</v>
      </c>
      <c r="I1061" t="s">
        <v>139</v>
      </c>
      <c r="J1061" t="s">
        <v>34</v>
      </c>
      <c r="K1061" t="s">
        <v>123</v>
      </c>
      <c r="L1061" t="s">
        <v>30</v>
      </c>
      <c r="M1061">
        <v>0</v>
      </c>
      <c r="N1061">
        <v>1</v>
      </c>
      <c r="O1061" s="17" t="s">
        <v>1764</v>
      </c>
      <c r="Q1061">
        <f>112-52</f>
        <v>60</v>
      </c>
      <c r="R1061" t="s">
        <v>31</v>
      </c>
      <c r="S1061" t="s">
        <v>32</v>
      </c>
      <c r="T1061">
        <v>30</v>
      </c>
      <c r="W1061">
        <v>21.3</v>
      </c>
      <c r="X1061">
        <v>38</v>
      </c>
      <c r="Z1061" t="s">
        <v>145</v>
      </c>
      <c r="AA1061" t="s">
        <v>260</v>
      </c>
      <c r="AB1061" t="s">
        <v>53</v>
      </c>
      <c r="AC1061" t="s">
        <v>122</v>
      </c>
      <c r="AD1061" t="s">
        <v>1579</v>
      </c>
    </row>
    <row r="1062" spans="1:30" x14ac:dyDescent="0.2">
      <c r="A1062" s="3">
        <v>42606</v>
      </c>
      <c r="B1062" t="s">
        <v>23</v>
      </c>
      <c r="C1062">
        <v>801</v>
      </c>
      <c r="D1062">
        <v>2</v>
      </c>
      <c r="E1062">
        <v>1</v>
      </c>
      <c r="F1062" t="s">
        <v>24</v>
      </c>
      <c r="G1062" t="s">
        <v>25</v>
      </c>
      <c r="H1062" t="s">
        <v>26</v>
      </c>
      <c r="I1062" t="s">
        <v>139</v>
      </c>
      <c r="J1062" t="s">
        <v>34</v>
      </c>
      <c r="K1062" t="s">
        <v>29</v>
      </c>
      <c r="L1062" t="s">
        <v>35</v>
      </c>
      <c r="M1062">
        <v>0</v>
      </c>
      <c r="N1062">
        <v>1</v>
      </c>
      <c r="O1062" s="17" t="s">
        <v>1931</v>
      </c>
      <c r="Q1062">
        <f>185-95</f>
        <v>90</v>
      </c>
      <c r="R1062" t="s">
        <v>63</v>
      </c>
      <c r="T1062">
        <v>32</v>
      </c>
      <c r="W1062">
        <v>21.9</v>
      </c>
      <c r="X1062">
        <v>43</v>
      </c>
      <c r="AB1062" t="s">
        <v>44</v>
      </c>
      <c r="AC1062" t="s">
        <v>59</v>
      </c>
      <c r="AD1062" t="s">
        <v>1057</v>
      </c>
    </row>
    <row r="1063" spans="1:30" x14ac:dyDescent="0.2">
      <c r="A1063" s="3">
        <v>42586</v>
      </c>
      <c r="B1063" t="s">
        <v>23</v>
      </c>
      <c r="C1063">
        <v>203</v>
      </c>
      <c r="D1063">
        <v>2</v>
      </c>
      <c r="E1063">
        <v>2</v>
      </c>
      <c r="F1063" t="s">
        <v>24</v>
      </c>
      <c r="G1063" t="s">
        <v>25</v>
      </c>
      <c r="H1063" t="s">
        <v>26</v>
      </c>
      <c r="I1063" t="s">
        <v>139</v>
      </c>
      <c r="J1063" t="s">
        <v>34</v>
      </c>
      <c r="K1063" t="s">
        <v>188</v>
      </c>
      <c r="L1063" t="s">
        <v>30</v>
      </c>
      <c r="M1063">
        <v>0</v>
      </c>
      <c r="N1063">
        <v>1</v>
      </c>
      <c r="O1063" s="17" t="s">
        <v>878</v>
      </c>
      <c r="Q1063">
        <f>165-90</f>
        <v>75</v>
      </c>
      <c r="R1063" t="s">
        <v>31</v>
      </c>
      <c r="S1063" t="s">
        <v>32</v>
      </c>
      <c r="T1063">
        <v>30</v>
      </c>
      <c r="W1063">
        <v>21.9</v>
      </c>
      <c r="X1063">
        <v>40</v>
      </c>
      <c r="Z1063" t="s">
        <v>145</v>
      </c>
      <c r="AB1063" t="s">
        <v>44</v>
      </c>
      <c r="AC1063" t="s">
        <v>59</v>
      </c>
    </row>
    <row r="1064" spans="1:30" x14ac:dyDescent="0.2">
      <c r="A1064" s="3">
        <v>42586</v>
      </c>
      <c r="B1064" t="s">
        <v>23</v>
      </c>
      <c r="C1064">
        <v>201</v>
      </c>
      <c r="D1064">
        <v>2</v>
      </c>
      <c r="E1064">
        <v>1</v>
      </c>
      <c r="F1064" t="s">
        <v>24</v>
      </c>
      <c r="G1064" t="s">
        <v>25</v>
      </c>
      <c r="H1064" t="s">
        <v>26</v>
      </c>
      <c r="I1064" t="s">
        <v>139</v>
      </c>
      <c r="J1064" t="s">
        <v>28</v>
      </c>
      <c r="K1064" t="s">
        <v>123</v>
      </c>
      <c r="L1064" t="s">
        <v>30</v>
      </c>
      <c r="M1064">
        <v>0</v>
      </c>
      <c r="N1064">
        <v>0</v>
      </c>
      <c r="O1064" s="17" t="s">
        <v>868</v>
      </c>
      <c r="Q1064">
        <f>170-90</f>
        <v>80</v>
      </c>
      <c r="R1064" t="s">
        <v>31</v>
      </c>
      <c r="S1064" t="s">
        <v>32</v>
      </c>
      <c r="T1064">
        <v>29</v>
      </c>
      <c r="W1064">
        <v>21.7</v>
      </c>
      <c r="X1064">
        <v>40</v>
      </c>
      <c r="Z1064" t="s">
        <v>32</v>
      </c>
      <c r="AB1064" t="s">
        <v>44</v>
      </c>
      <c r="AC1064" t="s">
        <v>59</v>
      </c>
    </row>
    <row r="1065" spans="1:30" x14ac:dyDescent="0.2">
      <c r="A1065" s="3">
        <v>42600</v>
      </c>
      <c r="B1065" t="s">
        <v>23</v>
      </c>
      <c r="C1065">
        <v>201</v>
      </c>
      <c r="D1065">
        <v>10</v>
      </c>
      <c r="E1065">
        <v>2</v>
      </c>
      <c r="F1065" t="s">
        <v>64</v>
      </c>
      <c r="G1065" t="s">
        <v>25</v>
      </c>
      <c r="H1065" t="s">
        <v>26</v>
      </c>
      <c r="I1065" t="s">
        <v>139</v>
      </c>
      <c r="J1065" t="s">
        <v>28</v>
      </c>
      <c r="K1065" t="s">
        <v>29</v>
      </c>
      <c r="L1065" t="s">
        <v>30</v>
      </c>
      <c r="M1065">
        <v>0</v>
      </c>
      <c r="N1065">
        <v>0</v>
      </c>
      <c r="O1065" s="17" t="s">
        <v>868</v>
      </c>
      <c r="Q1065">
        <f>132-48</f>
        <v>84</v>
      </c>
      <c r="R1065" t="s">
        <v>31</v>
      </c>
      <c r="S1065" t="s">
        <v>32</v>
      </c>
      <c r="T1065">
        <v>31</v>
      </c>
      <c r="Z1065" t="s">
        <v>145</v>
      </c>
      <c r="AA1065" t="s">
        <v>260</v>
      </c>
      <c r="AB1065" t="s">
        <v>121</v>
      </c>
      <c r="AC1065" t="s">
        <v>122</v>
      </c>
      <c r="AD1065" t="s">
        <v>1478</v>
      </c>
    </row>
    <row r="1066" spans="1:30" x14ac:dyDescent="0.2">
      <c r="A1066" s="3">
        <v>42586</v>
      </c>
      <c r="B1066" t="s">
        <v>23</v>
      </c>
      <c r="C1066">
        <v>402</v>
      </c>
      <c r="D1066">
        <v>8</v>
      </c>
      <c r="E1066">
        <v>2</v>
      </c>
      <c r="F1066" t="s">
        <v>64</v>
      </c>
      <c r="G1066" t="s">
        <v>25</v>
      </c>
      <c r="H1066" t="s">
        <v>26</v>
      </c>
      <c r="I1066" t="s">
        <v>139</v>
      </c>
      <c r="J1066" t="s">
        <v>28</v>
      </c>
      <c r="K1066" t="s">
        <v>188</v>
      </c>
      <c r="L1066" t="s">
        <v>35</v>
      </c>
      <c r="M1066">
        <v>0</v>
      </c>
      <c r="N1066">
        <v>0</v>
      </c>
      <c r="O1066" s="17" t="s">
        <v>997</v>
      </c>
      <c r="Q1066">
        <f>146-48</f>
        <v>98</v>
      </c>
      <c r="R1066" t="s">
        <v>39</v>
      </c>
      <c r="T1066">
        <v>31</v>
      </c>
      <c r="W1066">
        <v>22.2</v>
      </c>
      <c r="X1066">
        <v>34.799999999999997</v>
      </c>
      <c r="Z1066" t="s">
        <v>145</v>
      </c>
      <c r="AA1066" t="s">
        <v>998</v>
      </c>
      <c r="AB1066" t="s">
        <v>53</v>
      </c>
      <c r="AC1066" t="s">
        <v>122</v>
      </c>
    </row>
    <row r="1067" spans="1:30" x14ac:dyDescent="0.2">
      <c r="A1067" s="3">
        <v>42587</v>
      </c>
      <c r="B1067" t="s">
        <v>23</v>
      </c>
      <c r="C1067">
        <v>402</v>
      </c>
      <c r="D1067">
        <v>10</v>
      </c>
      <c r="E1067">
        <v>1</v>
      </c>
      <c r="F1067" t="s">
        <v>64</v>
      </c>
      <c r="G1067" t="s">
        <v>25</v>
      </c>
      <c r="H1067" t="s">
        <v>26</v>
      </c>
      <c r="I1067" t="s">
        <v>139</v>
      </c>
      <c r="J1067" t="s">
        <v>28</v>
      </c>
      <c r="K1067" t="s">
        <v>29</v>
      </c>
      <c r="L1067" t="s">
        <v>35</v>
      </c>
      <c r="M1067">
        <v>0</v>
      </c>
      <c r="N1067">
        <v>0</v>
      </c>
      <c r="O1067" s="17" t="s">
        <v>997</v>
      </c>
      <c r="Q1067">
        <f>130-46</f>
        <v>84</v>
      </c>
      <c r="R1067" t="s">
        <v>39</v>
      </c>
      <c r="T1067">
        <v>30.5</v>
      </c>
      <c r="Z1067" t="s">
        <v>145</v>
      </c>
      <c r="AA1067" t="s">
        <v>260</v>
      </c>
      <c r="AB1067" t="s">
        <v>53</v>
      </c>
      <c r="AC1067" t="s">
        <v>254</v>
      </c>
    </row>
    <row r="1068" spans="1:30" x14ac:dyDescent="0.2">
      <c r="A1068" s="3">
        <v>42588</v>
      </c>
      <c r="B1068" t="s">
        <v>23</v>
      </c>
      <c r="C1068">
        <v>402</v>
      </c>
      <c r="D1068">
        <v>9</v>
      </c>
      <c r="E1068">
        <v>1</v>
      </c>
      <c r="F1068" t="s">
        <v>24</v>
      </c>
      <c r="G1068" t="s">
        <v>25</v>
      </c>
      <c r="H1068" t="s">
        <v>26</v>
      </c>
      <c r="I1068" t="s">
        <v>139</v>
      </c>
      <c r="J1068" t="s">
        <v>28</v>
      </c>
      <c r="K1068" t="s">
        <v>123</v>
      </c>
      <c r="L1068" t="s">
        <v>35</v>
      </c>
      <c r="M1068">
        <v>0</v>
      </c>
      <c r="N1068">
        <v>0</v>
      </c>
      <c r="O1068" s="17" t="s">
        <v>997</v>
      </c>
      <c r="Q1068">
        <f>175-90</f>
        <v>85</v>
      </c>
      <c r="R1068" t="s">
        <v>63</v>
      </c>
      <c r="T1068">
        <v>31</v>
      </c>
      <c r="W1068">
        <v>12.7</v>
      </c>
      <c r="X1068">
        <v>42.3</v>
      </c>
      <c r="Z1068" t="s">
        <v>145</v>
      </c>
      <c r="AA1068" t="s">
        <v>1065</v>
      </c>
      <c r="AB1068" t="s">
        <v>121</v>
      </c>
      <c r="AC1068" t="s">
        <v>59</v>
      </c>
    </row>
    <row r="1069" spans="1:30" x14ac:dyDescent="0.2">
      <c r="A1069" s="3">
        <v>42589</v>
      </c>
      <c r="B1069" t="s">
        <v>23</v>
      </c>
      <c r="C1069">
        <v>402</v>
      </c>
      <c r="D1069">
        <v>6</v>
      </c>
      <c r="E1069">
        <v>1</v>
      </c>
      <c r="F1069" t="s">
        <v>64</v>
      </c>
      <c r="G1069" t="s">
        <v>25</v>
      </c>
      <c r="H1069" t="s">
        <v>26</v>
      </c>
      <c r="I1069" t="s">
        <v>139</v>
      </c>
      <c r="J1069" t="s">
        <v>28</v>
      </c>
      <c r="K1069" t="s">
        <v>29</v>
      </c>
      <c r="L1069" t="s">
        <v>35</v>
      </c>
      <c r="M1069">
        <v>0</v>
      </c>
      <c r="N1069">
        <v>0</v>
      </c>
      <c r="O1069" s="17" t="s">
        <v>997</v>
      </c>
      <c r="Q1069">
        <f>132-48</f>
        <v>84</v>
      </c>
      <c r="R1069" t="s">
        <v>39</v>
      </c>
      <c r="T1069">
        <v>30</v>
      </c>
      <c r="W1069">
        <v>22.5</v>
      </c>
      <c r="X1069">
        <v>48</v>
      </c>
      <c r="Z1069" t="s">
        <v>145</v>
      </c>
      <c r="AA1069" t="s">
        <v>1325</v>
      </c>
      <c r="AB1069" t="s">
        <v>121</v>
      </c>
      <c r="AC1069" t="s">
        <v>59</v>
      </c>
    </row>
    <row r="1070" spans="1:30" x14ac:dyDescent="0.2">
      <c r="A1070" s="3">
        <v>42599</v>
      </c>
      <c r="B1070" t="s">
        <v>23</v>
      </c>
      <c r="C1070">
        <v>402</v>
      </c>
      <c r="D1070">
        <v>9</v>
      </c>
      <c r="E1070">
        <v>2</v>
      </c>
      <c r="F1070" t="s">
        <v>24</v>
      </c>
      <c r="G1070" t="s">
        <v>25</v>
      </c>
      <c r="H1070" t="s">
        <v>26</v>
      </c>
      <c r="I1070" t="s">
        <v>139</v>
      </c>
      <c r="J1070" t="s">
        <v>28</v>
      </c>
      <c r="K1070" t="s">
        <v>123</v>
      </c>
      <c r="L1070" t="s">
        <v>35</v>
      </c>
      <c r="M1070">
        <v>0</v>
      </c>
      <c r="N1070">
        <v>0</v>
      </c>
      <c r="O1070" s="17" t="s">
        <v>997</v>
      </c>
      <c r="Q1070">
        <f>177-94</f>
        <v>83</v>
      </c>
      <c r="R1070" t="s">
        <v>63</v>
      </c>
      <c r="T1070">
        <v>31.5</v>
      </c>
      <c r="W1070">
        <v>21.4</v>
      </c>
      <c r="X1070">
        <v>43</v>
      </c>
      <c r="Z1070" t="s">
        <v>145</v>
      </c>
      <c r="AB1070" t="s">
        <v>121</v>
      </c>
      <c r="AC1070" t="s">
        <v>59</v>
      </c>
    </row>
    <row r="1071" spans="1:30" x14ac:dyDescent="0.2">
      <c r="A1071" s="3">
        <v>42600</v>
      </c>
      <c r="B1071" t="s">
        <v>23</v>
      </c>
      <c r="C1071">
        <v>402</v>
      </c>
      <c r="D1071">
        <v>10</v>
      </c>
      <c r="E1071">
        <v>2</v>
      </c>
      <c r="F1071" t="s">
        <v>24</v>
      </c>
      <c r="G1071" t="s">
        <v>25</v>
      </c>
      <c r="H1071" t="s">
        <v>26</v>
      </c>
      <c r="I1071" t="s">
        <v>139</v>
      </c>
      <c r="J1071" t="s">
        <v>28</v>
      </c>
      <c r="K1071" t="s">
        <v>29</v>
      </c>
      <c r="L1071" t="s">
        <v>35</v>
      </c>
      <c r="M1071">
        <v>0</v>
      </c>
      <c r="N1071">
        <v>0</v>
      </c>
      <c r="O1071" s="17" t="s">
        <v>997</v>
      </c>
      <c r="Q1071">
        <f>178-90</f>
        <v>88</v>
      </c>
      <c r="R1071" t="s">
        <v>63</v>
      </c>
      <c r="T1071">
        <v>32</v>
      </c>
      <c r="W1071">
        <v>21.8</v>
      </c>
      <c r="X1071">
        <v>42.7</v>
      </c>
      <c r="AB1071" t="s">
        <v>121</v>
      </c>
      <c r="AC1071" t="s">
        <v>59</v>
      </c>
    </row>
    <row r="1072" spans="1:30" x14ac:dyDescent="0.2">
      <c r="A1072" s="3">
        <v>42585</v>
      </c>
      <c r="B1072" t="s">
        <v>23</v>
      </c>
      <c r="C1072">
        <v>402</v>
      </c>
      <c r="D1072">
        <v>6</v>
      </c>
      <c r="E1072">
        <v>2</v>
      </c>
      <c r="F1072" t="s">
        <v>64</v>
      </c>
      <c r="G1072" t="s">
        <v>25</v>
      </c>
      <c r="H1072" t="s">
        <v>26</v>
      </c>
      <c r="I1072" t="s">
        <v>139</v>
      </c>
      <c r="J1072" t="s">
        <v>34</v>
      </c>
      <c r="K1072" t="s">
        <v>188</v>
      </c>
      <c r="L1072" t="s">
        <v>35</v>
      </c>
      <c r="M1072">
        <v>0</v>
      </c>
      <c r="N1072">
        <v>1</v>
      </c>
      <c r="O1072" s="17" t="s">
        <v>916</v>
      </c>
      <c r="Q1072">
        <f>132-48</f>
        <v>84</v>
      </c>
      <c r="R1072" t="s">
        <v>63</v>
      </c>
      <c r="T1072">
        <v>31</v>
      </c>
      <c r="W1072">
        <v>21.5</v>
      </c>
      <c r="X1072">
        <v>49</v>
      </c>
      <c r="Z1072" t="s">
        <v>145</v>
      </c>
      <c r="AA1072" t="s">
        <v>260</v>
      </c>
      <c r="AB1072" t="s">
        <v>53</v>
      </c>
      <c r="AC1072" t="s">
        <v>122</v>
      </c>
    </row>
    <row r="1073" spans="1:30" x14ac:dyDescent="0.2">
      <c r="A1073" s="3">
        <v>42588</v>
      </c>
      <c r="B1073" t="s">
        <v>23</v>
      </c>
      <c r="C1073">
        <v>113</v>
      </c>
      <c r="D1073">
        <v>8</v>
      </c>
      <c r="E1073">
        <v>2</v>
      </c>
      <c r="F1073" t="s">
        <v>24</v>
      </c>
      <c r="G1073" t="s">
        <v>25</v>
      </c>
      <c r="H1073" t="s">
        <v>26</v>
      </c>
      <c r="I1073" t="s">
        <v>139</v>
      </c>
      <c r="J1073" t="s">
        <v>28</v>
      </c>
      <c r="K1073" t="s">
        <v>123</v>
      </c>
      <c r="L1073" t="s">
        <v>30</v>
      </c>
      <c r="M1073">
        <v>0</v>
      </c>
      <c r="N1073">
        <v>0</v>
      </c>
      <c r="O1073" s="17" t="s">
        <v>1060</v>
      </c>
      <c r="Q1073">
        <f>175-90</f>
        <v>85</v>
      </c>
      <c r="R1073" t="s">
        <v>31</v>
      </c>
      <c r="S1073" t="s">
        <v>32</v>
      </c>
      <c r="T1073">
        <v>33</v>
      </c>
      <c r="W1073">
        <v>21.3</v>
      </c>
      <c r="X1073">
        <v>42.8</v>
      </c>
      <c r="Z1073" t="s">
        <v>32</v>
      </c>
      <c r="AB1073" t="s">
        <v>121</v>
      </c>
      <c r="AC1073" t="s">
        <v>59</v>
      </c>
    </row>
    <row r="1074" spans="1:30" x14ac:dyDescent="0.2">
      <c r="A1074" s="3">
        <v>42599</v>
      </c>
      <c r="B1074" t="s">
        <v>23</v>
      </c>
      <c r="C1074">
        <v>112</v>
      </c>
      <c r="D1074">
        <v>2</v>
      </c>
      <c r="E1074">
        <v>2</v>
      </c>
      <c r="F1074" t="s">
        <v>24</v>
      </c>
      <c r="G1074" t="s">
        <v>25</v>
      </c>
      <c r="H1074" t="s">
        <v>26</v>
      </c>
      <c r="I1074" t="s">
        <v>139</v>
      </c>
      <c r="J1074" t="s">
        <v>34</v>
      </c>
      <c r="K1074" t="s">
        <v>29</v>
      </c>
      <c r="L1074" t="s">
        <v>35</v>
      </c>
      <c r="M1074">
        <v>0</v>
      </c>
      <c r="N1074">
        <v>1</v>
      </c>
      <c r="O1074" s="17" t="s">
        <v>1825</v>
      </c>
      <c r="Q1074">
        <f>185-94</f>
        <v>91</v>
      </c>
      <c r="R1074" t="s">
        <v>63</v>
      </c>
      <c r="T1074">
        <v>30</v>
      </c>
      <c r="W1074">
        <v>21.3</v>
      </c>
      <c r="X1074">
        <v>41.4</v>
      </c>
      <c r="AB1074" t="s">
        <v>121</v>
      </c>
      <c r="AC1074" t="s">
        <v>59</v>
      </c>
      <c r="AD1074" t="s">
        <v>1826</v>
      </c>
    </row>
    <row r="1075" spans="1:30" x14ac:dyDescent="0.2">
      <c r="A1075" s="3">
        <v>42591</v>
      </c>
      <c r="B1075" t="s">
        <v>23</v>
      </c>
      <c r="C1075">
        <v>503</v>
      </c>
      <c r="D1075">
        <v>8</v>
      </c>
      <c r="E1075">
        <v>1</v>
      </c>
      <c r="F1075" t="s">
        <v>24</v>
      </c>
      <c r="G1075" t="s">
        <v>25</v>
      </c>
      <c r="H1075" t="s">
        <v>26</v>
      </c>
      <c r="I1075" t="s">
        <v>139</v>
      </c>
      <c r="J1075" t="s">
        <v>34</v>
      </c>
      <c r="K1075" t="s">
        <v>123</v>
      </c>
      <c r="L1075" t="s">
        <v>30</v>
      </c>
      <c r="M1075">
        <v>0</v>
      </c>
      <c r="N1075">
        <v>1</v>
      </c>
      <c r="O1075" s="17" t="s">
        <v>1127</v>
      </c>
      <c r="Q1075">
        <f>175-90</f>
        <v>85</v>
      </c>
      <c r="R1075" t="s">
        <v>75</v>
      </c>
      <c r="S1075" t="s">
        <v>145</v>
      </c>
      <c r="T1075">
        <v>30</v>
      </c>
      <c r="W1075">
        <v>12.6</v>
      </c>
      <c r="X1075">
        <v>44.7</v>
      </c>
      <c r="Z1075" t="s">
        <v>32</v>
      </c>
      <c r="AB1075" t="s">
        <v>44</v>
      </c>
      <c r="AC1075" t="s">
        <v>59</v>
      </c>
    </row>
    <row r="1076" spans="1:30" x14ac:dyDescent="0.2">
      <c r="A1076" s="3">
        <v>42592</v>
      </c>
      <c r="B1076" t="s">
        <v>23</v>
      </c>
      <c r="C1076">
        <v>503</v>
      </c>
      <c r="D1076">
        <v>2</v>
      </c>
      <c r="E1076">
        <v>2</v>
      </c>
      <c r="F1076" t="s">
        <v>24</v>
      </c>
      <c r="G1076" t="s">
        <v>25</v>
      </c>
      <c r="H1076" t="s">
        <v>26</v>
      </c>
      <c r="I1076" t="s">
        <v>139</v>
      </c>
      <c r="J1076" t="s">
        <v>28</v>
      </c>
      <c r="K1076" t="s">
        <v>29</v>
      </c>
      <c r="L1076" t="s">
        <v>30</v>
      </c>
      <c r="M1076">
        <v>0</v>
      </c>
      <c r="N1076">
        <v>0</v>
      </c>
      <c r="O1076" s="17" t="s">
        <v>1127</v>
      </c>
      <c r="Q1076">
        <v>90</v>
      </c>
      <c r="R1076" t="s">
        <v>31</v>
      </c>
      <c r="S1076" t="s">
        <v>32</v>
      </c>
      <c r="T1076">
        <v>31</v>
      </c>
      <c r="W1076">
        <v>12.5</v>
      </c>
      <c r="X1076">
        <v>42.2</v>
      </c>
      <c r="Z1076" t="s">
        <v>32</v>
      </c>
      <c r="AB1076" t="s">
        <v>44</v>
      </c>
      <c r="AC1076" t="s">
        <v>59</v>
      </c>
    </row>
    <row r="1077" spans="1:30" x14ac:dyDescent="0.2">
      <c r="A1077" s="3">
        <v>42593</v>
      </c>
      <c r="B1077" t="s">
        <v>23</v>
      </c>
      <c r="C1077">
        <v>503</v>
      </c>
      <c r="D1077">
        <v>4</v>
      </c>
      <c r="E1077">
        <v>1</v>
      </c>
      <c r="F1077" t="s">
        <v>24</v>
      </c>
      <c r="G1077" t="s">
        <v>25</v>
      </c>
      <c r="H1077" t="s">
        <v>26</v>
      </c>
      <c r="I1077" t="s">
        <v>139</v>
      </c>
      <c r="J1077" t="s">
        <v>28</v>
      </c>
      <c r="K1077" t="s">
        <v>29</v>
      </c>
      <c r="L1077" t="s">
        <v>30</v>
      </c>
      <c r="M1077">
        <v>0</v>
      </c>
      <c r="N1077">
        <v>0</v>
      </c>
      <c r="O1077" s="17" t="s">
        <v>1127</v>
      </c>
      <c r="Q1077">
        <f>179-90</f>
        <v>89</v>
      </c>
      <c r="R1077" t="s">
        <v>31</v>
      </c>
      <c r="S1077" t="s">
        <v>32</v>
      </c>
      <c r="T1077">
        <v>29</v>
      </c>
      <c r="W1077">
        <v>22.5</v>
      </c>
      <c r="X1077">
        <v>42.5</v>
      </c>
      <c r="Z1077" t="s">
        <v>32</v>
      </c>
      <c r="AB1077" t="s">
        <v>44</v>
      </c>
      <c r="AC1077" t="s">
        <v>1270</v>
      </c>
    </row>
    <row r="1078" spans="1:30" x14ac:dyDescent="0.2">
      <c r="A1078" s="3">
        <v>42605</v>
      </c>
      <c r="B1078" t="s">
        <v>23</v>
      </c>
      <c r="C1078">
        <v>503</v>
      </c>
      <c r="D1078">
        <v>9</v>
      </c>
      <c r="E1078">
        <v>2</v>
      </c>
      <c r="F1078" t="s">
        <v>64</v>
      </c>
      <c r="G1078" t="s">
        <v>25</v>
      </c>
      <c r="H1078" t="s">
        <v>26</v>
      </c>
      <c r="I1078" t="s">
        <v>139</v>
      </c>
      <c r="J1078" t="s">
        <v>28</v>
      </c>
      <c r="K1078" t="s">
        <v>29</v>
      </c>
      <c r="L1078" t="s">
        <v>30</v>
      </c>
      <c r="M1078">
        <v>0</v>
      </c>
      <c r="N1078">
        <v>0</v>
      </c>
      <c r="O1078" s="17" t="s">
        <v>1127</v>
      </c>
      <c r="Q1078">
        <f>133-50</f>
        <v>83</v>
      </c>
      <c r="R1078" t="s">
        <v>251</v>
      </c>
      <c r="S1078" t="s">
        <v>145</v>
      </c>
      <c r="T1078">
        <v>30</v>
      </c>
      <c r="Z1078" t="s">
        <v>145</v>
      </c>
      <c r="AA1078" t="s">
        <v>260</v>
      </c>
      <c r="AB1078" t="s">
        <v>121</v>
      </c>
      <c r="AC1078" t="s">
        <v>59</v>
      </c>
    </row>
    <row r="1079" spans="1:30" x14ac:dyDescent="0.2">
      <c r="A1079" s="3">
        <v>42606</v>
      </c>
      <c r="B1079" t="s">
        <v>23</v>
      </c>
      <c r="C1079">
        <v>503</v>
      </c>
      <c r="D1079">
        <v>8</v>
      </c>
      <c r="E1079">
        <v>2</v>
      </c>
      <c r="F1079" t="s">
        <v>64</v>
      </c>
      <c r="G1079" t="s">
        <v>25</v>
      </c>
      <c r="H1079" t="s">
        <v>26</v>
      </c>
      <c r="I1079" t="s">
        <v>139</v>
      </c>
      <c r="J1079" t="s">
        <v>28</v>
      </c>
      <c r="K1079" t="s">
        <v>29</v>
      </c>
      <c r="L1079" t="s">
        <v>30</v>
      </c>
      <c r="M1079">
        <v>0</v>
      </c>
      <c r="N1079">
        <v>0</v>
      </c>
      <c r="O1079" s="17" t="s">
        <v>1127</v>
      </c>
      <c r="Q1079">
        <f>140-52</f>
        <v>88</v>
      </c>
      <c r="R1079" t="s">
        <v>251</v>
      </c>
      <c r="S1079" t="s">
        <v>145</v>
      </c>
      <c r="T1079">
        <v>32</v>
      </c>
      <c r="W1079">
        <v>22.3</v>
      </c>
      <c r="X1079">
        <v>42.7</v>
      </c>
      <c r="Z1079" t="s">
        <v>145</v>
      </c>
      <c r="AA1079" t="s">
        <v>260</v>
      </c>
      <c r="AB1079" t="s">
        <v>53</v>
      </c>
      <c r="AC1079" t="s">
        <v>122</v>
      </c>
    </row>
    <row r="1080" spans="1:30" x14ac:dyDescent="0.2">
      <c r="A1080" s="3">
        <v>42593</v>
      </c>
      <c r="B1080" t="s">
        <v>23</v>
      </c>
      <c r="C1080">
        <v>503</v>
      </c>
      <c r="D1080">
        <v>9</v>
      </c>
      <c r="E1080">
        <v>2</v>
      </c>
      <c r="F1080" t="s">
        <v>24</v>
      </c>
      <c r="G1080" t="s">
        <v>25</v>
      </c>
      <c r="H1080" t="s">
        <v>26</v>
      </c>
      <c r="I1080" t="s">
        <v>139</v>
      </c>
      <c r="J1080" t="s">
        <v>34</v>
      </c>
      <c r="K1080" t="s">
        <v>123</v>
      </c>
      <c r="L1080" t="s">
        <v>35</v>
      </c>
      <c r="M1080">
        <v>0</v>
      </c>
      <c r="N1080">
        <v>1</v>
      </c>
      <c r="O1080" s="17" t="s">
        <v>1275</v>
      </c>
      <c r="Q1080">
        <f>140-90</f>
        <v>50</v>
      </c>
      <c r="R1080" t="s">
        <v>63</v>
      </c>
      <c r="T1080">
        <v>29</v>
      </c>
      <c r="W1080">
        <v>19.399999999999999</v>
      </c>
      <c r="X1080">
        <v>37.75</v>
      </c>
      <c r="Z1080" t="s">
        <v>32</v>
      </c>
      <c r="AB1080" t="s">
        <v>44</v>
      </c>
      <c r="AC1080" t="s">
        <v>122</v>
      </c>
    </row>
    <row r="1081" spans="1:30" x14ac:dyDescent="0.2">
      <c r="A1081" s="3">
        <v>42593</v>
      </c>
      <c r="B1081" t="s">
        <v>23</v>
      </c>
      <c r="C1081">
        <v>503</v>
      </c>
      <c r="D1081">
        <v>8</v>
      </c>
      <c r="E1081">
        <v>2</v>
      </c>
      <c r="F1081" t="s">
        <v>24</v>
      </c>
      <c r="G1081" t="s">
        <v>25</v>
      </c>
      <c r="H1081" t="s">
        <v>26</v>
      </c>
      <c r="I1081" t="s">
        <v>139</v>
      </c>
      <c r="J1081" t="s">
        <v>34</v>
      </c>
      <c r="K1081" t="s">
        <v>123</v>
      </c>
      <c r="L1081" t="s">
        <v>30</v>
      </c>
      <c r="M1081">
        <v>0</v>
      </c>
      <c r="N1081">
        <v>1</v>
      </c>
      <c r="O1081" s="17" t="s">
        <v>1274</v>
      </c>
      <c r="Q1081">
        <f>135-90</f>
        <v>45</v>
      </c>
      <c r="R1081" t="s">
        <v>31</v>
      </c>
      <c r="S1081" t="s">
        <v>32</v>
      </c>
      <c r="T1081">
        <v>28</v>
      </c>
      <c r="W1081">
        <v>19.100000000000001</v>
      </c>
      <c r="X1081">
        <v>36.9</v>
      </c>
      <c r="Z1081" t="s">
        <v>32</v>
      </c>
      <c r="AB1081" t="s">
        <v>44</v>
      </c>
      <c r="AC1081" t="s">
        <v>122</v>
      </c>
      <c r="AD1081" t="s">
        <v>1057</v>
      </c>
    </row>
    <row r="1082" spans="1:30" x14ac:dyDescent="0.2">
      <c r="A1082" s="3">
        <v>42515</v>
      </c>
      <c r="B1082" t="s">
        <v>23</v>
      </c>
      <c r="C1082">
        <v>501</v>
      </c>
      <c r="D1082">
        <v>8</v>
      </c>
      <c r="E1082">
        <v>1</v>
      </c>
      <c r="F1082" t="s">
        <v>33</v>
      </c>
      <c r="G1082" t="s">
        <v>25</v>
      </c>
      <c r="H1082" t="s">
        <v>26</v>
      </c>
      <c r="I1082" t="s">
        <v>139</v>
      </c>
      <c r="J1082" t="s">
        <v>28</v>
      </c>
      <c r="K1082" t="s">
        <v>29</v>
      </c>
      <c r="L1082" t="s">
        <v>30</v>
      </c>
      <c r="M1082">
        <v>0</v>
      </c>
      <c r="N1082">
        <v>0</v>
      </c>
      <c r="O1082" s="17">
        <v>50337</v>
      </c>
      <c r="Q1082">
        <f>123-48</f>
        <v>75</v>
      </c>
      <c r="R1082" t="s">
        <v>91</v>
      </c>
      <c r="S1082" t="s">
        <v>145</v>
      </c>
      <c r="Z1082" t="s">
        <v>32</v>
      </c>
      <c r="AB1082" t="s">
        <v>144</v>
      </c>
      <c r="AC1082" t="s">
        <v>122</v>
      </c>
    </row>
    <row r="1083" spans="1:30" x14ac:dyDescent="0.2">
      <c r="A1083" s="3">
        <v>42563</v>
      </c>
      <c r="B1083" t="s">
        <v>23</v>
      </c>
      <c r="C1083">
        <v>501</v>
      </c>
      <c r="D1083">
        <v>1</v>
      </c>
      <c r="E1083">
        <v>1</v>
      </c>
      <c r="F1083" t="s">
        <v>24</v>
      </c>
      <c r="G1083" t="s">
        <v>25</v>
      </c>
      <c r="H1083" t="s">
        <v>26</v>
      </c>
      <c r="I1083" t="s">
        <v>139</v>
      </c>
      <c r="J1083" t="s">
        <v>28</v>
      </c>
      <c r="K1083" t="s">
        <v>29</v>
      </c>
      <c r="L1083" t="s">
        <v>30</v>
      </c>
      <c r="M1083">
        <v>0</v>
      </c>
      <c r="N1083">
        <v>0</v>
      </c>
      <c r="O1083" s="17">
        <v>50337</v>
      </c>
      <c r="Q1083">
        <f>175-90</f>
        <v>85</v>
      </c>
      <c r="R1083" t="s">
        <v>75</v>
      </c>
      <c r="S1083" t="s">
        <v>145</v>
      </c>
      <c r="T1083">
        <v>31</v>
      </c>
      <c r="W1083">
        <v>20.8</v>
      </c>
      <c r="X1083">
        <v>41.3</v>
      </c>
      <c r="Z1083" t="s">
        <v>32</v>
      </c>
      <c r="AB1083" t="s">
        <v>53</v>
      </c>
      <c r="AC1083" t="s">
        <v>122</v>
      </c>
    </row>
    <row r="1084" spans="1:30" x14ac:dyDescent="0.2">
      <c r="A1084" s="3">
        <v>42135</v>
      </c>
      <c r="B1084" t="s">
        <v>23</v>
      </c>
      <c r="C1084">
        <v>803</v>
      </c>
      <c r="D1084">
        <v>6</v>
      </c>
      <c r="E1084">
        <v>1</v>
      </c>
      <c r="F1084" t="s">
        <v>33</v>
      </c>
      <c r="G1084" t="s">
        <v>25</v>
      </c>
      <c r="H1084" t="s">
        <v>26</v>
      </c>
      <c r="I1084" t="s">
        <v>139</v>
      </c>
      <c r="J1084" t="s">
        <v>34</v>
      </c>
      <c r="K1084" t="s">
        <v>29</v>
      </c>
      <c r="L1084" t="s">
        <v>35</v>
      </c>
      <c r="M1084">
        <v>0</v>
      </c>
      <c r="N1084">
        <v>1</v>
      </c>
      <c r="O1084" s="17">
        <v>50391</v>
      </c>
      <c r="Q1084">
        <f>130-46</f>
        <v>84</v>
      </c>
      <c r="R1084" t="s">
        <v>39</v>
      </c>
      <c r="S1084" t="s">
        <v>32</v>
      </c>
      <c r="Z1084" t="s">
        <v>32</v>
      </c>
      <c r="AB1084" t="s">
        <v>60</v>
      </c>
      <c r="AC1084" t="s">
        <v>59</v>
      </c>
    </row>
    <row r="1085" spans="1:30" x14ac:dyDescent="0.2">
      <c r="A1085" s="3">
        <v>42502</v>
      </c>
      <c r="B1085" t="s">
        <v>23</v>
      </c>
      <c r="C1085">
        <v>803</v>
      </c>
      <c r="D1085">
        <v>9</v>
      </c>
      <c r="E1085">
        <v>1</v>
      </c>
      <c r="F1085" t="s">
        <v>33</v>
      </c>
      <c r="G1085" t="s">
        <v>25</v>
      </c>
      <c r="H1085" t="s">
        <v>26</v>
      </c>
      <c r="I1085" t="s">
        <v>139</v>
      </c>
      <c r="J1085" t="s">
        <v>28</v>
      </c>
      <c r="K1085" t="s">
        <v>29</v>
      </c>
      <c r="L1085" t="s">
        <v>35</v>
      </c>
      <c r="M1085">
        <v>0</v>
      </c>
      <c r="N1085">
        <v>0</v>
      </c>
      <c r="O1085" s="17">
        <v>50391</v>
      </c>
      <c r="Q1085">
        <f>132-48</f>
        <v>84</v>
      </c>
      <c r="R1085" t="s">
        <v>39</v>
      </c>
      <c r="S1085" t="s">
        <v>32</v>
      </c>
      <c r="Z1085" t="s">
        <v>32</v>
      </c>
      <c r="AB1085" t="s">
        <v>53</v>
      </c>
      <c r="AC1085" t="s">
        <v>59</v>
      </c>
    </row>
    <row r="1086" spans="1:30" x14ac:dyDescent="0.2">
      <c r="A1086" s="3">
        <v>42535</v>
      </c>
      <c r="B1086" t="s">
        <v>23</v>
      </c>
      <c r="C1086">
        <v>803</v>
      </c>
      <c r="D1086">
        <v>5</v>
      </c>
      <c r="E1086">
        <v>1</v>
      </c>
      <c r="F1086" t="s">
        <v>33</v>
      </c>
      <c r="G1086" t="s">
        <v>25</v>
      </c>
      <c r="H1086" t="s">
        <v>26</v>
      </c>
      <c r="I1086" t="s">
        <v>139</v>
      </c>
      <c r="J1086" t="s">
        <v>28</v>
      </c>
      <c r="K1086" t="s">
        <v>187</v>
      </c>
      <c r="L1086" t="s">
        <v>35</v>
      </c>
      <c r="M1086">
        <v>0</v>
      </c>
      <c r="N1086">
        <v>0</v>
      </c>
      <c r="O1086" s="17">
        <v>50391</v>
      </c>
      <c r="Q1086">
        <f>132-82</f>
        <v>50</v>
      </c>
      <c r="R1086" t="s">
        <v>39</v>
      </c>
      <c r="S1086" t="s">
        <v>32</v>
      </c>
      <c r="Z1086" t="s">
        <v>32</v>
      </c>
      <c r="AB1086" t="s">
        <v>44</v>
      </c>
      <c r="AC1086" t="s">
        <v>116</v>
      </c>
    </row>
    <row r="1087" spans="1:30" x14ac:dyDescent="0.2">
      <c r="A1087" s="3">
        <v>42536</v>
      </c>
      <c r="B1087" t="s">
        <v>23</v>
      </c>
      <c r="C1087">
        <v>803</v>
      </c>
      <c r="D1087">
        <v>6</v>
      </c>
      <c r="E1087">
        <v>1</v>
      </c>
      <c r="F1087" t="s">
        <v>33</v>
      </c>
      <c r="G1087" t="s">
        <v>25</v>
      </c>
      <c r="H1087" t="s">
        <v>26</v>
      </c>
      <c r="I1087" t="s">
        <v>139</v>
      </c>
      <c r="J1087" t="s">
        <v>28</v>
      </c>
      <c r="K1087" t="s">
        <v>187</v>
      </c>
      <c r="L1087" t="s">
        <v>35</v>
      </c>
      <c r="M1087">
        <v>0</v>
      </c>
      <c r="N1087">
        <v>0</v>
      </c>
      <c r="O1087" s="17">
        <v>50391</v>
      </c>
      <c r="Q1087">
        <f>134-48</f>
        <v>86</v>
      </c>
      <c r="R1087" t="s">
        <v>39</v>
      </c>
      <c r="T1087">
        <v>32</v>
      </c>
      <c r="Z1087" t="s">
        <v>32</v>
      </c>
      <c r="AB1087" t="s">
        <v>60</v>
      </c>
      <c r="AC1087" t="s">
        <v>59</v>
      </c>
    </row>
    <row r="1088" spans="1:30" x14ac:dyDescent="0.2">
      <c r="A1088" s="3">
        <v>42537</v>
      </c>
      <c r="B1088" t="s">
        <v>23</v>
      </c>
      <c r="C1088">
        <v>803</v>
      </c>
      <c r="D1088">
        <v>6</v>
      </c>
      <c r="E1088">
        <v>1</v>
      </c>
      <c r="F1088" t="s">
        <v>33</v>
      </c>
      <c r="G1088" t="s">
        <v>25</v>
      </c>
      <c r="H1088" t="s">
        <v>26</v>
      </c>
      <c r="I1088" t="s">
        <v>139</v>
      </c>
      <c r="J1088" t="s">
        <v>28</v>
      </c>
      <c r="K1088" t="s">
        <v>187</v>
      </c>
      <c r="L1088" t="s">
        <v>35</v>
      </c>
      <c r="M1088">
        <v>0</v>
      </c>
      <c r="N1088">
        <v>0</v>
      </c>
      <c r="O1088" s="17">
        <v>50391</v>
      </c>
      <c r="Q1088">
        <f>138-49</f>
        <v>89</v>
      </c>
      <c r="R1088" t="s">
        <v>39</v>
      </c>
      <c r="T1088">
        <v>29</v>
      </c>
      <c r="Z1088" t="s">
        <v>32</v>
      </c>
      <c r="AB1088" t="s">
        <v>44</v>
      </c>
      <c r="AC1088" t="s">
        <v>122</v>
      </c>
    </row>
    <row r="1089" spans="1:30" x14ac:dyDescent="0.2">
      <c r="A1089" s="3">
        <v>42549</v>
      </c>
      <c r="B1089" t="s">
        <v>23</v>
      </c>
      <c r="C1089">
        <v>803</v>
      </c>
      <c r="D1089">
        <v>6</v>
      </c>
      <c r="E1089">
        <v>1</v>
      </c>
      <c r="F1089" t="s">
        <v>24</v>
      </c>
      <c r="G1089" t="s">
        <v>25</v>
      </c>
      <c r="H1089" t="s">
        <v>26</v>
      </c>
      <c r="I1089" t="s">
        <v>139</v>
      </c>
      <c r="J1089" t="s">
        <v>28</v>
      </c>
      <c r="K1089" t="s">
        <v>29</v>
      </c>
      <c r="L1089" t="s">
        <v>35</v>
      </c>
      <c r="M1089">
        <v>0</v>
      </c>
      <c r="N1089">
        <v>0</v>
      </c>
      <c r="O1089" s="17">
        <v>50391</v>
      </c>
      <c r="Q1089">
        <v>90</v>
      </c>
      <c r="R1089" t="s">
        <v>39</v>
      </c>
      <c r="S1089" t="s">
        <v>32</v>
      </c>
      <c r="Z1089" t="s">
        <v>32</v>
      </c>
      <c r="AB1089" t="s">
        <v>121</v>
      </c>
      <c r="AC1089" t="s">
        <v>122</v>
      </c>
    </row>
    <row r="1090" spans="1:30" x14ac:dyDescent="0.2">
      <c r="A1090" s="3">
        <v>42550</v>
      </c>
      <c r="B1090" t="s">
        <v>23</v>
      </c>
      <c r="C1090">
        <v>803</v>
      </c>
      <c r="D1090">
        <v>7</v>
      </c>
      <c r="E1090">
        <v>1</v>
      </c>
      <c r="F1090" t="s">
        <v>24</v>
      </c>
      <c r="G1090" t="s">
        <v>25</v>
      </c>
      <c r="H1090" t="s">
        <v>26</v>
      </c>
      <c r="I1090" t="s">
        <v>139</v>
      </c>
      <c r="J1090" t="s">
        <v>28</v>
      </c>
      <c r="L1090" t="s">
        <v>35</v>
      </c>
      <c r="M1090">
        <v>0</v>
      </c>
      <c r="N1090">
        <v>0</v>
      </c>
      <c r="O1090" s="17">
        <v>50391</v>
      </c>
      <c r="R1090" t="s">
        <v>39</v>
      </c>
      <c r="T1090">
        <v>33</v>
      </c>
      <c r="W1090">
        <v>22</v>
      </c>
      <c r="X1090">
        <v>43</v>
      </c>
      <c r="Z1090" t="s">
        <v>32</v>
      </c>
      <c r="AB1090" t="s">
        <v>53</v>
      </c>
      <c r="AC1090" t="s">
        <v>59</v>
      </c>
    </row>
    <row r="1091" spans="1:30" x14ac:dyDescent="0.2">
      <c r="A1091" s="3">
        <v>42551</v>
      </c>
      <c r="B1091" t="s">
        <v>23</v>
      </c>
      <c r="C1091">
        <v>803</v>
      </c>
      <c r="D1091">
        <v>10</v>
      </c>
      <c r="E1091">
        <v>2</v>
      </c>
      <c r="F1091" t="s">
        <v>24</v>
      </c>
      <c r="G1091" t="s">
        <v>25</v>
      </c>
      <c r="H1091" t="s">
        <v>26</v>
      </c>
      <c r="I1091" t="s">
        <v>139</v>
      </c>
      <c r="J1091" t="s">
        <v>28</v>
      </c>
      <c r="K1091" t="s">
        <v>29</v>
      </c>
      <c r="L1091" t="s">
        <v>35</v>
      </c>
      <c r="M1091">
        <v>0</v>
      </c>
      <c r="N1091">
        <v>0</v>
      </c>
      <c r="O1091" s="17">
        <v>50391</v>
      </c>
      <c r="Q1091">
        <f>183-90</f>
        <v>93</v>
      </c>
      <c r="R1091" t="s">
        <v>63</v>
      </c>
      <c r="T1091">
        <v>29</v>
      </c>
      <c r="W1091">
        <v>22</v>
      </c>
      <c r="X1091">
        <v>42</v>
      </c>
      <c r="Z1091" t="s">
        <v>32</v>
      </c>
      <c r="AB1091" t="s">
        <v>44</v>
      </c>
      <c r="AC1091" t="s">
        <v>116</v>
      </c>
    </row>
    <row r="1092" spans="1:30" x14ac:dyDescent="0.2">
      <c r="A1092" s="3">
        <v>42563</v>
      </c>
      <c r="B1092" t="s">
        <v>23</v>
      </c>
      <c r="C1092">
        <v>803</v>
      </c>
      <c r="D1092">
        <v>8</v>
      </c>
      <c r="E1092">
        <v>1</v>
      </c>
      <c r="F1092" t="s">
        <v>33</v>
      </c>
      <c r="G1092" t="s">
        <v>25</v>
      </c>
      <c r="H1092" t="s">
        <v>26</v>
      </c>
      <c r="I1092" t="s">
        <v>139</v>
      </c>
      <c r="J1092" t="s">
        <v>28</v>
      </c>
      <c r="K1092" t="s">
        <v>29</v>
      </c>
      <c r="L1092" t="s">
        <v>35</v>
      </c>
      <c r="M1092">
        <v>0</v>
      </c>
      <c r="N1092">
        <v>0</v>
      </c>
      <c r="O1092" s="17">
        <v>50391</v>
      </c>
      <c r="R1092" t="s">
        <v>39</v>
      </c>
      <c r="T1092">
        <v>31</v>
      </c>
      <c r="W1092">
        <v>22.3</v>
      </c>
      <c r="X1092">
        <v>41.1</v>
      </c>
      <c r="Z1092" t="s">
        <v>32</v>
      </c>
      <c r="AB1092" t="s">
        <v>255</v>
      </c>
      <c r="AC1092" t="s">
        <v>122</v>
      </c>
    </row>
    <row r="1093" spans="1:30" x14ac:dyDescent="0.2">
      <c r="A1093" s="3">
        <v>42564</v>
      </c>
      <c r="B1093" t="s">
        <v>23</v>
      </c>
      <c r="C1093">
        <v>803</v>
      </c>
      <c r="D1093">
        <v>8</v>
      </c>
      <c r="E1093">
        <v>1</v>
      </c>
      <c r="F1093" t="s">
        <v>33</v>
      </c>
      <c r="G1093" t="s">
        <v>25</v>
      </c>
      <c r="H1093" t="s">
        <v>26</v>
      </c>
      <c r="I1093" t="s">
        <v>139</v>
      </c>
      <c r="J1093" t="s">
        <v>28</v>
      </c>
      <c r="K1093" t="s">
        <v>29</v>
      </c>
      <c r="L1093" t="s">
        <v>35</v>
      </c>
      <c r="M1093">
        <v>0</v>
      </c>
      <c r="N1093">
        <v>0</v>
      </c>
      <c r="O1093" s="17">
        <v>50391</v>
      </c>
      <c r="Q1093">
        <f>143-50</f>
        <v>93</v>
      </c>
      <c r="R1093" t="s">
        <v>39</v>
      </c>
      <c r="T1093">
        <v>32</v>
      </c>
      <c r="W1093">
        <v>22</v>
      </c>
      <c r="X1093">
        <v>40.4</v>
      </c>
      <c r="Z1093" t="s">
        <v>32</v>
      </c>
      <c r="AB1093" t="s">
        <v>121</v>
      </c>
      <c r="AC1093" t="s">
        <v>122</v>
      </c>
    </row>
    <row r="1094" spans="1:30" x14ac:dyDescent="0.2">
      <c r="A1094" s="3">
        <v>42565</v>
      </c>
      <c r="B1094" t="s">
        <v>23</v>
      </c>
      <c r="C1094">
        <v>803</v>
      </c>
      <c r="D1094">
        <v>7</v>
      </c>
      <c r="E1094">
        <v>2</v>
      </c>
      <c r="F1094" t="s">
        <v>33</v>
      </c>
      <c r="G1094" t="s">
        <v>25</v>
      </c>
      <c r="H1094" t="s">
        <v>26</v>
      </c>
      <c r="I1094" t="s">
        <v>139</v>
      </c>
      <c r="J1094" t="s">
        <v>28</v>
      </c>
      <c r="K1094" t="s">
        <v>29</v>
      </c>
      <c r="L1094" t="s">
        <v>35</v>
      </c>
      <c r="M1094">
        <v>0</v>
      </c>
      <c r="N1094">
        <v>0</v>
      </c>
      <c r="O1094" s="17">
        <v>50391</v>
      </c>
      <c r="Q1094">
        <f>152-56</f>
        <v>96</v>
      </c>
      <c r="R1094" t="s">
        <v>39</v>
      </c>
      <c r="Z1094" t="s">
        <v>32</v>
      </c>
      <c r="AB1094" t="s">
        <v>121</v>
      </c>
      <c r="AC1094" t="s">
        <v>254</v>
      </c>
    </row>
    <row r="1095" spans="1:30" x14ac:dyDescent="0.2">
      <c r="A1095" s="3">
        <v>42574</v>
      </c>
      <c r="B1095" t="s">
        <v>23</v>
      </c>
      <c r="C1095">
        <v>801</v>
      </c>
      <c r="D1095">
        <v>5</v>
      </c>
      <c r="E1095">
        <v>2</v>
      </c>
      <c r="F1095" t="s">
        <v>24</v>
      </c>
      <c r="G1095" t="s">
        <v>25</v>
      </c>
      <c r="H1095" t="s">
        <v>26</v>
      </c>
      <c r="I1095" t="s">
        <v>139</v>
      </c>
      <c r="J1095" t="s">
        <v>28</v>
      </c>
      <c r="K1095" t="s">
        <v>29</v>
      </c>
      <c r="L1095" t="s">
        <v>35</v>
      </c>
      <c r="M1095">
        <v>0</v>
      </c>
      <c r="N1095">
        <v>0</v>
      </c>
      <c r="O1095" s="17">
        <v>50391</v>
      </c>
      <c r="Q1095">
        <f>205-108</f>
        <v>97</v>
      </c>
      <c r="R1095" t="s">
        <v>63</v>
      </c>
      <c r="T1095">
        <v>34</v>
      </c>
      <c r="W1095">
        <v>22.6</v>
      </c>
      <c r="X1095">
        <v>43.4</v>
      </c>
      <c r="Y1095" t="s">
        <v>740</v>
      </c>
      <c r="Z1095" t="s">
        <v>32</v>
      </c>
      <c r="AB1095" t="s">
        <v>582</v>
      </c>
      <c r="AC1095" t="s">
        <v>59</v>
      </c>
    </row>
    <row r="1096" spans="1:30" x14ac:dyDescent="0.2">
      <c r="A1096" s="3">
        <v>42575</v>
      </c>
      <c r="B1096" t="s">
        <v>23</v>
      </c>
      <c r="C1096">
        <v>803</v>
      </c>
      <c r="D1096">
        <v>10</v>
      </c>
      <c r="E1096">
        <v>1</v>
      </c>
      <c r="F1096" t="s">
        <v>24</v>
      </c>
      <c r="G1096" t="s">
        <v>25</v>
      </c>
      <c r="H1096" t="s">
        <v>26</v>
      </c>
      <c r="I1096" t="s">
        <v>139</v>
      </c>
      <c r="J1096" t="s">
        <v>28</v>
      </c>
      <c r="K1096" t="s">
        <v>29</v>
      </c>
      <c r="L1096" t="s">
        <v>35</v>
      </c>
      <c r="M1096">
        <v>0</v>
      </c>
      <c r="N1096">
        <v>0</v>
      </c>
      <c r="O1096" s="17">
        <v>50391</v>
      </c>
      <c r="Q1096">
        <f>200-105</f>
        <v>95</v>
      </c>
      <c r="R1096" t="s">
        <v>63</v>
      </c>
      <c r="T1096">
        <v>33</v>
      </c>
      <c r="W1096">
        <v>22.5</v>
      </c>
      <c r="X1096">
        <v>45</v>
      </c>
      <c r="Z1096" t="s">
        <v>32</v>
      </c>
      <c r="AB1096" t="s">
        <v>582</v>
      </c>
      <c r="AC1096" t="s">
        <v>59</v>
      </c>
    </row>
    <row r="1097" spans="1:30" x14ac:dyDescent="0.2">
      <c r="A1097" s="3">
        <v>42592</v>
      </c>
      <c r="B1097" t="s">
        <v>23</v>
      </c>
      <c r="C1097">
        <v>803</v>
      </c>
      <c r="D1097">
        <v>2</v>
      </c>
      <c r="E1097">
        <v>1</v>
      </c>
      <c r="F1097" t="s">
        <v>64</v>
      </c>
      <c r="G1097" t="s">
        <v>25</v>
      </c>
      <c r="H1097" t="s">
        <v>26</v>
      </c>
      <c r="I1097" t="s">
        <v>139</v>
      </c>
      <c r="J1097" t="s">
        <v>28</v>
      </c>
      <c r="O1097" s="17" t="s">
        <v>1471</v>
      </c>
      <c r="AB1097" t="s">
        <v>53</v>
      </c>
      <c r="AC1097" t="s">
        <v>59</v>
      </c>
      <c r="AD1097" t="s">
        <v>1470</v>
      </c>
    </row>
    <row r="1098" spans="1:30" x14ac:dyDescent="0.2">
      <c r="A1098" s="3">
        <v>42593</v>
      </c>
      <c r="B1098" t="s">
        <v>23</v>
      </c>
      <c r="C1098">
        <v>803</v>
      </c>
      <c r="D1098">
        <v>10</v>
      </c>
      <c r="E1098">
        <v>2</v>
      </c>
      <c r="F1098" t="s">
        <v>64</v>
      </c>
      <c r="G1098" t="s">
        <v>25</v>
      </c>
      <c r="H1098" t="s">
        <v>26</v>
      </c>
      <c r="I1098" t="s">
        <v>139</v>
      </c>
      <c r="J1098" t="s">
        <v>28</v>
      </c>
      <c r="K1098" t="s">
        <v>188</v>
      </c>
      <c r="L1098" t="s">
        <v>35</v>
      </c>
      <c r="M1098">
        <v>0</v>
      </c>
      <c r="N1098">
        <v>0</v>
      </c>
      <c r="O1098" s="17" t="s">
        <v>1471</v>
      </c>
      <c r="Q1098">
        <f>149-49</f>
        <v>100</v>
      </c>
      <c r="R1098" t="s">
        <v>63</v>
      </c>
      <c r="T1098">
        <v>32</v>
      </c>
      <c r="W1098">
        <v>21.1</v>
      </c>
      <c r="X1098">
        <v>40.9</v>
      </c>
      <c r="Z1098" t="s">
        <v>145</v>
      </c>
      <c r="AA1098" t="s">
        <v>260</v>
      </c>
      <c r="AB1098" t="s">
        <v>44</v>
      </c>
      <c r="AC1098" t="s">
        <v>122</v>
      </c>
      <c r="AD1098" t="s">
        <v>1523</v>
      </c>
    </row>
    <row r="1099" spans="1:30" x14ac:dyDescent="0.2">
      <c r="A1099" s="3">
        <v>42606</v>
      </c>
      <c r="B1099" t="s">
        <v>23</v>
      </c>
      <c r="C1099">
        <v>803</v>
      </c>
      <c r="D1099">
        <v>9</v>
      </c>
      <c r="E1099">
        <v>2</v>
      </c>
      <c r="F1099" t="s">
        <v>24</v>
      </c>
      <c r="G1099" t="s">
        <v>25</v>
      </c>
      <c r="H1099" t="s">
        <v>26</v>
      </c>
      <c r="I1099" t="s">
        <v>139</v>
      </c>
      <c r="J1099" t="s">
        <v>28</v>
      </c>
      <c r="K1099" t="s">
        <v>29</v>
      </c>
      <c r="L1099" t="s">
        <v>35</v>
      </c>
      <c r="M1099">
        <v>0</v>
      </c>
      <c r="N1099">
        <v>0</v>
      </c>
      <c r="O1099" s="17" t="s">
        <v>1471</v>
      </c>
      <c r="Q1099">
        <f>185-95</f>
        <v>90</v>
      </c>
      <c r="R1099" t="s">
        <v>63</v>
      </c>
      <c r="T1099">
        <v>29</v>
      </c>
      <c r="W1099">
        <v>12.55</v>
      </c>
      <c r="X1099">
        <v>42.5</v>
      </c>
      <c r="AB1099" t="s">
        <v>44</v>
      </c>
      <c r="AC1099" t="s">
        <v>59</v>
      </c>
    </row>
    <row r="1100" spans="1:30" x14ac:dyDescent="0.2">
      <c r="A1100" s="3">
        <v>42514</v>
      </c>
      <c r="B1100" t="s">
        <v>23</v>
      </c>
      <c r="C1100">
        <v>801</v>
      </c>
      <c r="D1100">
        <v>8</v>
      </c>
      <c r="E1100">
        <v>1</v>
      </c>
      <c r="F1100" t="s">
        <v>24</v>
      </c>
      <c r="G1100" t="s">
        <v>25</v>
      </c>
      <c r="H1100" t="s">
        <v>26</v>
      </c>
      <c r="I1100" t="s">
        <v>139</v>
      </c>
      <c r="J1100" t="s">
        <v>28</v>
      </c>
      <c r="K1100" t="s">
        <v>29</v>
      </c>
      <c r="L1100" t="s">
        <v>35</v>
      </c>
      <c r="M1100">
        <v>0</v>
      </c>
      <c r="N1100">
        <v>0</v>
      </c>
      <c r="O1100" s="17">
        <v>50392</v>
      </c>
      <c r="Q1100">
        <f>185-90</f>
        <v>95</v>
      </c>
      <c r="R1100" t="s">
        <v>39</v>
      </c>
      <c r="S1100" t="s">
        <v>32</v>
      </c>
      <c r="T1100">
        <v>29</v>
      </c>
      <c r="W1100">
        <v>22.69</v>
      </c>
      <c r="X1100">
        <v>41.15</v>
      </c>
      <c r="Z1100" t="s">
        <v>32</v>
      </c>
      <c r="AB1100" t="s">
        <v>44</v>
      </c>
      <c r="AC1100" t="s">
        <v>59</v>
      </c>
    </row>
    <row r="1101" spans="1:30" x14ac:dyDescent="0.2">
      <c r="A1101" s="3">
        <v>42543</v>
      </c>
      <c r="B1101" t="s">
        <v>23</v>
      </c>
      <c r="C1101">
        <v>201</v>
      </c>
      <c r="D1101">
        <v>1</v>
      </c>
      <c r="E1101">
        <v>1</v>
      </c>
      <c r="F1101" t="s">
        <v>33</v>
      </c>
      <c r="G1101" t="s">
        <v>25</v>
      </c>
      <c r="H1101" t="s">
        <v>26</v>
      </c>
      <c r="I1101" t="s">
        <v>139</v>
      </c>
      <c r="J1101" t="s">
        <v>34</v>
      </c>
      <c r="K1101" t="s">
        <v>29</v>
      </c>
      <c r="L1101" t="s">
        <v>35</v>
      </c>
      <c r="M1101">
        <v>0</v>
      </c>
      <c r="N1101">
        <v>1</v>
      </c>
      <c r="O1101" s="17">
        <v>50413</v>
      </c>
      <c r="Q1101">
        <f>139-48</f>
        <v>91</v>
      </c>
      <c r="R1101" t="s">
        <v>39</v>
      </c>
      <c r="T1101">
        <v>30</v>
      </c>
      <c r="W1101">
        <v>22.1</v>
      </c>
      <c r="X1101">
        <v>45.8</v>
      </c>
      <c r="Z1101" t="s">
        <v>32</v>
      </c>
      <c r="AB1101" t="s">
        <v>53</v>
      </c>
      <c r="AC1101" t="s">
        <v>122</v>
      </c>
    </row>
    <row r="1102" spans="1:30" x14ac:dyDescent="0.2">
      <c r="A1102" s="3">
        <v>42549</v>
      </c>
      <c r="B1102" t="s">
        <v>23</v>
      </c>
      <c r="C1102">
        <v>501</v>
      </c>
      <c r="D1102">
        <v>1</v>
      </c>
      <c r="E1102">
        <v>1</v>
      </c>
      <c r="F1102" t="s">
        <v>33</v>
      </c>
      <c r="G1102" t="s">
        <v>25</v>
      </c>
      <c r="H1102" t="s">
        <v>26</v>
      </c>
      <c r="I1102" t="s">
        <v>139</v>
      </c>
      <c r="J1102" t="s">
        <v>34</v>
      </c>
      <c r="K1102" t="s">
        <v>123</v>
      </c>
      <c r="L1102" t="s">
        <v>35</v>
      </c>
      <c r="M1102">
        <v>0</v>
      </c>
      <c r="N1102">
        <v>1</v>
      </c>
      <c r="O1102" s="17">
        <v>50443</v>
      </c>
      <c r="Q1102">
        <f>120-49</f>
        <v>71</v>
      </c>
      <c r="R1102" t="s">
        <v>63</v>
      </c>
      <c r="Z1102" t="s">
        <v>32</v>
      </c>
      <c r="AB1102" t="s">
        <v>149</v>
      </c>
      <c r="AC1102" t="s">
        <v>122</v>
      </c>
    </row>
    <row r="1103" spans="1:30" x14ac:dyDescent="0.2">
      <c r="A1103" s="3">
        <v>42536</v>
      </c>
      <c r="B1103" t="s">
        <v>23</v>
      </c>
      <c r="C1103">
        <v>803</v>
      </c>
      <c r="D1103">
        <v>9</v>
      </c>
      <c r="E1103">
        <v>1</v>
      </c>
      <c r="F1103" t="s">
        <v>33</v>
      </c>
      <c r="G1103" t="s">
        <v>25</v>
      </c>
      <c r="H1103" t="s">
        <v>26</v>
      </c>
      <c r="I1103" t="s">
        <v>139</v>
      </c>
      <c r="J1103" t="s">
        <v>34</v>
      </c>
      <c r="K1103" t="s">
        <v>187</v>
      </c>
      <c r="L1103" t="s">
        <v>35</v>
      </c>
      <c r="M1103">
        <v>0</v>
      </c>
      <c r="N1103">
        <v>1</v>
      </c>
      <c r="O1103" s="17">
        <v>50463</v>
      </c>
      <c r="Q1103">
        <f>128-50</f>
        <v>78</v>
      </c>
      <c r="R1103" t="s">
        <v>39</v>
      </c>
      <c r="W1103">
        <v>18</v>
      </c>
      <c r="X1103">
        <v>42</v>
      </c>
      <c r="Z1103" t="s">
        <v>32</v>
      </c>
      <c r="AB1103" t="s">
        <v>60</v>
      </c>
      <c r="AC1103" t="s">
        <v>59</v>
      </c>
    </row>
    <row r="1104" spans="1:30" x14ac:dyDescent="0.2">
      <c r="A1104" s="3">
        <v>42537</v>
      </c>
      <c r="B1104" t="s">
        <v>23</v>
      </c>
      <c r="C1104">
        <v>803</v>
      </c>
      <c r="D1104">
        <v>4</v>
      </c>
      <c r="E1104">
        <v>2</v>
      </c>
      <c r="F1104" t="s">
        <v>33</v>
      </c>
      <c r="G1104" t="s">
        <v>25</v>
      </c>
      <c r="H1104" t="s">
        <v>26</v>
      </c>
      <c r="I1104" t="s">
        <v>139</v>
      </c>
      <c r="J1104" t="s">
        <v>28</v>
      </c>
      <c r="K1104" t="s">
        <v>187</v>
      </c>
      <c r="L1104" t="s">
        <v>35</v>
      </c>
      <c r="M1104">
        <v>0</v>
      </c>
      <c r="N1104">
        <v>0</v>
      </c>
      <c r="O1104" s="17">
        <v>50463</v>
      </c>
      <c r="Q1104">
        <f>127-48</f>
        <v>79</v>
      </c>
      <c r="R1104" t="s">
        <v>39</v>
      </c>
      <c r="T1104">
        <v>31</v>
      </c>
      <c r="W1104">
        <v>19.5</v>
      </c>
      <c r="X1104">
        <v>43.5</v>
      </c>
      <c r="Z1104" t="s">
        <v>32</v>
      </c>
      <c r="AB1104" t="s">
        <v>44</v>
      </c>
      <c r="AC1104" t="s">
        <v>122</v>
      </c>
    </row>
    <row r="1105" spans="1:29" x14ac:dyDescent="0.2">
      <c r="A1105" s="3">
        <v>42549</v>
      </c>
      <c r="B1105" t="s">
        <v>23</v>
      </c>
      <c r="C1105">
        <v>803</v>
      </c>
      <c r="D1105">
        <v>8</v>
      </c>
      <c r="E1105">
        <v>2</v>
      </c>
      <c r="F1105" t="s">
        <v>24</v>
      </c>
      <c r="G1105" t="s">
        <v>25</v>
      </c>
      <c r="H1105" t="s">
        <v>26</v>
      </c>
      <c r="I1105" t="s">
        <v>139</v>
      </c>
      <c r="J1105" t="s">
        <v>28</v>
      </c>
      <c r="K1105" t="s">
        <v>29</v>
      </c>
      <c r="L1105" t="s">
        <v>35</v>
      </c>
      <c r="M1105">
        <v>0</v>
      </c>
      <c r="N1105">
        <v>0</v>
      </c>
      <c r="O1105" s="17">
        <v>50463</v>
      </c>
      <c r="Q1105">
        <f>173-90</f>
        <v>83</v>
      </c>
      <c r="R1105" t="s">
        <v>39</v>
      </c>
      <c r="S1105" t="s">
        <v>32</v>
      </c>
      <c r="T1105">
        <v>33</v>
      </c>
      <c r="W1105">
        <v>20.8</v>
      </c>
      <c r="X1105">
        <v>45</v>
      </c>
      <c r="Z1105" t="s">
        <v>32</v>
      </c>
      <c r="AB1105" t="s">
        <v>121</v>
      </c>
      <c r="AC1105" t="s">
        <v>122</v>
      </c>
    </row>
    <row r="1106" spans="1:29" x14ac:dyDescent="0.2">
      <c r="A1106" s="3">
        <v>42550</v>
      </c>
      <c r="B1106" t="s">
        <v>23</v>
      </c>
      <c r="C1106">
        <v>803</v>
      </c>
      <c r="D1106">
        <v>7</v>
      </c>
      <c r="E1106">
        <v>2</v>
      </c>
      <c r="F1106" t="s">
        <v>24</v>
      </c>
      <c r="G1106" t="s">
        <v>25</v>
      </c>
      <c r="H1106" t="s">
        <v>26</v>
      </c>
      <c r="I1106" t="s">
        <v>139</v>
      </c>
      <c r="J1106" t="s">
        <v>28</v>
      </c>
      <c r="K1106" t="s">
        <v>123</v>
      </c>
      <c r="L1106" t="s">
        <v>35</v>
      </c>
      <c r="M1106">
        <v>0</v>
      </c>
      <c r="N1106">
        <v>0</v>
      </c>
      <c r="O1106" s="17">
        <v>50463</v>
      </c>
      <c r="R1106" t="s">
        <v>63</v>
      </c>
      <c r="T1106">
        <v>33</v>
      </c>
      <c r="W1106">
        <v>20.7</v>
      </c>
      <c r="X1106">
        <v>40.5</v>
      </c>
      <c r="Z1106" t="s">
        <v>32</v>
      </c>
      <c r="AB1106" t="s">
        <v>53</v>
      </c>
      <c r="AC1106" t="s">
        <v>59</v>
      </c>
    </row>
    <row r="1107" spans="1:29" x14ac:dyDescent="0.2">
      <c r="A1107" s="3">
        <v>42551</v>
      </c>
      <c r="B1107" t="s">
        <v>23</v>
      </c>
      <c r="C1107">
        <v>803</v>
      </c>
      <c r="D1107">
        <v>9</v>
      </c>
      <c r="E1107">
        <v>1</v>
      </c>
      <c r="F1107" t="s">
        <v>24</v>
      </c>
      <c r="G1107" t="s">
        <v>25</v>
      </c>
      <c r="H1107" t="s">
        <v>26</v>
      </c>
      <c r="I1107" t="s">
        <v>139</v>
      </c>
      <c r="J1107" t="s">
        <v>28</v>
      </c>
      <c r="K1107" t="s">
        <v>123</v>
      </c>
      <c r="L1107" t="s">
        <v>35</v>
      </c>
      <c r="M1107">
        <v>0</v>
      </c>
      <c r="N1107">
        <v>0</v>
      </c>
      <c r="O1107" s="17">
        <v>50463</v>
      </c>
      <c r="Q1107">
        <f>165-90</f>
        <v>75</v>
      </c>
      <c r="R1107" t="s">
        <v>63</v>
      </c>
      <c r="T1107">
        <v>32</v>
      </c>
      <c r="W1107">
        <v>20.3</v>
      </c>
      <c r="X1107">
        <v>41.75</v>
      </c>
      <c r="Z1107" t="s">
        <v>32</v>
      </c>
      <c r="AB1107" t="s">
        <v>44</v>
      </c>
      <c r="AC1107" t="s">
        <v>116</v>
      </c>
    </row>
    <row r="1108" spans="1:29" x14ac:dyDescent="0.2">
      <c r="A1108" s="3">
        <v>42563</v>
      </c>
      <c r="B1108" t="s">
        <v>23</v>
      </c>
      <c r="C1108">
        <v>803</v>
      </c>
      <c r="D1108">
        <v>5</v>
      </c>
      <c r="E1108">
        <v>1</v>
      </c>
      <c r="F1108" t="s">
        <v>33</v>
      </c>
      <c r="G1108" t="s">
        <v>25</v>
      </c>
      <c r="H1108" t="s">
        <v>26</v>
      </c>
      <c r="I1108" t="s">
        <v>139</v>
      </c>
      <c r="J1108" t="s">
        <v>28</v>
      </c>
      <c r="K1108" t="s">
        <v>188</v>
      </c>
      <c r="L1108" t="s">
        <v>35</v>
      </c>
      <c r="M1108">
        <v>0</v>
      </c>
      <c r="N1108">
        <v>0</v>
      </c>
      <c r="O1108" s="17">
        <v>50463</v>
      </c>
      <c r="R1108" t="s">
        <v>63</v>
      </c>
      <c r="T1108">
        <v>30</v>
      </c>
      <c r="Z1108" t="s">
        <v>32</v>
      </c>
      <c r="AB1108" t="s">
        <v>255</v>
      </c>
      <c r="AC1108" t="s">
        <v>122</v>
      </c>
    </row>
    <row r="1109" spans="1:29" x14ac:dyDescent="0.2">
      <c r="A1109" s="3">
        <v>42564</v>
      </c>
      <c r="B1109" t="s">
        <v>23</v>
      </c>
      <c r="C1109">
        <v>803</v>
      </c>
      <c r="D1109">
        <v>6</v>
      </c>
      <c r="E1109">
        <v>1</v>
      </c>
      <c r="F1109" t="s">
        <v>33</v>
      </c>
      <c r="G1109" t="s">
        <v>25</v>
      </c>
      <c r="H1109" t="s">
        <v>26</v>
      </c>
      <c r="I1109" t="s">
        <v>139</v>
      </c>
      <c r="J1109" t="s">
        <v>28</v>
      </c>
      <c r="K1109" t="s">
        <v>29</v>
      </c>
      <c r="L1109" t="s">
        <v>35</v>
      </c>
      <c r="M1109">
        <v>0</v>
      </c>
      <c r="N1109">
        <v>0</v>
      </c>
      <c r="O1109" s="17">
        <v>50463</v>
      </c>
      <c r="Q1109">
        <f>126-50</f>
        <v>76</v>
      </c>
      <c r="R1109" t="s">
        <v>39</v>
      </c>
      <c r="T1109">
        <v>31</v>
      </c>
      <c r="W1109">
        <v>20.3</v>
      </c>
      <c r="X1109">
        <v>41.5</v>
      </c>
      <c r="Z1109" t="s">
        <v>32</v>
      </c>
      <c r="AB1109" t="s">
        <v>121</v>
      </c>
      <c r="AC1109" t="s">
        <v>122</v>
      </c>
    </row>
    <row r="1110" spans="1:29" x14ac:dyDescent="0.2">
      <c r="A1110" s="3">
        <v>42565</v>
      </c>
      <c r="B1110" t="s">
        <v>23</v>
      </c>
      <c r="C1110">
        <v>803</v>
      </c>
      <c r="D1110">
        <v>3</v>
      </c>
      <c r="E1110">
        <v>2</v>
      </c>
      <c r="F1110" t="s">
        <v>33</v>
      </c>
      <c r="G1110" t="s">
        <v>25</v>
      </c>
      <c r="H1110" t="s">
        <v>26</v>
      </c>
      <c r="I1110" t="s">
        <v>139</v>
      </c>
      <c r="J1110" t="s">
        <v>28</v>
      </c>
      <c r="K1110" t="s">
        <v>29</v>
      </c>
      <c r="L1110" t="s">
        <v>35</v>
      </c>
      <c r="M1110">
        <v>0</v>
      </c>
      <c r="N1110">
        <v>0</v>
      </c>
      <c r="O1110" s="17">
        <v>50463</v>
      </c>
      <c r="Q1110">
        <f>142-62</f>
        <v>80</v>
      </c>
      <c r="R1110" t="s">
        <v>39</v>
      </c>
      <c r="Z1110" t="s">
        <v>32</v>
      </c>
      <c r="AB1110" t="s">
        <v>121</v>
      </c>
      <c r="AC1110" t="s">
        <v>254</v>
      </c>
    </row>
    <row r="1111" spans="1:29" x14ac:dyDescent="0.2">
      <c r="A1111" s="3">
        <v>42574</v>
      </c>
      <c r="B1111" t="s">
        <v>23</v>
      </c>
      <c r="C1111">
        <v>803</v>
      </c>
      <c r="D1111">
        <v>6</v>
      </c>
      <c r="E1111">
        <v>1</v>
      </c>
      <c r="F1111" t="s">
        <v>24</v>
      </c>
      <c r="G1111" t="s">
        <v>25</v>
      </c>
      <c r="H1111" t="s">
        <v>26</v>
      </c>
      <c r="I1111" t="s">
        <v>139</v>
      </c>
      <c r="J1111" t="s">
        <v>28</v>
      </c>
      <c r="K1111" t="s">
        <v>123</v>
      </c>
      <c r="L1111" t="s">
        <v>35</v>
      </c>
      <c r="M1111">
        <v>0</v>
      </c>
      <c r="N1111">
        <v>0</v>
      </c>
      <c r="O1111" s="17">
        <v>50463</v>
      </c>
      <c r="Q1111">
        <f>190-107</f>
        <v>83</v>
      </c>
      <c r="R1111" t="s">
        <v>63</v>
      </c>
      <c r="T1111">
        <v>32</v>
      </c>
      <c r="W1111">
        <v>21.2</v>
      </c>
      <c r="X1111">
        <v>40.799999999999997</v>
      </c>
      <c r="Z1111" t="s">
        <v>32</v>
      </c>
      <c r="AB1111" t="s">
        <v>582</v>
      </c>
      <c r="AC1111" t="s">
        <v>59</v>
      </c>
    </row>
    <row r="1112" spans="1:29" x14ac:dyDescent="0.2">
      <c r="A1112" s="3">
        <v>42575</v>
      </c>
      <c r="B1112" t="s">
        <v>23</v>
      </c>
      <c r="C1112">
        <v>803</v>
      </c>
      <c r="D1112">
        <v>6</v>
      </c>
      <c r="E1112">
        <v>2</v>
      </c>
      <c r="F1112" t="s">
        <v>24</v>
      </c>
      <c r="G1112" t="s">
        <v>25</v>
      </c>
      <c r="H1112" t="s">
        <v>26</v>
      </c>
      <c r="I1112" t="s">
        <v>139</v>
      </c>
      <c r="J1112" t="s">
        <v>28</v>
      </c>
      <c r="K1112" t="s">
        <v>29</v>
      </c>
      <c r="L1112" t="s">
        <v>35</v>
      </c>
      <c r="M1112">
        <v>0</v>
      </c>
      <c r="N1112">
        <v>0</v>
      </c>
      <c r="O1112" s="17">
        <v>50463</v>
      </c>
      <c r="Q1112">
        <f>195-105</f>
        <v>90</v>
      </c>
      <c r="R1112" t="s">
        <v>63</v>
      </c>
      <c r="T1112">
        <v>29</v>
      </c>
      <c r="W1112">
        <v>21.6</v>
      </c>
      <c r="X1112">
        <v>41.5</v>
      </c>
      <c r="Z1112" t="s">
        <v>32</v>
      </c>
      <c r="AB1112" t="s">
        <v>582</v>
      </c>
      <c r="AC1112" t="s">
        <v>59</v>
      </c>
    </row>
    <row r="1113" spans="1:29" x14ac:dyDescent="0.2">
      <c r="A1113" s="3">
        <v>42541</v>
      </c>
      <c r="B1113" t="s">
        <v>23</v>
      </c>
      <c r="C1113">
        <v>402</v>
      </c>
      <c r="D1113">
        <v>1</v>
      </c>
      <c r="E1113">
        <v>2</v>
      </c>
      <c r="F1113" t="s">
        <v>24</v>
      </c>
      <c r="G1113" t="s">
        <v>25</v>
      </c>
      <c r="H1113" t="s">
        <v>26</v>
      </c>
      <c r="I1113" t="s">
        <v>139</v>
      </c>
      <c r="J1113" t="s">
        <v>34</v>
      </c>
      <c r="K1113" t="s">
        <v>123</v>
      </c>
      <c r="L1113" t="s">
        <v>30</v>
      </c>
      <c r="M1113">
        <v>0</v>
      </c>
      <c r="N1113">
        <v>1</v>
      </c>
      <c r="O1113" s="17">
        <v>50478</v>
      </c>
      <c r="Q1113">
        <f>170-90</f>
        <v>80</v>
      </c>
      <c r="R1113" t="s">
        <v>31</v>
      </c>
      <c r="S1113" t="s">
        <v>32</v>
      </c>
      <c r="T1113">
        <v>35</v>
      </c>
      <c r="W1113">
        <v>21.5</v>
      </c>
      <c r="X1113">
        <v>42.9</v>
      </c>
      <c r="Z1113" t="s">
        <v>32</v>
      </c>
      <c r="AB1113" t="s">
        <v>255</v>
      </c>
      <c r="AC1113" t="s">
        <v>254</v>
      </c>
    </row>
    <row r="1114" spans="1:29" x14ac:dyDescent="0.2">
      <c r="A1114" s="3">
        <v>42542</v>
      </c>
      <c r="B1114" t="s">
        <v>23</v>
      </c>
      <c r="C1114">
        <v>402</v>
      </c>
      <c r="D1114">
        <v>1</v>
      </c>
      <c r="E1114">
        <v>1</v>
      </c>
      <c r="F1114" t="s">
        <v>24</v>
      </c>
      <c r="G1114" t="s">
        <v>25</v>
      </c>
      <c r="H1114" t="s">
        <v>26</v>
      </c>
      <c r="I1114" t="s">
        <v>139</v>
      </c>
      <c r="J1114" t="s">
        <v>28</v>
      </c>
      <c r="K1114" t="s">
        <v>29</v>
      </c>
      <c r="L1114" t="s">
        <v>30</v>
      </c>
      <c r="M1114">
        <v>0</v>
      </c>
      <c r="N1114">
        <v>0</v>
      </c>
      <c r="O1114" s="17">
        <v>50478</v>
      </c>
      <c r="Q1114">
        <f>170-90</f>
        <v>80</v>
      </c>
      <c r="R1114" t="s">
        <v>31</v>
      </c>
      <c r="S1114" t="s">
        <v>32</v>
      </c>
      <c r="T1114">
        <v>32</v>
      </c>
      <c r="W1114">
        <v>21.2</v>
      </c>
      <c r="X1114">
        <v>40.6</v>
      </c>
      <c r="Z1114" t="s">
        <v>32</v>
      </c>
      <c r="AB1114" t="s">
        <v>44</v>
      </c>
      <c r="AC1114" t="s">
        <v>122</v>
      </c>
    </row>
    <row r="1115" spans="1:29" x14ac:dyDescent="0.2">
      <c r="A1115" s="3">
        <v>42541</v>
      </c>
      <c r="B1115" t="s">
        <v>23</v>
      </c>
      <c r="C1115">
        <v>113</v>
      </c>
      <c r="D1115">
        <v>8</v>
      </c>
      <c r="E1115">
        <v>1</v>
      </c>
      <c r="F1115" t="s">
        <v>24</v>
      </c>
      <c r="G1115" t="s">
        <v>25</v>
      </c>
      <c r="H1115" t="s">
        <v>26</v>
      </c>
      <c r="I1115" t="s">
        <v>139</v>
      </c>
      <c r="J1115" t="s">
        <v>34</v>
      </c>
      <c r="K1115" t="s">
        <v>188</v>
      </c>
      <c r="L1115" t="s">
        <v>35</v>
      </c>
      <c r="M1115">
        <v>0</v>
      </c>
      <c r="N1115">
        <v>1</v>
      </c>
      <c r="O1115" s="17">
        <v>50482</v>
      </c>
      <c r="Q1115">
        <f>175-90</f>
        <v>85</v>
      </c>
      <c r="R1115" t="s">
        <v>39</v>
      </c>
      <c r="S1115" t="s">
        <v>32</v>
      </c>
      <c r="T1115">
        <v>34</v>
      </c>
      <c r="W1115">
        <v>20.399999999999999</v>
      </c>
      <c r="X1115">
        <v>41.1</v>
      </c>
      <c r="Z1115" t="s">
        <v>32</v>
      </c>
      <c r="AB1115" t="s">
        <v>255</v>
      </c>
      <c r="AC1115" t="s">
        <v>254</v>
      </c>
    </row>
    <row r="1116" spans="1:29" x14ac:dyDescent="0.2">
      <c r="A1116" s="3">
        <v>42542</v>
      </c>
      <c r="B1116" t="s">
        <v>23</v>
      </c>
      <c r="C1116">
        <v>113</v>
      </c>
      <c r="D1116">
        <v>9</v>
      </c>
      <c r="E1116">
        <v>1</v>
      </c>
      <c r="F1116" t="s">
        <v>24</v>
      </c>
      <c r="G1116" t="s">
        <v>25</v>
      </c>
      <c r="H1116" t="s">
        <v>26</v>
      </c>
      <c r="I1116" t="s">
        <v>139</v>
      </c>
      <c r="J1116" t="s">
        <v>28</v>
      </c>
      <c r="K1116" t="s">
        <v>29</v>
      </c>
      <c r="L1116" t="s">
        <v>35</v>
      </c>
      <c r="M1116">
        <v>0</v>
      </c>
      <c r="N1116">
        <v>0</v>
      </c>
      <c r="O1116" s="17">
        <v>50482</v>
      </c>
      <c r="Q1116">
        <f>178-90</f>
        <v>88</v>
      </c>
      <c r="R1116" t="s">
        <v>39</v>
      </c>
      <c r="S1116" t="s">
        <v>32</v>
      </c>
      <c r="T1116">
        <v>32</v>
      </c>
      <c r="W1116">
        <v>21.6</v>
      </c>
      <c r="X1116">
        <v>43.2</v>
      </c>
      <c r="Z1116" t="s">
        <v>32</v>
      </c>
      <c r="AB1116" t="s">
        <v>44</v>
      </c>
      <c r="AC1116" t="s">
        <v>122</v>
      </c>
    </row>
    <row r="1117" spans="1:29" x14ac:dyDescent="0.2">
      <c r="A1117" s="3">
        <v>42543</v>
      </c>
      <c r="B1117" t="s">
        <v>23</v>
      </c>
      <c r="C1117">
        <v>113</v>
      </c>
      <c r="D1117">
        <v>9</v>
      </c>
      <c r="E1117">
        <v>1</v>
      </c>
      <c r="F1117" t="s">
        <v>24</v>
      </c>
      <c r="G1117" t="s">
        <v>25</v>
      </c>
      <c r="H1117" t="s">
        <v>26</v>
      </c>
      <c r="I1117" t="s">
        <v>139</v>
      </c>
      <c r="J1117" t="s">
        <v>28</v>
      </c>
      <c r="K1117" t="s">
        <v>29</v>
      </c>
      <c r="L1117" t="s">
        <v>35</v>
      </c>
      <c r="M1117">
        <v>0</v>
      </c>
      <c r="N1117">
        <v>0</v>
      </c>
      <c r="O1117" s="17">
        <v>50482</v>
      </c>
      <c r="Q1117">
        <f>170-90</f>
        <v>80</v>
      </c>
      <c r="R1117" t="s">
        <v>39</v>
      </c>
      <c r="S1117" t="s">
        <v>32</v>
      </c>
      <c r="W1117">
        <v>20.5</v>
      </c>
      <c r="X1117">
        <v>43.7</v>
      </c>
      <c r="Y1117" t="s">
        <v>280</v>
      </c>
      <c r="Z1117" t="s">
        <v>32</v>
      </c>
      <c r="AB1117" t="s">
        <v>53</v>
      </c>
      <c r="AC1117" t="s">
        <v>59</v>
      </c>
    </row>
    <row r="1118" spans="1:29" x14ac:dyDescent="0.2">
      <c r="A1118" s="3">
        <v>42556</v>
      </c>
      <c r="B1118" t="s">
        <v>23</v>
      </c>
      <c r="C1118">
        <v>113</v>
      </c>
      <c r="D1118">
        <v>8</v>
      </c>
      <c r="E1118">
        <v>1</v>
      </c>
      <c r="F1118" t="s">
        <v>33</v>
      </c>
      <c r="G1118" t="s">
        <v>25</v>
      </c>
      <c r="H1118" t="s">
        <v>26</v>
      </c>
      <c r="I1118" t="s">
        <v>139</v>
      </c>
      <c r="J1118" t="s">
        <v>28</v>
      </c>
      <c r="K1118" t="s">
        <v>188</v>
      </c>
      <c r="L1118" t="s">
        <v>35</v>
      </c>
      <c r="M1118">
        <v>0</v>
      </c>
      <c r="N1118">
        <v>0</v>
      </c>
      <c r="O1118" s="17">
        <v>50482</v>
      </c>
      <c r="Q1118">
        <f>128-48</f>
        <v>80</v>
      </c>
      <c r="R1118" t="s">
        <v>39</v>
      </c>
      <c r="T1118">
        <v>28</v>
      </c>
      <c r="W1118">
        <v>21.1</v>
      </c>
      <c r="Z1118" t="s">
        <v>32</v>
      </c>
      <c r="AB1118" t="s">
        <v>53</v>
      </c>
      <c r="AC1118" t="s">
        <v>59</v>
      </c>
    </row>
    <row r="1119" spans="1:29" x14ac:dyDescent="0.2">
      <c r="A1119" s="3">
        <v>42557</v>
      </c>
      <c r="B1119" t="s">
        <v>23</v>
      </c>
      <c r="C1119">
        <v>113</v>
      </c>
      <c r="D1119">
        <v>8</v>
      </c>
      <c r="E1119">
        <v>2</v>
      </c>
      <c r="F1119" t="s">
        <v>33</v>
      </c>
      <c r="G1119" t="s">
        <v>25</v>
      </c>
      <c r="H1119" t="s">
        <v>26</v>
      </c>
      <c r="I1119" t="s">
        <v>139</v>
      </c>
      <c r="J1119" t="s">
        <v>28</v>
      </c>
      <c r="K1119" t="s">
        <v>188</v>
      </c>
      <c r="L1119" t="s">
        <v>35</v>
      </c>
      <c r="M1119">
        <v>0</v>
      </c>
      <c r="N1119">
        <v>0</v>
      </c>
      <c r="O1119" s="17">
        <v>50482</v>
      </c>
      <c r="Q1119">
        <f>129-48</f>
        <v>81</v>
      </c>
      <c r="R1119" t="s">
        <v>39</v>
      </c>
      <c r="T1119">
        <v>29</v>
      </c>
      <c r="W1119">
        <v>21.6</v>
      </c>
      <c r="X1119">
        <v>40.200000000000003</v>
      </c>
      <c r="Z1119" t="s">
        <v>32</v>
      </c>
      <c r="AB1119" t="s">
        <v>44</v>
      </c>
      <c r="AC1119" t="s">
        <v>122</v>
      </c>
    </row>
    <row r="1120" spans="1:29" x14ac:dyDescent="0.2">
      <c r="A1120" s="3">
        <v>42558</v>
      </c>
      <c r="B1120" t="s">
        <v>23</v>
      </c>
      <c r="C1120">
        <v>113</v>
      </c>
      <c r="D1120">
        <v>6</v>
      </c>
      <c r="E1120">
        <v>1</v>
      </c>
      <c r="F1120" t="s">
        <v>33</v>
      </c>
      <c r="G1120" t="s">
        <v>25</v>
      </c>
      <c r="H1120" t="s">
        <v>26</v>
      </c>
      <c r="I1120" t="s">
        <v>139</v>
      </c>
      <c r="J1120" t="s">
        <v>28</v>
      </c>
      <c r="K1120" t="s">
        <v>188</v>
      </c>
      <c r="L1120" t="s">
        <v>35</v>
      </c>
      <c r="M1120">
        <v>0</v>
      </c>
      <c r="N1120">
        <v>0</v>
      </c>
      <c r="O1120" s="17">
        <v>50482</v>
      </c>
      <c r="Q1120">
        <f>130-50</f>
        <v>80</v>
      </c>
      <c r="R1120" t="s">
        <v>39</v>
      </c>
      <c r="T1120">
        <v>29</v>
      </c>
      <c r="W1120">
        <v>20.8</v>
      </c>
      <c r="X1120">
        <v>40.9</v>
      </c>
      <c r="Z1120" t="s">
        <v>32</v>
      </c>
      <c r="AB1120" t="s">
        <v>121</v>
      </c>
      <c r="AC1120" t="s">
        <v>254</v>
      </c>
    </row>
    <row r="1121" spans="1:30" x14ac:dyDescent="0.2">
      <c r="A1121" s="3">
        <v>42571</v>
      </c>
      <c r="B1121" t="s">
        <v>23</v>
      </c>
      <c r="C1121">
        <v>113</v>
      </c>
      <c r="D1121">
        <v>9</v>
      </c>
      <c r="E1121">
        <v>2</v>
      </c>
      <c r="F1121" t="s">
        <v>24</v>
      </c>
      <c r="G1121" t="s">
        <v>25</v>
      </c>
      <c r="H1121" t="s">
        <v>26</v>
      </c>
      <c r="I1121" t="s">
        <v>139</v>
      </c>
      <c r="J1121" t="s">
        <v>28</v>
      </c>
      <c r="K1121" t="s">
        <v>29</v>
      </c>
      <c r="L1121" t="s">
        <v>35</v>
      </c>
      <c r="M1121">
        <v>0</v>
      </c>
      <c r="N1121">
        <v>0</v>
      </c>
      <c r="O1121" s="17">
        <v>50482</v>
      </c>
      <c r="Q1121">
        <f>190-117</f>
        <v>73</v>
      </c>
      <c r="R1121" t="s">
        <v>39</v>
      </c>
      <c r="T1121">
        <v>27</v>
      </c>
      <c r="W1121">
        <v>21.8</v>
      </c>
      <c r="X1121">
        <v>41.2</v>
      </c>
      <c r="Z1121" t="s">
        <v>32</v>
      </c>
      <c r="AB1121" t="s">
        <v>44</v>
      </c>
      <c r="AC1121" t="s">
        <v>59</v>
      </c>
    </row>
    <row r="1122" spans="1:30" x14ac:dyDescent="0.2">
      <c r="A1122" s="3">
        <v>42572</v>
      </c>
      <c r="B1122" t="s">
        <v>23</v>
      </c>
      <c r="C1122">
        <v>113</v>
      </c>
      <c r="D1122">
        <v>9</v>
      </c>
      <c r="E1122">
        <v>2</v>
      </c>
      <c r="F1122" t="s">
        <v>24</v>
      </c>
      <c r="G1122" t="s">
        <v>25</v>
      </c>
      <c r="H1122" t="s">
        <v>26</v>
      </c>
      <c r="I1122" t="s">
        <v>139</v>
      </c>
      <c r="J1122" t="s">
        <v>28</v>
      </c>
      <c r="K1122" t="s">
        <v>123</v>
      </c>
      <c r="L1122" t="s">
        <v>35</v>
      </c>
      <c r="M1122">
        <v>0</v>
      </c>
      <c r="N1122">
        <v>0</v>
      </c>
      <c r="O1122" s="17">
        <v>50482</v>
      </c>
      <c r="Q1122">
        <f>180-105</f>
        <v>75</v>
      </c>
      <c r="R1122" t="s">
        <v>39</v>
      </c>
      <c r="T1122">
        <v>28.5</v>
      </c>
      <c r="W1122">
        <v>21.5</v>
      </c>
      <c r="X1122">
        <v>41.5</v>
      </c>
      <c r="Z1122" t="s">
        <v>32</v>
      </c>
      <c r="AB1122" t="s">
        <v>121</v>
      </c>
      <c r="AC1122" t="s">
        <v>122</v>
      </c>
    </row>
    <row r="1123" spans="1:30" x14ac:dyDescent="0.2">
      <c r="A1123" s="3">
        <v>42585</v>
      </c>
      <c r="B1123" t="s">
        <v>23</v>
      </c>
      <c r="C1123">
        <v>113</v>
      </c>
      <c r="D1123">
        <v>7</v>
      </c>
      <c r="E1123">
        <v>2</v>
      </c>
      <c r="F1123" t="s">
        <v>64</v>
      </c>
      <c r="G1123" t="s">
        <v>25</v>
      </c>
      <c r="H1123" t="s">
        <v>26</v>
      </c>
      <c r="I1123" t="s">
        <v>139</v>
      </c>
      <c r="J1123" t="s">
        <v>28</v>
      </c>
      <c r="K1123" t="s">
        <v>29</v>
      </c>
      <c r="L1123" t="s">
        <v>35</v>
      </c>
      <c r="M1123">
        <v>0</v>
      </c>
      <c r="N1123">
        <v>0</v>
      </c>
      <c r="O1123" s="17">
        <v>50482</v>
      </c>
      <c r="Q1123">
        <f>136-48</f>
        <v>88</v>
      </c>
      <c r="R1123" t="s">
        <v>39</v>
      </c>
      <c r="T1123">
        <v>31</v>
      </c>
      <c r="Z1123" t="s">
        <v>32</v>
      </c>
      <c r="AB1123" t="s">
        <v>53</v>
      </c>
      <c r="AC1123" t="s">
        <v>122</v>
      </c>
      <c r="AD1123" t="s">
        <v>926</v>
      </c>
    </row>
    <row r="1124" spans="1:30" x14ac:dyDescent="0.2">
      <c r="A1124" s="3">
        <v>42587</v>
      </c>
      <c r="B1124" t="s">
        <v>23</v>
      </c>
      <c r="C1124">
        <v>113</v>
      </c>
      <c r="D1124">
        <v>5</v>
      </c>
      <c r="E1124">
        <v>1</v>
      </c>
      <c r="F1124" t="s">
        <v>64</v>
      </c>
      <c r="G1124" t="s">
        <v>25</v>
      </c>
      <c r="H1124" t="s">
        <v>26</v>
      </c>
      <c r="I1124" t="s">
        <v>139</v>
      </c>
      <c r="J1124" t="s">
        <v>28</v>
      </c>
      <c r="K1124" t="s">
        <v>29</v>
      </c>
      <c r="L1124" t="s">
        <v>35</v>
      </c>
      <c r="M1124">
        <v>0</v>
      </c>
      <c r="N1124">
        <v>0</v>
      </c>
      <c r="O1124" s="17" t="s">
        <v>1056</v>
      </c>
      <c r="Q1124">
        <f>136-48</f>
        <v>88</v>
      </c>
      <c r="R1124" t="s">
        <v>39</v>
      </c>
      <c r="T1124">
        <v>31</v>
      </c>
      <c r="Z1124" t="s">
        <v>32</v>
      </c>
      <c r="AB1124" t="s">
        <v>53</v>
      </c>
      <c r="AC1124" t="s">
        <v>254</v>
      </c>
      <c r="AD1124" t="s">
        <v>1177</v>
      </c>
    </row>
    <row r="1125" spans="1:30" x14ac:dyDescent="0.2">
      <c r="A1125" s="3">
        <v>42588</v>
      </c>
      <c r="B1125" t="s">
        <v>23</v>
      </c>
      <c r="C1125">
        <v>113</v>
      </c>
      <c r="D1125">
        <v>3</v>
      </c>
      <c r="E1125">
        <v>2</v>
      </c>
      <c r="F1125" t="s">
        <v>24</v>
      </c>
      <c r="G1125" t="s">
        <v>25</v>
      </c>
      <c r="H1125" t="s">
        <v>26</v>
      </c>
      <c r="I1125" t="s">
        <v>139</v>
      </c>
      <c r="J1125" t="s">
        <v>28</v>
      </c>
      <c r="K1125" t="s">
        <v>123</v>
      </c>
      <c r="L1125" t="s">
        <v>35</v>
      </c>
      <c r="M1125">
        <v>0</v>
      </c>
      <c r="N1125">
        <v>0</v>
      </c>
      <c r="O1125" s="17" t="s">
        <v>1056</v>
      </c>
      <c r="Q1125">
        <f>175-90</f>
        <v>85</v>
      </c>
      <c r="R1125" t="s">
        <v>63</v>
      </c>
      <c r="T1125">
        <v>29</v>
      </c>
      <c r="W1125">
        <v>21.8</v>
      </c>
      <c r="X1125">
        <v>44.5</v>
      </c>
      <c r="Z1125" t="s">
        <v>32</v>
      </c>
      <c r="AB1125" t="s">
        <v>121</v>
      </c>
      <c r="AC1125" t="s">
        <v>59</v>
      </c>
      <c r="AD1125" t="s">
        <v>1057</v>
      </c>
    </row>
    <row r="1126" spans="1:30" x14ac:dyDescent="0.2">
      <c r="A1126" s="3">
        <v>42589</v>
      </c>
      <c r="B1126" t="s">
        <v>23</v>
      </c>
      <c r="C1126">
        <v>113</v>
      </c>
      <c r="D1126">
        <v>4</v>
      </c>
      <c r="E1126">
        <v>2</v>
      </c>
      <c r="F1126" t="s">
        <v>24</v>
      </c>
      <c r="G1126" t="s">
        <v>25</v>
      </c>
      <c r="H1126" t="s">
        <v>26</v>
      </c>
      <c r="I1126" t="s">
        <v>139</v>
      </c>
      <c r="J1126" t="s">
        <v>28</v>
      </c>
      <c r="K1126" t="s">
        <v>29</v>
      </c>
      <c r="L1126" t="s">
        <v>35</v>
      </c>
      <c r="M1126">
        <v>0</v>
      </c>
      <c r="N1126">
        <v>0</v>
      </c>
      <c r="O1126" s="17" t="s">
        <v>1056</v>
      </c>
      <c r="Q1126">
        <v>90</v>
      </c>
      <c r="R1126" t="s">
        <v>63</v>
      </c>
      <c r="T1126">
        <v>32</v>
      </c>
      <c r="W1126">
        <v>22</v>
      </c>
      <c r="X1126">
        <v>41.5</v>
      </c>
      <c r="Z1126" t="s">
        <v>32</v>
      </c>
      <c r="AB1126" t="s">
        <v>121</v>
      </c>
      <c r="AC1126" t="s">
        <v>59</v>
      </c>
    </row>
    <row r="1127" spans="1:30" x14ac:dyDescent="0.2">
      <c r="A1127" s="3">
        <v>42600</v>
      </c>
      <c r="B1127" t="s">
        <v>23</v>
      </c>
      <c r="C1127">
        <v>113</v>
      </c>
      <c r="D1127">
        <v>3</v>
      </c>
      <c r="E1127">
        <v>1</v>
      </c>
      <c r="F1127" t="s">
        <v>66</v>
      </c>
      <c r="G1127" t="s">
        <v>25</v>
      </c>
      <c r="H1127" t="s">
        <v>26</v>
      </c>
      <c r="I1127" t="s">
        <v>139</v>
      </c>
      <c r="J1127" t="s">
        <v>28</v>
      </c>
      <c r="K1127" t="s">
        <v>29</v>
      </c>
      <c r="M1127">
        <v>0</v>
      </c>
      <c r="N1127">
        <v>0</v>
      </c>
      <c r="O1127" s="17" t="s">
        <v>1056</v>
      </c>
      <c r="Q1127">
        <v>93</v>
      </c>
      <c r="T1127">
        <v>35</v>
      </c>
      <c r="W1127">
        <v>21.8</v>
      </c>
      <c r="X1127">
        <v>41.8</v>
      </c>
      <c r="Y1127" t="s">
        <v>1613</v>
      </c>
    </row>
    <row r="1128" spans="1:30" x14ac:dyDescent="0.2">
      <c r="A1128" s="3">
        <v>42543</v>
      </c>
      <c r="B1128" t="s">
        <v>23</v>
      </c>
      <c r="C1128">
        <v>113</v>
      </c>
      <c r="D1128">
        <v>4</v>
      </c>
      <c r="E1128">
        <v>1</v>
      </c>
      <c r="F1128" t="s">
        <v>24</v>
      </c>
      <c r="G1128" t="s">
        <v>25</v>
      </c>
      <c r="H1128" t="s">
        <v>26</v>
      </c>
      <c r="I1128" t="s">
        <v>139</v>
      </c>
      <c r="J1128" t="s">
        <v>34</v>
      </c>
      <c r="K1128" t="s">
        <v>29</v>
      </c>
      <c r="L1128" t="s">
        <v>35</v>
      </c>
      <c r="M1128">
        <v>0</v>
      </c>
      <c r="N1128">
        <v>1</v>
      </c>
      <c r="O1128" s="17">
        <v>50484</v>
      </c>
      <c r="Q1128">
        <f>185-90</f>
        <v>95</v>
      </c>
      <c r="R1128" t="s">
        <v>39</v>
      </c>
      <c r="S1128" t="s">
        <v>32</v>
      </c>
      <c r="T1128">
        <v>32</v>
      </c>
      <c r="W1128">
        <v>21.1</v>
      </c>
      <c r="X1128">
        <v>40.5</v>
      </c>
      <c r="Z1128" t="s">
        <v>32</v>
      </c>
      <c r="AB1128" t="s">
        <v>53</v>
      </c>
      <c r="AC1128" t="s">
        <v>59</v>
      </c>
    </row>
    <row r="1129" spans="1:30" x14ac:dyDescent="0.2">
      <c r="A1129" s="3">
        <v>42543</v>
      </c>
      <c r="B1129" t="s">
        <v>23</v>
      </c>
      <c r="C1129">
        <v>113</v>
      </c>
      <c r="D1129">
        <v>7</v>
      </c>
      <c r="E1129">
        <v>1</v>
      </c>
      <c r="F1129" t="s">
        <v>24</v>
      </c>
      <c r="G1129" t="s">
        <v>25</v>
      </c>
      <c r="H1129" t="s">
        <v>26</v>
      </c>
      <c r="I1129" t="s">
        <v>139</v>
      </c>
      <c r="J1129" t="s">
        <v>34</v>
      </c>
      <c r="K1129" t="s">
        <v>29</v>
      </c>
      <c r="L1129" t="s">
        <v>35</v>
      </c>
      <c r="M1129">
        <v>0</v>
      </c>
      <c r="N1129">
        <v>1</v>
      </c>
      <c r="O1129" s="17">
        <v>50487</v>
      </c>
      <c r="Q1129">
        <v>110</v>
      </c>
      <c r="R1129" t="s">
        <v>39</v>
      </c>
      <c r="S1129" t="s">
        <v>32</v>
      </c>
      <c r="T1129">
        <v>34</v>
      </c>
      <c r="W1129">
        <v>23.9</v>
      </c>
      <c r="X1129">
        <v>45.5</v>
      </c>
      <c r="Z1129" t="s">
        <v>32</v>
      </c>
      <c r="AB1129" t="s">
        <v>53</v>
      </c>
      <c r="AC1129" t="s">
        <v>59</v>
      </c>
    </row>
    <row r="1130" spans="1:30" x14ac:dyDescent="0.2">
      <c r="A1130" s="3">
        <v>42542</v>
      </c>
      <c r="B1130" t="s">
        <v>23</v>
      </c>
      <c r="C1130">
        <v>113</v>
      </c>
      <c r="D1130">
        <v>4</v>
      </c>
      <c r="E1130">
        <v>1</v>
      </c>
      <c r="F1130" t="s">
        <v>24</v>
      </c>
      <c r="G1130" t="s">
        <v>25</v>
      </c>
      <c r="H1130" t="s">
        <v>26</v>
      </c>
      <c r="I1130" t="s">
        <v>139</v>
      </c>
      <c r="J1130" t="s">
        <v>34</v>
      </c>
      <c r="K1130" t="s">
        <v>123</v>
      </c>
      <c r="L1130" t="s">
        <v>30</v>
      </c>
      <c r="M1130">
        <v>0</v>
      </c>
      <c r="N1130">
        <v>1</v>
      </c>
      <c r="O1130" s="17">
        <v>50493</v>
      </c>
      <c r="Q1130">
        <f>168-90</f>
        <v>78</v>
      </c>
      <c r="R1130" t="s">
        <v>31</v>
      </c>
      <c r="S1130" t="s">
        <v>32</v>
      </c>
      <c r="T1130">
        <v>31</v>
      </c>
      <c r="W1130">
        <v>21.2</v>
      </c>
      <c r="X1130">
        <v>41.5</v>
      </c>
      <c r="Z1130" t="s">
        <v>32</v>
      </c>
      <c r="AB1130" t="s">
        <v>44</v>
      </c>
      <c r="AC1130" t="s">
        <v>122</v>
      </c>
    </row>
    <row r="1131" spans="1:30" x14ac:dyDescent="0.2">
      <c r="A1131" s="3">
        <v>42558</v>
      </c>
      <c r="B1131" t="s">
        <v>23</v>
      </c>
      <c r="C1131">
        <v>113</v>
      </c>
      <c r="D1131">
        <v>8</v>
      </c>
      <c r="E1131">
        <v>1</v>
      </c>
      <c r="F1131" t="s">
        <v>33</v>
      </c>
      <c r="G1131" t="s">
        <v>25</v>
      </c>
      <c r="H1131" t="s">
        <v>26</v>
      </c>
      <c r="I1131" t="s">
        <v>139</v>
      </c>
      <c r="J1131" t="s">
        <v>28</v>
      </c>
      <c r="K1131" t="s">
        <v>29</v>
      </c>
      <c r="L1131" t="s">
        <v>30</v>
      </c>
      <c r="M1131">
        <v>0</v>
      </c>
      <c r="N1131">
        <v>0</v>
      </c>
      <c r="O1131" s="17">
        <v>50493</v>
      </c>
      <c r="Q1131">
        <f>132-50</f>
        <v>82</v>
      </c>
      <c r="R1131" t="s">
        <v>83</v>
      </c>
      <c r="S1131" t="s">
        <v>145</v>
      </c>
      <c r="T1131">
        <v>30</v>
      </c>
      <c r="W1131">
        <v>21.6</v>
      </c>
      <c r="X1131">
        <v>39.6</v>
      </c>
      <c r="Z1131" t="s">
        <v>32</v>
      </c>
      <c r="AB1131" t="s">
        <v>121</v>
      </c>
      <c r="AC1131" t="s">
        <v>254</v>
      </c>
    </row>
    <row r="1132" spans="1:30" x14ac:dyDescent="0.2">
      <c r="A1132" s="3">
        <v>42564</v>
      </c>
      <c r="B1132" t="s">
        <v>23</v>
      </c>
      <c r="C1132">
        <v>801</v>
      </c>
      <c r="D1132">
        <v>5</v>
      </c>
      <c r="E1132">
        <v>2</v>
      </c>
      <c r="F1132" t="s">
        <v>33</v>
      </c>
      <c r="G1132" t="s">
        <v>25</v>
      </c>
      <c r="H1132" t="s">
        <v>26</v>
      </c>
      <c r="I1132" t="s">
        <v>139</v>
      </c>
      <c r="J1132" t="s">
        <v>34</v>
      </c>
      <c r="K1132" t="s">
        <v>29</v>
      </c>
      <c r="L1132" t="s">
        <v>30</v>
      </c>
      <c r="M1132">
        <v>0</v>
      </c>
      <c r="N1132">
        <v>1</v>
      </c>
      <c r="O1132" s="17">
        <v>50501</v>
      </c>
      <c r="Q1132">
        <f>132-50</f>
        <v>82</v>
      </c>
      <c r="R1132" t="s">
        <v>251</v>
      </c>
      <c r="S1132" t="s">
        <v>145</v>
      </c>
      <c r="T1132">
        <v>29</v>
      </c>
      <c r="W1132">
        <v>21.1</v>
      </c>
      <c r="X1132">
        <v>41.5</v>
      </c>
      <c r="Z1132" t="s">
        <v>32</v>
      </c>
      <c r="AB1132" t="s">
        <v>121</v>
      </c>
      <c r="AC1132" t="s">
        <v>122</v>
      </c>
    </row>
    <row r="1133" spans="1:30" x14ac:dyDescent="0.2">
      <c r="A1133" s="3">
        <v>42565</v>
      </c>
      <c r="B1133" t="s">
        <v>23</v>
      </c>
      <c r="C1133">
        <v>801</v>
      </c>
      <c r="D1133">
        <v>10</v>
      </c>
      <c r="E1133">
        <v>1</v>
      </c>
      <c r="F1133" t="s">
        <v>33</v>
      </c>
      <c r="G1133" t="s">
        <v>25</v>
      </c>
      <c r="H1133" t="s">
        <v>26</v>
      </c>
      <c r="I1133" t="s">
        <v>139</v>
      </c>
      <c r="J1133" t="s">
        <v>28</v>
      </c>
      <c r="K1133" t="s">
        <v>29</v>
      </c>
      <c r="L1133" t="s">
        <v>30</v>
      </c>
      <c r="M1133">
        <v>0</v>
      </c>
      <c r="N1133">
        <v>0</v>
      </c>
      <c r="O1133" s="17">
        <v>50501</v>
      </c>
      <c r="Q1133">
        <f>142-56</f>
        <v>86</v>
      </c>
      <c r="R1133" t="s">
        <v>75</v>
      </c>
      <c r="S1133" t="s">
        <v>145</v>
      </c>
      <c r="T1133">
        <v>32</v>
      </c>
      <c r="W1133">
        <v>20.9</v>
      </c>
      <c r="X1133">
        <v>41.6</v>
      </c>
      <c r="Z1133" t="s">
        <v>32</v>
      </c>
      <c r="AB1133" t="s">
        <v>121</v>
      </c>
      <c r="AC1133" t="s">
        <v>254</v>
      </c>
    </row>
    <row r="1134" spans="1:30" x14ac:dyDescent="0.2">
      <c r="A1134" s="3">
        <v>42593</v>
      </c>
      <c r="B1134" t="s">
        <v>23</v>
      </c>
      <c r="C1134">
        <v>801</v>
      </c>
      <c r="D1134">
        <v>8</v>
      </c>
      <c r="E1134">
        <v>2</v>
      </c>
      <c r="F1134" t="s">
        <v>64</v>
      </c>
      <c r="G1134" t="s">
        <v>25</v>
      </c>
      <c r="H1134" t="s">
        <v>26</v>
      </c>
      <c r="I1134" t="s">
        <v>139</v>
      </c>
      <c r="J1134" t="s">
        <v>28</v>
      </c>
      <c r="K1134" t="s">
        <v>29</v>
      </c>
      <c r="L1134" t="s">
        <v>30</v>
      </c>
      <c r="M1134">
        <v>0</v>
      </c>
      <c r="N1134">
        <v>0</v>
      </c>
      <c r="O1134" s="17" t="s">
        <v>1520</v>
      </c>
      <c r="Q1134">
        <f>146-50</f>
        <v>96</v>
      </c>
      <c r="R1134" t="s">
        <v>251</v>
      </c>
      <c r="S1134" t="s">
        <v>145</v>
      </c>
      <c r="T1134">
        <v>33</v>
      </c>
      <c r="W1134">
        <v>21.9</v>
      </c>
      <c r="X1134">
        <v>42.2</v>
      </c>
      <c r="Z1134" t="s">
        <v>145</v>
      </c>
      <c r="AA1134" t="s">
        <v>260</v>
      </c>
      <c r="AB1134" t="s">
        <v>44</v>
      </c>
      <c r="AC1134" t="s">
        <v>122</v>
      </c>
      <c r="AD1134" t="s">
        <v>1521</v>
      </c>
    </row>
    <row r="1135" spans="1:30" x14ac:dyDescent="0.2">
      <c r="A1135" s="3">
        <v>42563</v>
      </c>
      <c r="B1135" t="s">
        <v>23</v>
      </c>
      <c r="C1135">
        <v>801</v>
      </c>
      <c r="D1135">
        <v>8</v>
      </c>
      <c r="E1135">
        <v>2</v>
      </c>
      <c r="F1135" t="s">
        <v>33</v>
      </c>
      <c r="G1135" t="s">
        <v>25</v>
      </c>
      <c r="H1135" t="s">
        <v>26</v>
      </c>
      <c r="I1135" t="s">
        <v>139</v>
      </c>
      <c r="J1135" t="s">
        <v>34</v>
      </c>
      <c r="K1135" t="s">
        <v>29</v>
      </c>
      <c r="M1135">
        <v>0</v>
      </c>
      <c r="N1135">
        <v>1</v>
      </c>
      <c r="O1135" s="17">
        <v>50511</v>
      </c>
      <c r="Z1135" t="s">
        <v>32</v>
      </c>
      <c r="AB1135" t="s">
        <v>53</v>
      </c>
      <c r="AC1135" t="s">
        <v>122</v>
      </c>
    </row>
    <row r="1136" spans="1:30" x14ac:dyDescent="0.2">
      <c r="A1136" s="3">
        <v>42563</v>
      </c>
      <c r="B1136" t="s">
        <v>23</v>
      </c>
      <c r="C1136">
        <v>801</v>
      </c>
      <c r="D1136">
        <v>8</v>
      </c>
      <c r="E1136">
        <v>1</v>
      </c>
      <c r="F1136" t="s">
        <v>33</v>
      </c>
      <c r="G1136" t="s">
        <v>25</v>
      </c>
      <c r="H1136" t="s">
        <v>26</v>
      </c>
      <c r="I1136" t="s">
        <v>139</v>
      </c>
      <c r="J1136" t="s">
        <v>34</v>
      </c>
      <c r="K1136" t="s">
        <v>123</v>
      </c>
      <c r="L1136" t="s">
        <v>30</v>
      </c>
      <c r="M1136">
        <v>0</v>
      </c>
      <c r="N1136">
        <v>1</v>
      </c>
      <c r="O1136" s="17">
        <v>50512</v>
      </c>
      <c r="R1136" t="s">
        <v>31</v>
      </c>
      <c r="S1136" t="s">
        <v>32</v>
      </c>
      <c r="T1136">
        <v>29</v>
      </c>
      <c r="Z1136" t="s">
        <v>32</v>
      </c>
      <c r="AB1136" t="s">
        <v>53</v>
      </c>
      <c r="AC1136" t="s">
        <v>122</v>
      </c>
    </row>
    <row r="1137" spans="1:30" x14ac:dyDescent="0.2">
      <c r="A1137" s="3">
        <v>42565</v>
      </c>
      <c r="B1137" t="s">
        <v>23</v>
      </c>
      <c r="C1137">
        <v>801</v>
      </c>
      <c r="D1137">
        <v>10</v>
      </c>
      <c r="E1137">
        <v>2</v>
      </c>
      <c r="F1137" t="s">
        <v>33</v>
      </c>
      <c r="G1137" t="s">
        <v>25</v>
      </c>
      <c r="H1137" t="s">
        <v>26</v>
      </c>
      <c r="I1137" t="s">
        <v>139</v>
      </c>
      <c r="J1137" t="s">
        <v>28</v>
      </c>
      <c r="K1137" t="s">
        <v>123</v>
      </c>
      <c r="L1137" t="s">
        <v>30</v>
      </c>
      <c r="M1137">
        <v>0</v>
      </c>
      <c r="N1137">
        <v>0</v>
      </c>
      <c r="O1137" s="17">
        <v>50512</v>
      </c>
      <c r="Q1137">
        <f>130-58</f>
        <v>72</v>
      </c>
      <c r="R1137" t="s">
        <v>31</v>
      </c>
      <c r="S1137" t="s">
        <v>32</v>
      </c>
      <c r="T1137">
        <v>30</v>
      </c>
      <c r="W1137">
        <v>20.8</v>
      </c>
      <c r="X1137">
        <v>38.9</v>
      </c>
      <c r="Z1137" t="s">
        <v>32</v>
      </c>
      <c r="AB1137" t="s">
        <v>121</v>
      </c>
      <c r="AC1137" t="s">
        <v>254</v>
      </c>
    </row>
    <row r="1138" spans="1:30" x14ac:dyDescent="0.2">
      <c r="A1138" s="3">
        <v>42592</v>
      </c>
      <c r="B1138" t="s">
        <v>23</v>
      </c>
      <c r="C1138">
        <v>801</v>
      </c>
      <c r="D1138">
        <v>10</v>
      </c>
      <c r="E1138">
        <v>2</v>
      </c>
      <c r="F1138" t="s">
        <v>64</v>
      </c>
      <c r="G1138" t="s">
        <v>25</v>
      </c>
      <c r="H1138" t="s">
        <v>26</v>
      </c>
      <c r="I1138" t="s">
        <v>139</v>
      </c>
      <c r="J1138" t="s">
        <v>28</v>
      </c>
      <c r="K1138" t="s">
        <v>29</v>
      </c>
      <c r="L1138" t="s">
        <v>35</v>
      </c>
      <c r="M1138">
        <v>0</v>
      </c>
      <c r="N1138">
        <v>0</v>
      </c>
      <c r="O1138" s="17" t="s">
        <v>1453</v>
      </c>
      <c r="Q1138">
        <f>136-46</f>
        <v>90</v>
      </c>
      <c r="R1138" t="s">
        <v>63</v>
      </c>
      <c r="T1138">
        <v>30</v>
      </c>
      <c r="W1138">
        <v>21.5</v>
      </c>
      <c r="X1138">
        <v>41</v>
      </c>
      <c r="Z1138" t="s">
        <v>145</v>
      </c>
      <c r="AA1138" t="s">
        <v>260</v>
      </c>
      <c r="AB1138" t="s">
        <v>53</v>
      </c>
      <c r="AC1138" t="s">
        <v>59</v>
      </c>
      <c r="AD1138" t="s">
        <v>1454</v>
      </c>
    </row>
    <row r="1139" spans="1:30" x14ac:dyDescent="0.2">
      <c r="A1139" s="3">
        <v>42593</v>
      </c>
      <c r="B1139" t="s">
        <v>23</v>
      </c>
      <c r="C1139">
        <v>801</v>
      </c>
      <c r="D1139">
        <v>2</v>
      </c>
      <c r="E1139">
        <v>2</v>
      </c>
      <c r="F1139" t="s">
        <v>64</v>
      </c>
      <c r="G1139" t="s">
        <v>25</v>
      </c>
      <c r="H1139" t="s">
        <v>26</v>
      </c>
      <c r="I1139" t="s">
        <v>139</v>
      </c>
      <c r="J1139" t="s">
        <v>28</v>
      </c>
      <c r="K1139" t="s">
        <v>188</v>
      </c>
      <c r="L1139" t="s">
        <v>35</v>
      </c>
      <c r="M1139">
        <v>0</v>
      </c>
      <c r="N1139">
        <v>0</v>
      </c>
      <c r="O1139" s="17" t="s">
        <v>1453</v>
      </c>
      <c r="Q1139">
        <f>130-48</f>
        <v>82</v>
      </c>
      <c r="R1139" t="s">
        <v>63</v>
      </c>
      <c r="T1139">
        <v>32.5</v>
      </c>
      <c r="W1139">
        <v>22.2</v>
      </c>
      <c r="X1139">
        <v>41.1</v>
      </c>
      <c r="Y1139" t="s">
        <v>1502</v>
      </c>
      <c r="Z1139" t="s">
        <v>145</v>
      </c>
      <c r="AA1139" t="s">
        <v>260</v>
      </c>
      <c r="AB1139" t="s">
        <v>44</v>
      </c>
      <c r="AC1139" t="s">
        <v>122</v>
      </c>
      <c r="AD1139" t="s">
        <v>1503</v>
      </c>
    </row>
    <row r="1140" spans="1:30" x14ac:dyDescent="0.2">
      <c r="A1140" s="3">
        <v>42606</v>
      </c>
      <c r="B1140" t="s">
        <v>23</v>
      </c>
      <c r="C1140">
        <v>801</v>
      </c>
      <c r="D1140">
        <v>8</v>
      </c>
      <c r="E1140">
        <v>1</v>
      </c>
      <c r="F1140" t="s">
        <v>24</v>
      </c>
      <c r="G1140" t="s">
        <v>25</v>
      </c>
      <c r="H1140" t="s">
        <v>26</v>
      </c>
      <c r="I1140" t="s">
        <v>139</v>
      </c>
      <c r="J1140" t="s">
        <v>28</v>
      </c>
      <c r="K1140" t="s">
        <v>123</v>
      </c>
      <c r="L1140" t="s">
        <v>35</v>
      </c>
      <c r="M1140">
        <v>0</v>
      </c>
      <c r="N1140">
        <v>0</v>
      </c>
      <c r="O1140" s="17" t="s">
        <v>1453</v>
      </c>
      <c r="Q1140">
        <f>172-95</f>
        <v>77</v>
      </c>
      <c r="R1140" t="s">
        <v>63</v>
      </c>
      <c r="T1140">
        <v>29</v>
      </c>
      <c r="W1140">
        <v>21.6</v>
      </c>
      <c r="X1140">
        <v>41.5</v>
      </c>
      <c r="AB1140" t="s">
        <v>44</v>
      </c>
      <c r="AC1140" t="s">
        <v>59</v>
      </c>
      <c r="AD1140" t="s">
        <v>1933</v>
      </c>
    </row>
    <row r="1141" spans="1:30" x14ac:dyDescent="0.2">
      <c r="A1141" s="3">
        <v>42556</v>
      </c>
      <c r="B1141" t="s">
        <v>23</v>
      </c>
      <c r="C1141">
        <v>402</v>
      </c>
      <c r="D1141">
        <v>2</v>
      </c>
      <c r="E1141">
        <v>1</v>
      </c>
      <c r="F1141" t="s">
        <v>33</v>
      </c>
      <c r="G1141" t="s">
        <v>25</v>
      </c>
      <c r="H1141" t="s">
        <v>26</v>
      </c>
      <c r="I1141" t="s">
        <v>139</v>
      </c>
      <c r="J1141" t="s">
        <v>34</v>
      </c>
      <c r="K1141" t="s">
        <v>123</v>
      </c>
      <c r="L1141" t="s">
        <v>30</v>
      </c>
      <c r="M1141">
        <v>0</v>
      </c>
      <c r="N1141">
        <v>1</v>
      </c>
      <c r="O1141" s="17">
        <v>50551</v>
      </c>
      <c r="Q1141">
        <f>100-44</f>
        <v>56</v>
      </c>
      <c r="R1141" t="s">
        <v>31</v>
      </c>
      <c r="S1141" t="s">
        <v>32</v>
      </c>
      <c r="Z1141" t="s">
        <v>32</v>
      </c>
      <c r="AB1141" t="s">
        <v>53</v>
      </c>
      <c r="AC1141" t="s">
        <v>59</v>
      </c>
      <c r="AD1141" t="s">
        <v>277</v>
      </c>
    </row>
    <row r="1142" spans="1:30" x14ac:dyDescent="0.2">
      <c r="A1142" s="3">
        <v>42557</v>
      </c>
      <c r="B1142" t="s">
        <v>23</v>
      </c>
      <c r="C1142">
        <v>402</v>
      </c>
      <c r="D1142">
        <v>1</v>
      </c>
      <c r="E1142">
        <v>2</v>
      </c>
      <c r="F1142" t="s">
        <v>33</v>
      </c>
      <c r="G1142" t="s">
        <v>25</v>
      </c>
      <c r="H1142" t="s">
        <v>26</v>
      </c>
      <c r="I1142" t="s">
        <v>139</v>
      </c>
      <c r="J1142" t="s">
        <v>28</v>
      </c>
      <c r="K1142" t="s">
        <v>123</v>
      </c>
      <c r="L1142" t="s">
        <v>30</v>
      </c>
      <c r="M1142">
        <v>0</v>
      </c>
      <c r="N1142">
        <v>0</v>
      </c>
      <c r="O1142" s="17">
        <v>50551</v>
      </c>
      <c r="Q1142">
        <f>107-48</f>
        <v>59</v>
      </c>
      <c r="R1142" t="s">
        <v>31</v>
      </c>
      <c r="S1142" t="s">
        <v>32</v>
      </c>
      <c r="T1142">
        <v>29</v>
      </c>
      <c r="Z1142" t="s">
        <v>32</v>
      </c>
      <c r="AB1142" t="s">
        <v>44</v>
      </c>
      <c r="AC1142" t="s">
        <v>122</v>
      </c>
    </row>
    <row r="1143" spans="1:30" x14ac:dyDescent="0.2">
      <c r="A1143" s="3">
        <v>42541</v>
      </c>
      <c r="B1143" t="s">
        <v>23</v>
      </c>
      <c r="C1143">
        <v>113</v>
      </c>
      <c r="D1143">
        <v>3</v>
      </c>
      <c r="E1143">
        <v>1</v>
      </c>
      <c r="F1143" t="s">
        <v>24</v>
      </c>
      <c r="G1143" t="s">
        <v>25</v>
      </c>
      <c r="H1143" t="s">
        <v>26</v>
      </c>
      <c r="I1143" t="s">
        <v>139</v>
      </c>
      <c r="J1143" t="s">
        <v>34</v>
      </c>
      <c r="K1143" t="s">
        <v>123</v>
      </c>
      <c r="L1143" t="s">
        <v>30</v>
      </c>
      <c r="M1143">
        <v>0</v>
      </c>
      <c r="N1143">
        <v>1</v>
      </c>
      <c r="O1143" s="17">
        <v>50599</v>
      </c>
      <c r="Q1143">
        <f>158-90</f>
        <v>68</v>
      </c>
      <c r="R1143" t="s">
        <v>31</v>
      </c>
      <c r="S1143" t="s">
        <v>32</v>
      </c>
      <c r="T1143">
        <v>29</v>
      </c>
      <c r="W1143">
        <v>20.5</v>
      </c>
      <c r="X1143">
        <v>39.5</v>
      </c>
      <c r="Z1143" t="s">
        <v>32</v>
      </c>
      <c r="AB1143" t="s">
        <v>255</v>
      </c>
      <c r="AC1143" t="s">
        <v>254</v>
      </c>
    </row>
    <row r="1144" spans="1:30" x14ac:dyDescent="0.2">
      <c r="A1144" s="3">
        <v>42549</v>
      </c>
      <c r="B1144" t="s">
        <v>23</v>
      </c>
      <c r="C1144">
        <v>801</v>
      </c>
      <c r="D1144">
        <v>5</v>
      </c>
      <c r="E1144">
        <v>1</v>
      </c>
      <c r="F1144" t="s">
        <v>24</v>
      </c>
      <c r="G1144" t="s">
        <v>25</v>
      </c>
      <c r="H1144" t="s">
        <v>26</v>
      </c>
      <c r="I1144" t="s">
        <v>139</v>
      </c>
      <c r="J1144" t="s">
        <v>34</v>
      </c>
      <c r="K1144" t="s">
        <v>123</v>
      </c>
      <c r="L1144" t="s">
        <v>30</v>
      </c>
      <c r="M1144">
        <v>0</v>
      </c>
      <c r="N1144">
        <v>1</v>
      </c>
      <c r="O1144" s="17">
        <v>50625</v>
      </c>
      <c r="Q1144">
        <f>160-90</f>
        <v>70</v>
      </c>
      <c r="R1144" t="s">
        <v>31</v>
      </c>
      <c r="S1144" t="s">
        <v>32</v>
      </c>
      <c r="T1144">
        <v>32</v>
      </c>
      <c r="W1144">
        <v>20</v>
      </c>
      <c r="X1144">
        <v>38.5</v>
      </c>
      <c r="Z1144" t="s">
        <v>32</v>
      </c>
      <c r="AB1144" t="s">
        <v>121</v>
      </c>
      <c r="AC1144" t="s">
        <v>122</v>
      </c>
    </row>
    <row r="1145" spans="1:30" x14ac:dyDescent="0.2">
      <c r="A1145" s="3">
        <v>42550</v>
      </c>
      <c r="B1145" t="s">
        <v>23</v>
      </c>
      <c r="C1145">
        <v>801</v>
      </c>
      <c r="D1145">
        <v>7</v>
      </c>
      <c r="E1145">
        <v>1</v>
      </c>
      <c r="F1145" t="s">
        <v>24</v>
      </c>
      <c r="G1145" t="s">
        <v>25</v>
      </c>
      <c r="H1145" t="s">
        <v>26</v>
      </c>
      <c r="I1145" t="s">
        <v>139</v>
      </c>
      <c r="J1145" t="s">
        <v>28</v>
      </c>
      <c r="K1145" t="s">
        <v>123</v>
      </c>
      <c r="L1145" t="s">
        <v>30</v>
      </c>
      <c r="M1145">
        <v>0</v>
      </c>
      <c r="N1145">
        <v>0</v>
      </c>
      <c r="O1145" s="17">
        <v>50625</v>
      </c>
      <c r="Q1145">
        <f>160-90</f>
        <v>70</v>
      </c>
      <c r="R1145" t="s">
        <v>31</v>
      </c>
      <c r="S1145" t="s">
        <v>32</v>
      </c>
      <c r="T1145">
        <v>32</v>
      </c>
      <c r="W1145">
        <v>19.5</v>
      </c>
      <c r="X1145">
        <v>40.5</v>
      </c>
      <c r="Z1145" t="s">
        <v>32</v>
      </c>
      <c r="AB1145" t="s">
        <v>53</v>
      </c>
      <c r="AC1145" t="s">
        <v>59</v>
      </c>
    </row>
    <row r="1146" spans="1:30" x14ac:dyDescent="0.2">
      <c r="A1146" s="3">
        <v>42551</v>
      </c>
      <c r="B1146" t="s">
        <v>23</v>
      </c>
      <c r="C1146">
        <v>801</v>
      </c>
      <c r="D1146">
        <v>8</v>
      </c>
      <c r="E1146">
        <v>1</v>
      </c>
      <c r="F1146" t="s">
        <v>24</v>
      </c>
      <c r="G1146" t="s">
        <v>25</v>
      </c>
      <c r="H1146" t="s">
        <v>26</v>
      </c>
      <c r="I1146" t="s">
        <v>139</v>
      </c>
      <c r="J1146" t="s">
        <v>28</v>
      </c>
      <c r="K1146" t="s">
        <v>123</v>
      </c>
      <c r="L1146" t="s">
        <v>30</v>
      </c>
      <c r="M1146">
        <v>0</v>
      </c>
      <c r="N1146">
        <v>0</v>
      </c>
      <c r="O1146" s="17">
        <v>50625</v>
      </c>
      <c r="Q1146">
        <f>160-90</f>
        <v>70</v>
      </c>
      <c r="R1146" t="s">
        <v>31</v>
      </c>
      <c r="S1146" t="s">
        <v>32</v>
      </c>
      <c r="T1146">
        <v>34</v>
      </c>
      <c r="W1146">
        <v>19.8</v>
      </c>
      <c r="X1146">
        <v>41</v>
      </c>
      <c r="Z1146" t="s">
        <v>32</v>
      </c>
      <c r="AB1146" t="s">
        <v>44</v>
      </c>
      <c r="AC1146" t="s">
        <v>116</v>
      </c>
      <c r="AD1146" t="s">
        <v>345</v>
      </c>
    </row>
    <row r="1147" spans="1:30" x14ac:dyDescent="0.2">
      <c r="A1147" s="3">
        <v>42575</v>
      </c>
      <c r="B1147" t="s">
        <v>23</v>
      </c>
      <c r="C1147">
        <v>801</v>
      </c>
      <c r="D1147">
        <v>5</v>
      </c>
      <c r="E1147">
        <v>1</v>
      </c>
      <c r="F1147" t="s">
        <v>24</v>
      </c>
      <c r="G1147" t="s">
        <v>25</v>
      </c>
      <c r="H1147" t="s">
        <v>26</v>
      </c>
      <c r="I1147" t="s">
        <v>139</v>
      </c>
      <c r="J1147" t="s">
        <v>28</v>
      </c>
      <c r="K1147" t="s">
        <v>29</v>
      </c>
      <c r="L1147" t="s">
        <v>35</v>
      </c>
      <c r="M1147">
        <v>0</v>
      </c>
      <c r="N1147">
        <v>0</v>
      </c>
      <c r="O1147" s="17">
        <v>50677</v>
      </c>
      <c r="P1147" s="17">
        <v>50676</v>
      </c>
      <c r="Q1147">
        <f>32-10.5</f>
        <v>21.5</v>
      </c>
      <c r="R1147" t="s">
        <v>39</v>
      </c>
      <c r="T1147">
        <v>18</v>
      </c>
      <c r="U1147">
        <v>87.5</v>
      </c>
      <c r="V1147">
        <v>16</v>
      </c>
      <c r="W1147">
        <v>13.7</v>
      </c>
      <c r="X1147">
        <v>24.5</v>
      </c>
      <c r="Z1147" t="s">
        <v>32</v>
      </c>
      <c r="AB1147" t="s">
        <v>582</v>
      </c>
      <c r="AC1147" t="s">
        <v>59</v>
      </c>
    </row>
    <row r="1148" spans="1:30" x14ac:dyDescent="0.2">
      <c r="A1148" s="3">
        <v>42550</v>
      </c>
      <c r="B1148" t="s">
        <v>23</v>
      </c>
      <c r="C1148">
        <v>801</v>
      </c>
      <c r="D1148">
        <v>8</v>
      </c>
      <c r="E1148">
        <v>1</v>
      </c>
      <c r="F1148" t="s">
        <v>24</v>
      </c>
      <c r="G1148" t="s">
        <v>25</v>
      </c>
      <c r="H1148" t="s">
        <v>26</v>
      </c>
      <c r="I1148" t="s">
        <v>139</v>
      </c>
      <c r="J1148" t="s">
        <v>34</v>
      </c>
      <c r="K1148" t="s">
        <v>29</v>
      </c>
      <c r="L1148" t="s">
        <v>35</v>
      </c>
      <c r="M1148">
        <v>0</v>
      </c>
      <c r="N1148">
        <v>1</v>
      </c>
      <c r="O1148" s="17">
        <v>50695</v>
      </c>
      <c r="Q1148">
        <f>180-90</f>
        <v>90</v>
      </c>
      <c r="R1148" t="s">
        <v>63</v>
      </c>
      <c r="T1148">
        <v>30</v>
      </c>
      <c r="W1148">
        <v>22.5</v>
      </c>
      <c r="X1148">
        <v>42.4</v>
      </c>
      <c r="Z1148" t="s">
        <v>32</v>
      </c>
      <c r="AB1148" t="s">
        <v>53</v>
      </c>
      <c r="AC1148" t="s">
        <v>59</v>
      </c>
    </row>
    <row r="1149" spans="1:30" x14ac:dyDescent="0.2">
      <c r="A1149" s="3">
        <v>42564</v>
      </c>
      <c r="B1149" t="s">
        <v>23</v>
      </c>
      <c r="C1149">
        <v>801</v>
      </c>
      <c r="D1149">
        <v>8</v>
      </c>
      <c r="E1149">
        <v>2</v>
      </c>
      <c r="F1149" t="s">
        <v>33</v>
      </c>
      <c r="G1149" t="s">
        <v>25</v>
      </c>
      <c r="H1149" t="s">
        <v>26</v>
      </c>
      <c r="I1149" t="s">
        <v>139</v>
      </c>
      <c r="J1149" t="s">
        <v>28</v>
      </c>
      <c r="K1149" t="s">
        <v>29</v>
      </c>
      <c r="L1149" t="s">
        <v>35</v>
      </c>
      <c r="M1149">
        <v>0</v>
      </c>
      <c r="N1149">
        <v>0</v>
      </c>
      <c r="O1149" s="17">
        <v>50695</v>
      </c>
      <c r="Q1149">
        <f>136-48</f>
        <v>88</v>
      </c>
      <c r="R1149" t="s">
        <v>39</v>
      </c>
      <c r="T1149">
        <v>30</v>
      </c>
      <c r="Z1149" t="s">
        <v>32</v>
      </c>
      <c r="AB1149" t="s">
        <v>121</v>
      </c>
      <c r="AC1149" t="s">
        <v>122</v>
      </c>
    </row>
    <row r="1150" spans="1:30" x14ac:dyDescent="0.2">
      <c r="A1150" s="3">
        <v>42574</v>
      </c>
      <c r="B1150" t="s">
        <v>23</v>
      </c>
      <c r="C1150">
        <v>801</v>
      </c>
      <c r="D1150">
        <v>8</v>
      </c>
      <c r="E1150">
        <v>2</v>
      </c>
      <c r="F1150" t="s">
        <v>24</v>
      </c>
      <c r="G1150" t="s">
        <v>25</v>
      </c>
      <c r="H1150" t="s">
        <v>26</v>
      </c>
      <c r="I1150" t="s">
        <v>139</v>
      </c>
      <c r="J1150" t="s">
        <v>28</v>
      </c>
      <c r="K1150" t="s">
        <v>29</v>
      </c>
      <c r="L1150" t="s">
        <v>35</v>
      </c>
      <c r="M1150">
        <v>0</v>
      </c>
      <c r="N1150">
        <v>0</v>
      </c>
      <c r="O1150" s="17">
        <v>50695</v>
      </c>
      <c r="Q1150">
        <f>195-105</f>
        <v>90</v>
      </c>
      <c r="R1150" t="s">
        <v>63</v>
      </c>
      <c r="T1150">
        <v>31</v>
      </c>
      <c r="W1150">
        <v>22.7</v>
      </c>
      <c r="X1150">
        <v>41.3</v>
      </c>
      <c r="Z1150" t="s">
        <v>32</v>
      </c>
      <c r="AB1150" t="s">
        <v>582</v>
      </c>
      <c r="AC1150" t="s">
        <v>59</v>
      </c>
    </row>
    <row r="1151" spans="1:30" x14ac:dyDescent="0.2">
      <c r="A1151" s="3">
        <v>42575</v>
      </c>
      <c r="B1151" t="s">
        <v>23</v>
      </c>
      <c r="C1151">
        <v>801</v>
      </c>
      <c r="D1151">
        <v>8</v>
      </c>
      <c r="E1151">
        <v>2</v>
      </c>
      <c r="F1151" t="s">
        <v>24</v>
      </c>
      <c r="G1151" t="s">
        <v>25</v>
      </c>
      <c r="H1151" t="s">
        <v>26</v>
      </c>
      <c r="I1151" t="s">
        <v>139</v>
      </c>
      <c r="J1151" t="s">
        <v>28</v>
      </c>
      <c r="K1151" t="s">
        <v>123</v>
      </c>
      <c r="L1151" t="s">
        <v>35</v>
      </c>
      <c r="M1151">
        <v>0</v>
      </c>
      <c r="N1151">
        <v>0</v>
      </c>
      <c r="O1151" s="17">
        <v>50695</v>
      </c>
      <c r="Q1151">
        <f>193-105</f>
        <v>88</v>
      </c>
      <c r="R1151" t="s">
        <v>63</v>
      </c>
      <c r="T1151">
        <v>30</v>
      </c>
      <c r="W1151">
        <v>22.7</v>
      </c>
      <c r="X1151">
        <v>42</v>
      </c>
      <c r="Z1151" t="s">
        <v>32</v>
      </c>
      <c r="AB1151" t="s">
        <v>582</v>
      </c>
      <c r="AC1151" t="s">
        <v>59</v>
      </c>
    </row>
    <row r="1152" spans="1:30" x14ac:dyDescent="0.2">
      <c r="A1152" s="3">
        <v>42593</v>
      </c>
      <c r="B1152" t="s">
        <v>23</v>
      </c>
      <c r="C1152">
        <v>801</v>
      </c>
      <c r="D1152">
        <v>7</v>
      </c>
      <c r="E1152">
        <v>1</v>
      </c>
      <c r="F1152" t="s">
        <v>64</v>
      </c>
      <c r="G1152" t="s">
        <v>25</v>
      </c>
      <c r="H1152" t="s">
        <v>26</v>
      </c>
      <c r="I1152" t="s">
        <v>139</v>
      </c>
      <c r="J1152" t="s">
        <v>28</v>
      </c>
      <c r="K1152" t="s">
        <v>29</v>
      </c>
      <c r="L1152" t="s">
        <v>35</v>
      </c>
      <c r="M1152">
        <v>0</v>
      </c>
      <c r="N1152">
        <v>0</v>
      </c>
      <c r="O1152" s="17" t="s">
        <v>1515</v>
      </c>
      <c r="Q1152">
        <f>148-49</f>
        <v>99</v>
      </c>
      <c r="R1152" t="s">
        <v>63</v>
      </c>
      <c r="T1152">
        <v>29</v>
      </c>
      <c r="W1152">
        <v>22</v>
      </c>
      <c r="X1152">
        <v>41.6</v>
      </c>
      <c r="Z1152" t="s">
        <v>32</v>
      </c>
      <c r="AB1152" t="s">
        <v>44</v>
      </c>
      <c r="AC1152" t="s">
        <v>122</v>
      </c>
      <c r="AD1152" t="s">
        <v>1516</v>
      </c>
    </row>
    <row r="1153" spans="1:30" x14ac:dyDescent="0.2">
      <c r="A1153" s="3">
        <v>42563</v>
      </c>
      <c r="B1153" t="s">
        <v>23</v>
      </c>
      <c r="C1153">
        <v>503</v>
      </c>
      <c r="D1153">
        <v>1</v>
      </c>
      <c r="E1153">
        <v>1</v>
      </c>
      <c r="F1153" t="s">
        <v>24</v>
      </c>
      <c r="G1153" t="s">
        <v>25</v>
      </c>
      <c r="H1153" t="s">
        <v>26</v>
      </c>
      <c r="I1153" t="s">
        <v>139</v>
      </c>
      <c r="J1153" t="s">
        <v>34</v>
      </c>
      <c r="K1153" t="s">
        <v>29</v>
      </c>
      <c r="L1153" t="s">
        <v>35</v>
      </c>
      <c r="M1153">
        <v>0</v>
      </c>
      <c r="N1153">
        <v>1</v>
      </c>
      <c r="O1153" s="17">
        <v>50730</v>
      </c>
      <c r="Q1153">
        <v>100</v>
      </c>
      <c r="R1153" t="s">
        <v>63</v>
      </c>
      <c r="T1153">
        <v>35</v>
      </c>
      <c r="W1153">
        <v>21.5</v>
      </c>
      <c r="X1153">
        <v>43.7</v>
      </c>
      <c r="Z1153" t="s">
        <v>32</v>
      </c>
      <c r="AB1153" t="s">
        <v>53</v>
      </c>
      <c r="AC1153" t="s">
        <v>122</v>
      </c>
    </row>
    <row r="1154" spans="1:30" x14ac:dyDescent="0.2">
      <c r="A1154" s="3">
        <v>42585</v>
      </c>
      <c r="B1154" t="s">
        <v>23</v>
      </c>
      <c r="C1154">
        <v>403</v>
      </c>
      <c r="D1154">
        <v>4</v>
      </c>
      <c r="E1154">
        <v>2</v>
      </c>
      <c r="F1154" t="s">
        <v>24</v>
      </c>
      <c r="G1154" t="s">
        <v>25</v>
      </c>
      <c r="H1154" t="s">
        <v>26</v>
      </c>
      <c r="I1154" t="s">
        <v>139</v>
      </c>
      <c r="J1154" t="s">
        <v>28</v>
      </c>
      <c r="K1154" t="s">
        <v>29</v>
      </c>
      <c r="L1154" t="s">
        <v>35</v>
      </c>
      <c r="M1154">
        <v>0</v>
      </c>
      <c r="N1154">
        <v>0</v>
      </c>
      <c r="O1154" s="17">
        <v>50732</v>
      </c>
      <c r="Q1154">
        <v>90</v>
      </c>
      <c r="R1154" t="s">
        <v>63</v>
      </c>
      <c r="T1154">
        <v>30</v>
      </c>
      <c r="W1154">
        <v>22.5</v>
      </c>
      <c r="X1154">
        <v>44.3</v>
      </c>
      <c r="Z1154" t="s">
        <v>32</v>
      </c>
      <c r="AB1154" t="s">
        <v>44</v>
      </c>
      <c r="AC1154" t="s">
        <v>59</v>
      </c>
    </row>
    <row r="1155" spans="1:30" x14ac:dyDescent="0.2">
      <c r="A1155" s="3">
        <v>42564</v>
      </c>
      <c r="B1155" t="s">
        <v>23</v>
      </c>
      <c r="C1155">
        <v>501</v>
      </c>
      <c r="D1155">
        <v>1</v>
      </c>
      <c r="E1155">
        <v>1</v>
      </c>
      <c r="F1155" t="s">
        <v>24</v>
      </c>
      <c r="G1155" t="s">
        <v>25</v>
      </c>
      <c r="H1155" t="s">
        <v>26</v>
      </c>
      <c r="I1155" t="s">
        <v>139</v>
      </c>
      <c r="J1155" t="s">
        <v>34</v>
      </c>
      <c r="K1155" t="s">
        <v>123</v>
      </c>
      <c r="L1155" t="s">
        <v>30</v>
      </c>
      <c r="M1155">
        <v>0</v>
      </c>
      <c r="N1155">
        <v>1</v>
      </c>
      <c r="O1155" s="17">
        <v>50734</v>
      </c>
      <c r="Q1155">
        <f>145-95</f>
        <v>50</v>
      </c>
      <c r="R1155" t="s">
        <v>31</v>
      </c>
      <c r="S1155" t="s">
        <v>32</v>
      </c>
      <c r="T1155">
        <v>28</v>
      </c>
      <c r="W1155">
        <v>19.899999999999999</v>
      </c>
      <c r="X1155">
        <v>38.9</v>
      </c>
      <c r="Z1155" t="s">
        <v>32</v>
      </c>
    </row>
    <row r="1156" spans="1:30" x14ac:dyDescent="0.2">
      <c r="A1156" s="3">
        <v>42565</v>
      </c>
      <c r="B1156" t="s">
        <v>23</v>
      </c>
      <c r="C1156">
        <v>501</v>
      </c>
      <c r="D1156">
        <v>5</v>
      </c>
      <c r="E1156">
        <v>2</v>
      </c>
      <c r="F1156" t="s">
        <v>24</v>
      </c>
      <c r="G1156" t="s">
        <v>25</v>
      </c>
      <c r="H1156" t="s">
        <v>26</v>
      </c>
      <c r="I1156" t="s">
        <v>139</v>
      </c>
      <c r="J1156" t="s">
        <v>28</v>
      </c>
      <c r="K1156" t="s">
        <v>123</v>
      </c>
      <c r="L1156" t="s">
        <v>30</v>
      </c>
      <c r="M1156">
        <v>0</v>
      </c>
      <c r="N1156">
        <v>0</v>
      </c>
      <c r="O1156" s="17">
        <v>50734</v>
      </c>
      <c r="Q1156">
        <f>150-100</f>
        <v>50</v>
      </c>
      <c r="R1156" t="s">
        <v>31</v>
      </c>
      <c r="S1156" t="s">
        <v>32</v>
      </c>
      <c r="T1156">
        <v>26</v>
      </c>
      <c r="W1156">
        <v>20</v>
      </c>
      <c r="X1156">
        <v>38.1</v>
      </c>
      <c r="Z1156" t="s">
        <v>32</v>
      </c>
      <c r="AB1156" t="s">
        <v>489</v>
      </c>
      <c r="AC1156" t="s">
        <v>254</v>
      </c>
    </row>
    <row r="1157" spans="1:30" x14ac:dyDescent="0.2">
      <c r="A1157" s="3">
        <v>42592</v>
      </c>
      <c r="B1157" t="s">
        <v>23</v>
      </c>
      <c r="C1157">
        <v>501</v>
      </c>
      <c r="D1157">
        <v>2</v>
      </c>
      <c r="E1157">
        <v>2</v>
      </c>
      <c r="F1157" t="s">
        <v>24</v>
      </c>
      <c r="G1157" t="s">
        <v>25</v>
      </c>
      <c r="H1157" t="s">
        <v>26</v>
      </c>
      <c r="I1157" t="s">
        <v>139</v>
      </c>
      <c r="J1157" t="s">
        <v>28</v>
      </c>
      <c r="K1157" t="s">
        <v>123</v>
      </c>
      <c r="L1157" t="s">
        <v>30</v>
      </c>
      <c r="M1157">
        <v>0</v>
      </c>
      <c r="N1157">
        <v>0</v>
      </c>
      <c r="O1157" s="17" t="s">
        <v>1246</v>
      </c>
      <c r="Q1157">
        <f>155-90</f>
        <v>65</v>
      </c>
      <c r="R1157" t="s">
        <v>31</v>
      </c>
      <c r="S1157" t="s">
        <v>32</v>
      </c>
      <c r="T1157">
        <v>28</v>
      </c>
      <c r="W1157">
        <v>20.9</v>
      </c>
      <c r="X1157">
        <v>41.5</v>
      </c>
      <c r="Z1157" t="s">
        <v>32</v>
      </c>
      <c r="AB1157" t="s">
        <v>44</v>
      </c>
      <c r="AC1157" t="s">
        <v>59</v>
      </c>
    </row>
    <row r="1158" spans="1:30" x14ac:dyDescent="0.2">
      <c r="A1158" s="3">
        <v>42564</v>
      </c>
      <c r="B1158" t="s">
        <v>23</v>
      </c>
      <c r="C1158">
        <v>501</v>
      </c>
      <c r="D1158">
        <v>3</v>
      </c>
      <c r="E1158">
        <v>1</v>
      </c>
      <c r="F1158" t="s">
        <v>24</v>
      </c>
      <c r="G1158" t="s">
        <v>25</v>
      </c>
      <c r="H1158" t="s">
        <v>26</v>
      </c>
      <c r="I1158" t="s">
        <v>139</v>
      </c>
      <c r="J1158" t="s">
        <v>34</v>
      </c>
      <c r="K1158" t="s">
        <v>123</v>
      </c>
      <c r="L1158" t="s">
        <v>30</v>
      </c>
      <c r="M1158">
        <v>0</v>
      </c>
      <c r="N1158">
        <v>1</v>
      </c>
      <c r="O1158" s="17">
        <v>50735</v>
      </c>
      <c r="Q1158">
        <f>150-95</f>
        <v>55</v>
      </c>
      <c r="R1158" t="s">
        <v>31</v>
      </c>
      <c r="S1158" t="s">
        <v>32</v>
      </c>
      <c r="T1158">
        <v>29</v>
      </c>
      <c r="W1158">
        <v>20</v>
      </c>
      <c r="X1158">
        <v>41.6</v>
      </c>
      <c r="Z1158" t="s">
        <v>32</v>
      </c>
    </row>
    <row r="1159" spans="1:30" x14ac:dyDescent="0.2">
      <c r="A1159" s="3">
        <v>42564</v>
      </c>
      <c r="B1159" t="s">
        <v>23</v>
      </c>
      <c r="C1159">
        <v>503</v>
      </c>
      <c r="D1159">
        <v>6</v>
      </c>
      <c r="E1159">
        <v>2</v>
      </c>
      <c r="F1159" t="s">
        <v>24</v>
      </c>
      <c r="G1159" t="s">
        <v>25</v>
      </c>
      <c r="H1159" t="s">
        <v>26</v>
      </c>
      <c r="I1159" t="s">
        <v>139</v>
      </c>
      <c r="J1159" t="s">
        <v>34</v>
      </c>
      <c r="K1159" t="s">
        <v>123</v>
      </c>
      <c r="L1159" t="s">
        <v>35</v>
      </c>
      <c r="M1159">
        <v>0</v>
      </c>
      <c r="N1159">
        <v>1</v>
      </c>
      <c r="O1159" s="17">
        <v>50737</v>
      </c>
      <c r="Q1159">
        <f>165-95</f>
        <v>70</v>
      </c>
      <c r="R1159" t="s">
        <v>63</v>
      </c>
      <c r="T1159">
        <v>31</v>
      </c>
      <c r="W1159">
        <v>20.75</v>
      </c>
      <c r="X1159">
        <v>39.5</v>
      </c>
      <c r="Z1159" t="s">
        <v>32</v>
      </c>
    </row>
    <row r="1160" spans="1:30" x14ac:dyDescent="0.2">
      <c r="A1160" s="3">
        <v>42565</v>
      </c>
      <c r="B1160" t="s">
        <v>23</v>
      </c>
      <c r="C1160">
        <v>801</v>
      </c>
      <c r="D1160">
        <v>8</v>
      </c>
      <c r="E1160">
        <v>1</v>
      </c>
      <c r="F1160" t="s">
        <v>33</v>
      </c>
      <c r="G1160" t="s">
        <v>25</v>
      </c>
      <c r="H1160" t="s">
        <v>26</v>
      </c>
      <c r="I1160" t="s">
        <v>139</v>
      </c>
      <c r="J1160" t="s">
        <v>34</v>
      </c>
      <c r="K1160" t="s">
        <v>123</v>
      </c>
      <c r="L1160" t="s">
        <v>30</v>
      </c>
      <c r="M1160">
        <v>0</v>
      </c>
      <c r="N1160">
        <v>1</v>
      </c>
      <c r="O1160" s="17">
        <v>50754</v>
      </c>
      <c r="Q1160">
        <f>110-56</f>
        <v>54</v>
      </c>
      <c r="R1160" t="s">
        <v>31</v>
      </c>
      <c r="S1160" t="s">
        <v>32</v>
      </c>
      <c r="T1160">
        <v>31</v>
      </c>
      <c r="W1160">
        <v>20.8</v>
      </c>
      <c r="X1160">
        <v>37.5</v>
      </c>
      <c r="Z1160" t="s">
        <v>32</v>
      </c>
      <c r="AB1160" t="s">
        <v>121</v>
      </c>
      <c r="AC1160" t="s">
        <v>254</v>
      </c>
    </row>
    <row r="1161" spans="1:30" x14ac:dyDescent="0.2">
      <c r="A1161" s="3">
        <v>42564</v>
      </c>
      <c r="B1161" t="s">
        <v>23</v>
      </c>
      <c r="C1161">
        <v>901</v>
      </c>
      <c r="D1161">
        <v>5</v>
      </c>
      <c r="E1161">
        <v>1</v>
      </c>
      <c r="F1161" t="s">
        <v>33</v>
      </c>
      <c r="G1161" t="s">
        <v>25</v>
      </c>
      <c r="H1161" t="s">
        <v>26</v>
      </c>
      <c r="I1161" t="s">
        <v>139</v>
      </c>
      <c r="J1161" t="s">
        <v>34</v>
      </c>
      <c r="K1161" t="s">
        <v>29</v>
      </c>
      <c r="L1161" t="s">
        <v>35</v>
      </c>
      <c r="M1161">
        <v>0</v>
      </c>
      <c r="N1161">
        <v>1</v>
      </c>
      <c r="O1161" s="17">
        <v>50767</v>
      </c>
      <c r="Q1161">
        <f>140-50</f>
        <v>90</v>
      </c>
      <c r="R1161" t="s">
        <v>39</v>
      </c>
      <c r="T1161">
        <v>28</v>
      </c>
      <c r="W1161">
        <v>22.1</v>
      </c>
      <c r="X1161">
        <v>41.3</v>
      </c>
      <c r="Z1161" t="s">
        <v>32</v>
      </c>
      <c r="AB1161" t="s">
        <v>121</v>
      </c>
      <c r="AC1161" t="s">
        <v>122</v>
      </c>
    </row>
    <row r="1162" spans="1:30" x14ac:dyDescent="0.2">
      <c r="A1162" s="3">
        <v>42565</v>
      </c>
      <c r="B1162" t="s">
        <v>23</v>
      </c>
      <c r="C1162">
        <v>901</v>
      </c>
      <c r="D1162">
        <v>5</v>
      </c>
      <c r="E1162">
        <v>2</v>
      </c>
      <c r="F1162" t="s">
        <v>33</v>
      </c>
      <c r="G1162" t="s">
        <v>25</v>
      </c>
      <c r="H1162" t="s">
        <v>26</v>
      </c>
      <c r="I1162" t="s">
        <v>139</v>
      </c>
      <c r="J1162" t="s">
        <v>28</v>
      </c>
      <c r="K1162" t="s">
        <v>29</v>
      </c>
      <c r="L1162" t="s">
        <v>35</v>
      </c>
      <c r="M1162">
        <v>0</v>
      </c>
      <c r="N1162">
        <v>0</v>
      </c>
      <c r="O1162" s="17">
        <v>50767</v>
      </c>
      <c r="Q1162">
        <f>146-58</f>
        <v>88</v>
      </c>
      <c r="R1162" t="s">
        <v>39</v>
      </c>
      <c r="Z1162" t="s">
        <v>32</v>
      </c>
      <c r="AB1162" t="s">
        <v>121</v>
      </c>
      <c r="AC1162" t="s">
        <v>254</v>
      </c>
    </row>
    <row r="1163" spans="1:30" x14ac:dyDescent="0.2">
      <c r="A1163" s="3">
        <v>42575</v>
      </c>
      <c r="B1163" t="s">
        <v>23</v>
      </c>
      <c r="C1163">
        <v>901</v>
      </c>
      <c r="D1163">
        <v>3</v>
      </c>
      <c r="E1163">
        <v>2</v>
      </c>
      <c r="F1163" t="s">
        <v>24</v>
      </c>
      <c r="G1163" t="s">
        <v>25</v>
      </c>
      <c r="H1163" t="s">
        <v>26</v>
      </c>
      <c r="I1163" t="s">
        <v>139</v>
      </c>
      <c r="J1163" t="s">
        <v>28</v>
      </c>
      <c r="K1163" t="s">
        <v>29</v>
      </c>
      <c r="L1163" t="s">
        <v>35</v>
      </c>
      <c r="M1163">
        <v>0</v>
      </c>
      <c r="N1163">
        <v>0</v>
      </c>
      <c r="O1163" s="17">
        <v>50767</v>
      </c>
      <c r="Q1163">
        <f>200-105</f>
        <v>95</v>
      </c>
      <c r="R1163" t="s">
        <v>31</v>
      </c>
      <c r="T1163">
        <v>30.5</v>
      </c>
      <c r="W1163">
        <v>22</v>
      </c>
      <c r="X1163">
        <v>42.3</v>
      </c>
      <c r="Z1163" t="s">
        <v>32</v>
      </c>
      <c r="AB1163" t="s">
        <v>582</v>
      </c>
      <c r="AC1163" t="s">
        <v>59</v>
      </c>
    </row>
    <row r="1164" spans="1:30" x14ac:dyDescent="0.2">
      <c r="A1164" s="3">
        <v>42606</v>
      </c>
      <c r="B1164" t="s">
        <v>23</v>
      </c>
      <c r="C1164">
        <v>901</v>
      </c>
      <c r="D1164">
        <v>7</v>
      </c>
      <c r="E1164">
        <v>1</v>
      </c>
      <c r="F1164" t="s">
        <v>24</v>
      </c>
      <c r="G1164" t="s">
        <v>25</v>
      </c>
      <c r="H1164" t="s">
        <v>26</v>
      </c>
      <c r="I1164" t="s">
        <v>139</v>
      </c>
      <c r="J1164" t="s">
        <v>28</v>
      </c>
      <c r="K1164" t="s">
        <v>29</v>
      </c>
      <c r="L1164" t="s">
        <v>35</v>
      </c>
      <c r="M1164">
        <v>0</v>
      </c>
      <c r="N1164">
        <v>0</v>
      </c>
      <c r="O1164" s="17" t="s">
        <v>1935</v>
      </c>
      <c r="Q1164">
        <f>190-95</f>
        <v>95</v>
      </c>
      <c r="R1164" t="s">
        <v>63</v>
      </c>
      <c r="AB1164" t="s">
        <v>44</v>
      </c>
      <c r="AC1164" t="s">
        <v>59</v>
      </c>
      <c r="AD1164" t="s">
        <v>1936</v>
      </c>
    </row>
    <row r="1165" spans="1:30" x14ac:dyDescent="0.2">
      <c r="A1165" s="3">
        <v>42564</v>
      </c>
      <c r="B1165" t="s">
        <v>23</v>
      </c>
      <c r="C1165">
        <v>803</v>
      </c>
      <c r="D1165">
        <v>1</v>
      </c>
      <c r="E1165">
        <v>2</v>
      </c>
      <c r="F1165" t="s">
        <v>33</v>
      </c>
      <c r="G1165" t="s">
        <v>25</v>
      </c>
      <c r="H1165" t="s">
        <v>26</v>
      </c>
      <c r="I1165" t="s">
        <v>139</v>
      </c>
      <c r="J1165" t="s">
        <v>34</v>
      </c>
      <c r="K1165" t="s">
        <v>188</v>
      </c>
      <c r="L1165" t="s">
        <v>30</v>
      </c>
      <c r="M1165">
        <v>0</v>
      </c>
      <c r="N1165">
        <v>1</v>
      </c>
      <c r="O1165" s="17">
        <v>50770</v>
      </c>
      <c r="Q1165">
        <f>104-50</f>
        <v>54</v>
      </c>
      <c r="R1165" t="s">
        <v>31</v>
      </c>
      <c r="S1165" t="s">
        <v>32</v>
      </c>
      <c r="T1165">
        <v>28</v>
      </c>
      <c r="Z1165" t="s">
        <v>32</v>
      </c>
      <c r="AB1165" t="s">
        <v>121</v>
      </c>
      <c r="AC1165" t="s">
        <v>122</v>
      </c>
    </row>
    <row r="1166" spans="1:30" x14ac:dyDescent="0.2">
      <c r="A1166" s="3">
        <v>42570</v>
      </c>
      <c r="B1166" t="s">
        <v>23</v>
      </c>
      <c r="C1166">
        <v>304</v>
      </c>
      <c r="D1166">
        <v>5</v>
      </c>
      <c r="E1166">
        <v>2</v>
      </c>
      <c r="F1166" t="s">
        <v>33</v>
      </c>
      <c r="G1166" t="s">
        <v>25</v>
      </c>
      <c r="H1166" t="s">
        <v>26</v>
      </c>
      <c r="I1166" t="s">
        <v>139</v>
      </c>
      <c r="J1166" t="s">
        <v>34</v>
      </c>
      <c r="K1166" t="s">
        <v>29</v>
      </c>
      <c r="L1166" t="s">
        <v>30</v>
      </c>
      <c r="M1166">
        <v>0</v>
      </c>
      <c r="N1166">
        <v>1</v>
      </c>
      <c r="O1166" s="17">
        <v>50782</v>
      </c>
      <c r="Q1166">
        <f>130-49</f>
        <v>81</v>
      </c>
      <c r="R1166" t="s">
        <v>61</v>
      </c>
      <c r="S1166" t="s">
        <v>32</v>
      </c>
      <c r="T1166">
        <v>35</v>
      </c>
      <c r="Z1166" t="s">
        <v>32</v>
      </c>
      <c r="AB1166" t="s">
        <v>121</v>
      </c>
      <c r="AC1166" t="s">
        <v>59</v>
      </c>
    </row>
    <row r="1167" spans="1:30" x14ac:dyDescent="0.2">
      <c r="A1167" s="3">
        <v>42572</v>
      </c>
      <c r="B1167" t="s">
        <v>23</v>
      </c>
      <c r="C1167">
        <v>304</v>
      </c>
      <c r="D1167">
        <v>4</v>
      </c>
      <c r="E1167">
        <v>1</v>
      </c>
      <c r="F1167" t="s">
        <v>33</v>
      </c>
      <c r="G1167" t="s">
        <v>25</v>
      </c>
      <c r="H1167" t="s">
        <v>26</v>
      </c>
      <c r="I1167" t="s">
        <v>139</v>
      </c>
      <c r="J1167" t="s">
        <v>28</v>
      </c>
      <c r="K1167" t="s">
        <v>29</v>
      </c>
      <c r="L1167" t="s">
        <v>30</v>
      </c>
      <c r="M1167">
        <v>0</v>
      </c>
      <c r="N1167">
        <v>0</v>
      </c>
      <c r="O1167" s="17">
        <v>50782</v>
      </c>
      <c r="Q1167">
        <f>132-48</f>
        <v>84</v>
      </c>
      <c r="R1167" t="s">
        <v>61</v>
      </c>
      <c r="S1167" t="s">
        <v>32</v>
      </c>
      <c r="T1167">
        <v>45</v>
      </c>
      <c r="Z1167" t="s">
        <v>145</v>
      </c>
      <c r="AA1167" t="s">
        <v>260</v>
      </c>
      <c r="AB1167" t="s">
        <v>121</v>
      </c>
      <c r="AC1167" t="s">
        <v>59</v>
      </c>
    </row>
    <row r="1168" spans="1:30" x14ac:dyDescent="0.2">
      <c r="A1168" s="3">
        <v>42584</v>
      </c>
      <c r="B1168" t="s">
        <v>23</v>
      </c>
      <c r="C1168">
        <v>304</v>
      </c>
      <c r="D1168">
        <v>4</v>
      </c>
      <c r="E1168">
        <v>2</v>
      </c>
      <c r="F1168" t="s">
        <v>24</v>
      </c>
      <c r="G1168" t="s">
        <v>25</v>
      </c>
      <c r="H1168" t="s">
        <v>26</v>
      </c>
      <c r="I1168" t="s">
        <v>139</v>
      </c>
      <c r="J1168" t="s">
        <v>28</v>
      </c>
      <c r="K1168" t="s">
        <v>123</v>
      </c>
      <c r="L1168" t="s">
        <v>35</v>
      </c>
      <c r="M1168">
        <v>0</v>
      </c>
      <c r="N1168">
        <v>0</v>
      </c>
      <c r="O1168" s="17">
        <v>50782</v>
      </c>
      <c r="Q1168">
        <f>183-90</f>
        <v>93</v>
      </c>
      <c r="R1168" t="s">
        <v>63</v>
      </c>
      <c r="T1168">
        <v>34</v>
      </c>
      <c r="W1168">
        <v>22.3</v>
      </c>
      <c r="X1168">
        <v>43.7</v>
      </c>
      <c r="Z1168" t="s">
        <v>32</v>
      </c>
      <c r="AB1168" t="s">
        <v>44</v>
      </c>
      <c r="AC1168" t="s">
        <v>59</v>
      </c>
    </row>
    <row r="1169" spans="1:30" x14ac:dyDescent="0.2">
      <c r="A1169" s="3">
        <v>42572</v>
      </c>
      <c r="B1169" t="s">
        <v>23</v>
      </c>
      <c r="C1169">
        <v>112</v>
      </c>
      <c r="D1169">
        <v>1</v>
      </c>
      <c r="E1169">
        <v>1</v>
      </c>
      <c r="F1169" t="s">
        <v>24</v>
      </c>
      <c r="G1169" t="s">
        <v>25</v>
      </c>
      <c r="H1169" t="s">
        <v>26</v>
      </c>
      <c r="I1169" t="s">
        <v>139</v>
      </c>
      <c r="J1169" t="s">
        <v>34</v>
      </c>
      <c r="K1169" t="s">
        <v>123</v>
      </c>
      <c r="L1169" t="s">
        <v>35</v>
      </c>
      <c r="M1169">
        <v>0</v>
      </c>
      <c r="N1169">
        <v>1</v>
      </c>
      <c r="O1169" s="17">
        <v>50816</v>
      </c>
      <c r="Q1169">
        <f>195-110</f>
        <v>85</v>
      </c>
      <c r="R1169" t="s">
        <v>63</v>
      </c>
      <c r="T1169">
        <v>32</v>
      </c>
      <c r="W1169">
        <v>21.5</v>
      </c>
      <c r="X1169">
        <v>42.4</v>
      </c>
      <c r="Z1169" t="s">
        <v>32</v>
      </c>
      <c r="AB1169" t="s">
        <v>121</v>
      </c>
      <c r="AC1169" t="s">
        <v>122</v>
      </c>
    </row>
    <row r="1170" spans="1:30" x14ac:dyDescent="0.2">
      <c r="A1170" s="3">
        <v>42542</v>
      </c>
      <c r="B1170" t="s">
        <v>23</v>
      </c>
      <c r="C1170">
        <v>402</v>
      </c>
      <c r="D1170">
        <v>1</v>
      </c>
      <c r="E1170">
        <v>2</v>
      </c>
      <c r="F1170" t="s">
        <v>24</v>
      </c>
      <c r="G1170" t="s">
        <v>25</v>
      </c>
      <c r="H1170" t="s">
        <v>26</v>
      </c>
      <c r="I1170" t="s">
        <v>139</v>
      </c>
      <c r="J1170" t="s">
        <v>28</v>
      </c>
      <c r="K1170" t="s">
        <v>29</v>
      </c>
      <c r="L1170" t="s">
        <v>35</v>
      </c>
      <c r="M1170">
        <v>0</v>
      </c>
      <c r="N1170">
        <v>0</v>
      </c>
      <c r="O1170" s="17" t="s">
        <v>278</v>
      </c>
      <c r="Q1170">
        <f>180-90</f>
        <v>90</v>
      </c>
      <c r="R1170" t="s">
        <v>39</v>
      </c>
      <c r="S1170" t="s">
        <v>32</v>
      </c>
      <c r="T1170">
        <v>34</v>
      </c>
      <c r="W1170">
        <v>21.3</v>
      </c>
      <c r="X1170">
        <v>38.799999999999997</v>
      </c>
      <c r="Z1170" t="s">
        <v>32</v>
      </c>
      <c r="AB1170" t="s">
        <v>44</v>
      </c>
      <c r="AC1170" t="s">
        <v>122</v>
      </c>
    </row>
    <row r="1171" spans="1:30" x14ac:dyDescent="0.2">
      <c r="A1171" s="3">
        <v>42541</v>
      </c>
      <c r="B1171" t="s">
        <v>23</v>
      </c>
      <c r="C1171">
        <v>112</v>
      </c>
      <c r="D1171">
        <v>8</v>
      </c>
      <c r="E1171">
        <v>1</v>
      </c>
      <c r="F1171" t="s">
        <v>24</v>
      </c>
      <c r="G1171" t="s">
        <v>25</v>
      </c>
      <c r="H1171" t="s">
        <v>26</v>
      </c>
      <c r="I1171" t="s">
        <v>139</v>
      </c>
      <c r="J1171" t="s">
        <v>28</v>
      </c>
      <c r="K1171" t="s">
        <v>29</v>
      </c>
      <c r="L1171" t="s">
        <v>35</v>
      </c>
      <c r="M1171">
        <v>0</v>
      </c>
      <c r="N1171">
        <v>0</v>
      </c>
      <c r="O1171" s="17" t="s">
        <v>257</v>
      </c>
      <c r="Q1171">
        <f>180-90</f>
        <v>90</v>
      </c>
      <c r="R1171" t="s">
        <v>39</v>
      </c>
      <c r="S1171" t="s">
        <v>32</v>
      </c>
      <c r="T1171">
        <v>34</v>
      </c>
      <c r="W1171">
        <v>21.1</v>
      </c>
      <c r="X1171">
        <v>43.7</v>
      </c>
      <c r="Z1171" t="s">
        <v>32</v>
      </c>
      <c r="AB1171" t="s">
        <v>53</v>
      </c>
      <c r="AC1171" t="s">
        <v>254</v>
      </c>
    </row>
    <row r="1172" spans="1:30" x14ac:dyDescent="0.2">
      <c r="A1172" s="3">
        <v>42542</v>
      </c>
      <c r="B1172" t="s">
        <v>23</v>
      </c>
      <c r="C1172">
        <v>112</v>
      </c>
      <c r="D1172">
        <v>8</v>
      </c>
      <c r="E1172">
        <v>2</v>
      </c>
      <c r="F1172" t="s">
        <v>24</v>
      </c>
      <c r="G1172" t="s">
        <v>25</v>
      </c>
      <c r="H1172" t="s">
        <v>26</v>
      </c>
      <c r="I1172" t="s">
        <v>139</v>
      </c>
      <c r="J1172" t="s">
        <v>28</v>
      </c>
      <c r="K1172" t="s">
        <v>29</v>
      </c>
      <c r="L1172" t="s">
        <v>35</v>
      </c>
      <c r="M1172">
        <v>0</v>
      </c>
      <c r="N1172">
        <v>0</v>
      </c>
      <c r="O1172" s="17" t="s">
        <v>257</v>
      </c>
      <c r="Q1172">
        <f>185-90</f>
        <v>95</v>
      </c>
      <c r="R1172" t="s">
        <v>39</v>
      </c>
      <c r="S1172" t="s">
        <v>32</v>
      </c>
      <c r="Z1172" t="s">
        <v>32</v>
      </c>
      <c r="AB1172" t="s">
        <v>44</v>
      </c>
      <c r="AC1172" t="s">
        <v>122</v>
      </c>
      <c r="AD1172" t="s">
        <v>277</v>
      </c>
    </row>
    <row r="1173" spans="1:30" x14ac:dyDescent="0.2">
      <c r="A1173" s="3">
        <v>42576</v>
      </c>
      <c r="B1173" t="s">
        <v>23</v>
      </c>
      <c r="C1173">
        <v>801</v>
      </c>
      <c r="D1173">
        <v>7</v>
      </c>
      <c r="E1173">
        <v>2</v>
      </c>
      <c r="F1173" t="s">
        <v>66</v>
      </c>
      <c r="G1173" t="s">
        <v>25</v>
      </c>
      <c r="H1173" t="s">
        <v>26</v>
      </c>
      <c r="I1173" t="s">
        <v>139</v>
      </c>
      <c r="J1173" t="s">
        <v>28</v>
      </c>
      <c r="K1173" t="s">
        <v>29</v>
      </c>
      <c r="L1173" t="s">
        <v>35</v>
      </c>
      <c r="M1173">
        <v>0</v>
      </c>
      <c r="N1173">
        <v>0</v>
      </c>
      <c r="O1173" s="17" t="s">
        <v>333</v>
      </c>
      <c r="P1173" s="17">
        <v>50392</v>
      </c>
      <c r="Q1173">
        <f>238-130</f>
        <v>108</v>
      </c>
      <c r="R1173" t="s">
        <v>39</v>
      </c>
      <c r="T1173">
        <v>32</v>
      </c>
      <c r="W1173">
        <v>27.4</v>
      </c>
      <c r="X1173">
        <v>45.3</v>
      </c>
      <c r="Z1173" t="s">
        <v>32</v>
      </c>
      <c r="AB1173" t="s">
        <v>121</v>
      </c>
      <c r="AC1173" t="s">
        <v>122</v>
      </c>
    </row>
    <row r="1174" spans="1:30" x14ac:dyDescent="0.2">
      <c r="A1174" s="3">
        <v>42501</v>
      </c>
      <c r="B1174" t="s">
        <v>23</v>
      </c>
      <c r="C1174">
        <v>801</v>
      </c>
      <c r="D1174">
        <v>3</v>
      </c>
      <c r="E1174">
        <v>1</v>
      </c>
      <c r="F1174" t="s">
        <v>33</v>
      </c>
      <c r="G1174" t="s">
        <v>25</v>
      </c>
      <c r="H1174" t="s">
        <v>26</v>
      </c>
      <c r="I1174" t="s">
        <v>139</v>
      </c>
      <c r="J1174" t="s">
        <v>34</v>
      </c>
      <c r="K1174" t="s">
        <v>29</v>
      </c>
      <c r="L1174" t="s">
        <v>35</v>
      </c>
      <c r="M1174">
        <v>0</v>
      </c>
      <c r="N1174">
        <v>1</v>
      </c>
      <c r="P1174" s="17">
        <v>50392</v>
      </c>
      <c r="Q1174">
        <f>140-46</f>
        <v>94</v>
      </c>
      <c r="R1174" t="s">
        <v>39</v>
      </c>
      <c r="S1174" t="s">
        <v>32</v>
      </c>
      <c r="Z1174" t="s">
        <v>32</v>
      </c>
      <c r="AB1174" t="s">
        <v>44</v>
      </c>
      <c r="AC1174" t="s">
        <v>59</v>
      </c>
    </row>
    <row r="1175" spans="1:30" x14ac:dyDescent="0.2">
      <c r="A1175" s="3">
        <v>42502</v>
      </c>
      <c r="B1175" t="s">
        <v>23</v>
      </c>
      <c r="C1175">
        <v>801</v>
      </c>
      <c r="D1175">
        <v>7</v>
      </c>
      <c r="E1175">
        <v>1</v>
      </c>
      <c r="F1175" t="s">
        <v>33</v>
      </c>
      <c r="G1175" t="s">
        <v>25</v>
      </c>
      <c r="H1175" t="s">
        <v>26</v>
      </c>
      <c r="I1175" t="s">
        <v>139</v>
      </c>
      <c r="J1175" t="s">
        <v>28</v>
      </c>
      <c r="K1175" t="s">
        <v>29</v>
      </c>
      <c r="L1175" t="s">
        <v>35</v>
      </c>
      <c r="M1175">
        <v>0</v>
      </c>
      <c r="N1175">
        <v>0</v>
      </c>
      <c r="P1175" s="17">
        <v>50392</v>
      </c>
      <c r="Q1175">
        <f>142-48</f>
        <v>94</v>
      </c>
      <c r="R1175" t="s">
        <v>39</v>
      </c>
      <c r="S1175" t="s">
        <v>32</v>
      </c>
      <c r="Z1175" t="s">
        <v>32</v>
      </c>
      <c r="AB1175" t="s">
        <v>53</v>
      </c>
      <c r="AC1175" t="s">
        <v>59</v>
      </c>
    </row>
    <row r="1176" spans="1:30" x14ac:dyDescent="0.2">
      <c r="A1176" s="3">
        <v>42514</v>
      </c>
      <c r="B1176" t="s">
        <v>23</v>
      </c>
      <c r="C1176">
        <v>503</v>
      </c>
      <c r="D1176">
        <v>5</v>
      </c>
      <c r="E1176">
        <v>2</v>
      </c>
      <c r="F1176" t="s">
        <v>33</v>
      </c>
      <c r="G1176" t="s">
        <v>25</v>
      </c>
      <c r="H1176" t="s">
        <v>26</v>
      </c>
      <c r="I1176" t="s">
        <v>139</v>
      </c>
      <c r="J1176" t="s">
        <v>135</v>
      </c>
      <c r="Z1176" t="s">
        <v>32</v>
      </c>
    </row>
    <row r="1177" spans="1:30" x14ac:dyDescent="0.2">
      <c r="A1177" s="3">
        <v>42514</v>
      </c>
      <c r="B1177" t="s">
        <v>23</v>
      </c>
      <c r="C1177">
        <v>701</v>
      </c>
      <c r="D1177">
        <v>4</v>
      </c>
      <c r="E1177">
        <v>1</v>
      </c>
      <c r="F1177" t="s">
        <v>24</v>
      </c>
      <c r="G1177" t="s">
        <v>25</v>
      </c>
      <c r="H1177" t="s">
        <v>26</v>
      </c>
      <c r="I1177" t="s">
        <v>139</v>
      </c>
      <c r="J1177" t="s">
        <v>28</v>
      </c>
      <c r="K1177" t="s">
        <v>29</v>
      </c>
      <c r="L1177" t="s">
        <v>30</v>
      </c>
      <c r="M1177">
        <v>0</v>
      </c>
      <c r="N1177">
        <v>0</v>
      </c>
      <c r="P1177" s="17" t="s">
        <v>140</v>
      </c>
      <c r="Q1177">
        <v>90</v>
      </c>
      <c r="R1177" t="s">
        <v>31</v>
      </c>
      <c r="S1177" t="s">
        <v>32</v>
      </c>
      <c r="T1177">
        <v>31</v>
      </c>
      <c r="W1177">
        <v>19.45</v>
      </c>
      <c r="X1177">
        <v>42.81</v>
      </c>
      <c r="Z1177" t="s">
        <v>32</v>
      </c>
      <c r="AB1177" t="s">
        <v>44</v>
      </c>
      <c r="AC1177" t="s">
        <v>59</v>
      </c>
    </row>
    <row r="1178" spans="1:30" x14ac:dyDescent="0.2">
      <c r="A1178" s="3">
        <v>42515</v>
      </c>
      <c r="B1178" t="s">
        <v>23</v>
      </c>
      <c r="C1178">
        <v>503</v>
      </c>
      <c r="D1178">
        <v>1</v>
      </c>
      <c r="E1178">
        <v>2</v>
      </c>
      <c r="F1178" t="s">
        <v>33</v>
      </c>
      <c r="G1178" t="s">
        <v>25</v>
      </c>
      <c r="H1178" t="s">
        <v>26</v>
      </c>
      <c r="I1178" t="s">
        <v>139</v>
      </c>
      <c r="J1178" t="s">
        <v>34</v>
      </c>
      <c r="K1178" t="s">
        <v>29</v>
      </c>
      <c r="L1178" t="s">
        <v>30</v>
      </c>
      <c r="M1178">
        <v>0</v>
      </c>
      <c r="N1178">
        <v>0</v>
      </c>
      <c r="P1178" s="17">
        <v>50318</v>
      </c>
      <c r="Q1178">
        <f>146-48</f>
        <v>98</v>
      </c>
      <c r="R1178" t="s">
        <v>75</v>
      </c>
      <c r="S1178" t="s">
        <v>145</v>
      </c>
      <c r="Z1178" t="s">
        <v>32</v>
      </c>
      <c r="AB1178" t="s">
        <v>147</v>
      </c>
      <c r="AC1178" t="s">
        <v>122</v>
      </c>
    </row>
    <row r="1179" spans="1:30" x14ac:dyDescent="0.2">
      <c r="A1179" s="3">
        <v>42515</v>
      </c>
      <c r="B1179" t="s">
        <v>23</v>
      </c>
      <c r="C1179">
        <v>703</v>
      </c>
      <c r="D1179">
        <v>5</v>
      </c>
      <c r="E1179">
        <v>1</v>
      </c>
      <c r="F1179" t="s">
        <v>24</v>
      </c>
      <c r="G1179" t="s">
        <v>25</v>
      </c>
      <c r="H1179" t="s">
        <v>26</v>
      </c>
      <c r="I1179" t="s">
        <v>139</v>
      </c>
      <c r="J1179" t="s">
        <v>28</v>
      </c>
      <c r="K1179" t="s">
        <v>29</v>
      </c>
      <c r="L1179" t="s">
        <v>30</v>
      </c>
      <c r="M1179">
        <v>0</v>
      </c>
      <c r="N1179">
        <v>0</v>
      </c>
      <c r="P1179" s="17" t="s">
        <v>140</v>
      </c>
      <c r="Q1179">
        <f>170-90</f>
        <v>80</v>
      </c>
      <c r="R1179" t="s">
        <v>31</v>
      </c>
      <c r="S1179" t="s">
        <v>32</v>
      </c>
      <c r="T1179">
        <v>31.5</v>
      </c>
      <c r="W1179">
        <v>19.73</v>
      </c>
      <c r="X1179">
        <v>44.25</v>
      </c>
      <c r="Z1179" t="s">
        <v>32</v>
      </c>
      <c r="AB1179" t="s">
        <v>121</v>
      </c>
      <c r="AC1179" t="s">
        <v>122</v>
      </c>
    </row>
    <row r="1180" spans="1:30" x14ac:dyDescent="0.2">
      <c r="A1180" s="3">
        <v>42515</v>
      </c>
      <c r="B1180" t="s">
        <v>23</v>
      </c>
      <c r="C1180">
        <v>801</v>
      </c>
      <c r="D1180">
        <v>2</v>
      </c>
      <c r="E1180">
        <v>1</v>
      </c>
      <c r="F1180" t="s">
        <v>24</v>
      </c>
      <c r="G1180" t="s">
        <v>25</v>
      </c>
      <c r="H1180" t="s">
        <v>26</v>
      </c>
      <c r="I1180" t="s">
        <v>139</v>
      </c>
      <c r="J1180" t="s">
        <v>28</v>
      </c>
      <c r="K1180" t="s">
        <v>29</v>
      </c>
      <c r="L1180" t="s">
        <v>35</v>
      </c>
      <c r="M1180">
        <v>0</v>
      </c>
      <c r="N1180">
        <v>0</v>
      </c>
      <c r="P1180" s="17">
        <v>50392</v>
      </c>
      <c r="Q1180">
        <f>185-92</f>
        <v>93</v>
      </c>
      <c r="R1180" t="s">
        <v>39</v>
      </c>
      <c r="S1180" t="s">
        <v>32</v>
      </c>
      <c r="T1180">
        <v>32</v>
      </c>
      <c r="W1180">
        <v>21.55</v>
      </c>
      <c r="X1180">
        <v>43.1</v>
      </c>
      <c r="Z1180" t="s">
        <v>32</v>
      </c>
      <c r="AB1180" t="s">
        <v>149</v>
      </c>
      <c r="AC1180" t="s">
        <v>122</v>
      </c>
    </row>
    <row r="1181" spans="1:30" x14ac:dyDescent="0.2">
      <c r="A1181" s="3">
        <v>42516</v>
      </c>
      <c r="B1181" t="s">
        <v>23</v>
      </c>
      <c r="C1181">
        <v>501</v>
      </c>
      <c r="D1181">
        <v>3</v>
      </c>
      <c r="E1181">
        <v>1</v>
      </c>
      <c r="F1181" t="s">
        <v>33</v>
      </c>
      <c r="G1181" t="s">
        <v>25</v>
      </c>
      <c r="H1181" t="s">
        <v>26</v>
      </c>
      <c r="I1181" t="s">
        <v>139</v>
      </c>
      <c r="J1181" t="s">
        <v>34</v>
      </c>
      <c r="K1181" t="s">
        <v>29</v>
      </c>
      <c r="L1181" t="s">
        <v>30</v>
      </c>
      <c r="M1181">
        <v>0</v>
      </c>
      <c r="N1181">
        <v>1</v>
      </c>
      <c r="P1181" s="17">
        <v>50314</v>
      </c>
      <c r="Q1181">
        <f>141-46</f>
        <v>95</v>
      </c>
      <c r="R1181" t="s">
        <v>31</v>
      </c>
      <c r="S1181" t="s">
        <v>32</v>
      </c>
      <c r="Z1181" t="s">
        <v>32</v>
      </c>
      <c r="AB1181" t="s">
        <v>53</v>
      </c>
      <c r="AC1181" t="s">
        <v>122</v>
      </c>
    </row>
    <row r="1182" spans="1:30" x14ac:dyDescent="0.2">
      <c r="A1182" s="3">
        <v>42516</v>
      </c>
      <c r="B1182" t="s">
        <v>23</v>
      </c>
      <c r="C1182">
        <v>503</v>
      </c>
      <c r="D1182">
        <v>2</v>
      </c>
      <c r="E1182">
        <v>1</v>
      </c>
      <c r="F1182" t="s">
        <v>33</v>
      </c>
      <c r="G1182" t="s">
        <v>25</v>
      </c>
      <c r="H1182" t="s">
        <v>26</v>
      </c>
      <c r="I1182" t="s">
        <v>139</v>
      </c>
      <c r="J1182" t="s">
        <v>28</v>
      </c>
      <c r="K1182" t="s">
        <v>29</v>
      </c>
      <c r="L1182" t="s">
        <v>30</v>
      </c>
      <c r="M1182">
        <v>0</v>
      </c>
      <c r="N1182">
        <v>0</v>
      </c>
      <c r="P1182" s="17">
        <v>50318</v>
      </c>
      <c r="Q1182">
        <f>142-46</f>
        <v>96</v>
      </c>
      <c r="R1182" t="s">
        <v>75</v>
      </c>
      <c r="S1182" t="s">
        <v>145</v>
      </c>
      <c r="Z1182" t="s">
        <v>32</v>
      </c>
      <c r="AB1182" t="s">
        <v>53</v>
      </c>
      <c r="AC1182" t="s">
        <v>122</v>
      </c>
    </row>
    <row r="1183" spans="1:30" x14ac:dyDescent="0.2">
      <c r="A1183" s="3">
        <v>42516</v>
      </c>
      <c r="B1183" t="s">
        <v>23</v>
      </c>
      <c r="C1183">
        <v>703</v>
      </c>
      <c r="D1183">
        <v>7</v>
      </c>
      <c r="E1183">
        <v>1</v>
      </c>
      <c r="F1183" t="s">
        <v>24</v>
      </c>
      <c r="G1183" t="s">
        <v>25</v>
      </c>
      <c r="H1183" t="s">
        <v>26</v>
      </c>
      <c r="I1183" t="s">
        <v>139</v>
      </c>
      <c r="J1183" t="s">
        <v>34</v>
      </c>
      <c r="K1183" t="s">
        <v>29</v>
      </c>
      <c r="L1183" t="s">
        <v>35</v>
      </c>
      <c r="M1183">
        <v>0</v>
      </c>
      <c r="N1183">
        <v>1</v>
      </c>
      <c r="P1183" s="17">
        <v>50371</v>
      </c>
      <c r="Q1183">
        <f>170-90</f>
        <v>80</v>
      </c>
      <c r="R1183" t="s">
        <v>39</v>
      </c>
      <c r="S1183" t="s">
        <v>32</v>
      </c>
      <c r="T1183">
        <v>29</v>
      </c>
      <c r="W1183">
        <v>20.9</v>
      </c>
      <c r="X1183">
        <v>41.9</v>
      </c>
      <c r="Z1183" t="s">
        <v>32</v>
      </c>
      <c r="AB1183" t="s">
        <v>44</v>
      </c>
      <c r="AC1183" t="s">
        <v>59</v>
      </c>
    </row>
    <row r="1184" spans="1:30" x14ac:dyDescent="0.2">
      <c r="A1184" s="3">
        <v>42516</v>
      </c>
      <c r="B1184" t="s">
        <v>23</v>
      </c>
      <c r="C1184">
        <v>703</v>
      </c>
      <c r="D1184">
        <v>7</v>
      </c>
      <c r="E1184">
        <v>2</v>
      </c>
      <c r="F1184" t="s">
        <v>24</v>
      </c>
      <c r="G1184" t="s">
        <v>25</v>
      </c>
      <c r="H1184" t="s">
        <v>26</v>
      </c>
      <c r="I1184" t="s">
        <v>139</v>
      </c>
      <c r="J1184" t="s">
        <v>28</v>
      </c>
      <c r="K1184" t="s">
        <v>29</v>
      </c>
      <c r="L1184" t="s">
        <v>30</v>
      </c>
      <c r="M1184">
        <v>0</v>
      </c>
      <c r="N1184">
        <v>0</v>
      </c>
      <c r="P1184" s="17" t="s">
        <v>140</v>
      </c>
      <c r="Q1184">
        <v>90</v>
      </c>
      <c r="R1184" t="s">
        <v>31</v>
      </c>
      <c r="S1184" t="s">
        <v>32</v>
      </c>
      <c r="T1184">
        <v>33</v>
      </c>
      <c r="W1184">
        <v>20.6</v>
      </c>
      <c r="X1184">
        <v>39.9</v>
      </c>
      <c r="Z1184" t="s">
        <v>32</v>
      </c>
      <c r="AB1184" t="s">
        <v>44</v>
      </c>
      <c r="AC1184" t="s">
        <v>59</v>
      </c>
    </row>
    <row r="1185" spans="1:29" x14ac:dyDescent="0.2">
      <c r="A1185" s="3">
        <v>42535</v>
      </c>
      <c r="B1185" t="s">
        <v>23</v>
      </c>
      <c r="C1185">
        <v>501</v>
      </c>
      <c r="D1185">
        <v>10</v>
      </c>
      <c r="E1185">
        <v>2</v>
      </c>
      <c r="F1185" t="s">
        <v>24</v>
      </c>
      <c r="G1185" t="s">
        <v>25</v>
      </c>
      <c r="H1185" t="s">
        <v>26</v>
      </c>
      <c r="I1185" t="s">
        <v>139</v>
      </c>
      <c r="J1185" t="s">
        <v>205</v>
      </c>
      <c r="K1185" t="s">
        <v>187</v>
      </c>
      <c r="Z1185" t="s">
        <v>32</v>
      </c>
    </row>
    <row r="1186" spans="1:29" x14ac:dyDescent="0.2">
      <c r="A1186" s="3">
        <v>42535</v>
      </c>
      <c r="B1186" t="s">
        <v>23</v>
      </c>
      <c r="C1186">
        <v>503</v>
      </c>
      <c r="D1186">
        <v>2</v>
      </c>
      <c r="E1186">
        <v>2</v>
      </c>
      <c r="F1186" t="s">
        <v>24</v>
      </c>
      <c r="G1186" t="s">
        <v>25</v>
      </c>
      <c r="H1186" t="s">
        <v>26</v>
      </c>
      <c r="I1186" t="s">
        <v>139</v>
      </c>
      <c r="J1186" t="s">
        <v>45</v>
      </c>
      <c r="K1186" t="s">
        <v>187</v>
      </c>
      <c r="L1186" t="s">
        <v>30</v>
      </c>
      <c r="M1186">
        <v>1</v>
      </c>
      <c r="N1186">
        <v>0</v>
      </c>
      <c r="P1186" s="17">
        <v>50578</v>
      </c>
      <c r="Q1186">
        <f>198-87</f>
        <v>111</v>
      </c>
      <c r="R1186" t="s">
        <v>75</v>
      </c>
      <c r="S1186" t="s">
        <v>145</v>
      </c>
      <c r="T1186">
        <v>30</v>
      </c>
      <c r="W1186">
        <v>22.2</v>
      </c>
      <c r="X1186">
        <v>45</v>
      </c>
      <c r="Z1186" t="s">
        <v>32</v>
      </c>
      <c r="AB1186" t="s">
        <v>44</v>
      </c>
      <c r="AC1186" t="s">
        <v>116</v>
      </c>
    </row>
    <row r="1187" spans="1:29" x14ac:dyDescent="0.2">
      <c r="A1187" s="3">
        <v>42535</v>
      </c>
      <c r="B1187" t="s">
        <v>23</v>
      </c>
      <c r="C1187">
        <v>703</v>
      </c>
      <c r="D1187">
        <v>7</v>
      </c>
      <c r="E1187">
        <v>1</v>
      </c>
      <c r="F1187" t="s">
        <v>33</v>
      </c>
      <c r="G1187" t="s">
        <v>25</v>
      </c>
      <c r="H1187" t="s">
        <v>26</v>
      </c>
      <c r="I1187" t="s">
        <v>139</v>
      </c>
      <c r="J1187" t="s">
        <v>205</v>
      </c>
      <c r="K1187" t="s">
        <v>187</v>
      </c>
      <c r="L1187" t="s">
        <v>35</v>
      </c>
      <c r="R1187" t="s">
        <v>39</v>
      </c>
      <c r="Z1187" t="s">
        <v>32</v>
      </c>
    </row>
    <row r="1188" spans="1:29" x14ac:dyDescent="0.2">
      <c r="A1188" s="3">
        <v>42536</v>
      </c>
      <c r="B1188" t="s">
        <v>23</v>
      </c>
      <c r="C1188">
        <v>501</v>
      </c>
      <c r="D1188">
        <v>7</v>
      </c>
      <c r="E1188">
        <v>1</v>
      </c>
      <c r="F1188" t="s">
        <v>24</v>
      </c>
      <c r="G1188" t="s">
        <v>25</v>
      </c>
      <c r="H1188" t="s">
        <v>26</v>
      </c>
      <c r="I1188" t="s">
        <v>139</v>
      </c>
      <c r="J1188" t="s">
        <v>28</v>
      </c>
      <c r="K1188" t="s">
        <v>187</v>
      </c>
      <c r="M1188">
        <v>0</v>
      </c>
      <c r="N1188">
        <v>0</v>
      </c>
      <c r="P1188" s="17">
        <v>50337</v>
      </c>
      <c r="Q1188">
        <f>170-90</f>
        <v>80</v>
      </c>
      <c r="Z1188" t="s">
        <v>32</v>
      </c>
    </row>
    <row r="1189" spans="1:29" x14ac:dyDescent="0.2">
      <c r="A1189" s="3">
        <v>42536</v>
      </c>
      <c r="B1189" t="s">
        <v>23</v>
      </c>
      <c r="C1189">
        <v>503</v>
      </c>
      <c r="D1189">
        <v>1</v>
      </c>
      <c r="E1189">
        <v>1</v>
      </c>
      <c r="F1189" t="s">
        <v>24</v>
      </c>
      <c r="G1189" t="s">
        <v>25</v>
      </c>
      <c r="H1189" t="s">
        <v>26</v>
      </c>
      <c r="I1189" t="s">
        <v>139</v>
      </c>
      <c r="J1189" t="s">
        <v>28</v>
      </c>
      <c r="K1189" t="s">
        <v>187</v>
      </c>
      <c r="L1189" t="s">
        <v>30</v>
      </c>
      <c r="M1189">
        <v>0</v>
      </c>
      <c r="N1189">
        <v>0</v>
      </c>
      <c r="P1189" s="17">
        <v>50578</v>
      </c>
      <c r="Q1189">
        <v>110</v>
      </c>
      <c r="R1189" t="s">
        <v>75</v>
      </c>
      <c r="S1189" t="s">
        <v>145</v>
      </c>
      <c r="T1189">
        <v>36</v>
      </c>
      <c r="W1189">
        <v>22.3</v>
      </c>
      <c r="X1189">
        <v>44.5</v>
      </c>
      <c r="Z1189" t="s">
        <v>32</v>
      </c>
      <c r="AB1189" t="s">
        <v>44</v>
      </c>
      <c r="AC1189" t="s">
        <v>59</v>
      </c>
    </row>
    <row r="1190" spans="1:29" x14ac:dyDescent="0.2">
      <c r="A1190" s="3">
        <v>42536</v>
      </c>
      <c r="B1190" t="s">
        <v>23</v>
      </c>
      <c r="C1190">
        <v>701</v>
      </c>
      <c r="D1190">
        <v>3</v>
      </c>
      <c r="E1190">
        <v>2</v>
      </c>
      <c r="F1190" t="s">
        <v>33</v>
      </c>
      <c r="G1190" t="s">
        <v>25</v>
      </c>
      <c r="H1190" t="s">
        <v>26</v>
      </c>
      <c r="I1190" t="s">
        <v>139</v>
      </c>
      <c r="J1190" t="s">
        <v>28</v>
      </c>
      <c r="K1190" t="s">
        <v>187</v>
      </c>
      <c r="L1190" t="s">
        <v>30</v>
      </c>
      <c r="M1190">
        <v>0</v>
      </c>
      <c r="N1190">
        <v>0</v>
      </c>
      <c r="P1190" s="17" t="s">
        <v>140</v>
      </c>
      <c r="Q1190">
        <f>144-48</f>
        <v>96</v>
      </c>
      <c r="R1190" t="s">
        <v>61</v>
      </c>
      <c r="S1190" t="s">
        <v>145</v>
      </c>
      <c r="T1190">
        <v>32</v>
      </c>
      <c r="W1190">
        <v>42.4</v>
      </c>
      <c r="X1190">
        <v>21.1</v>
      </c>
      <c r="Z1190" t="s">
        <v>32</v>
      </c>
      <c r="AB1190" t="s">
        <v>44</v>
      </c>
      <c r="AC1190" t="s">
        <v>59</v>
      </c>
    </row>
    <row r="1191" spans="1:29" x14ac:dyDescent="0.2">
      <c r="A1191" s="3">
        <v>42536</v>
      </c>
      <c r="B1191" t="s">
        <v>23</v>
      </c>
      <c r="C1191">
        <v>701</v>
      </c>
      <c r="D1191">
        <v>10</v>
      </c>
      <c r="E1191">
        <v>1</v>
      </c>
      <c r="F1191" t="s">
        <v>33</v>
      </c>
      <c r="G1191" t="s">
        <v>25</v>
      </c>
      <c r="H1191" t="s">
        <v>26</v>
      </c>
      <c r="I1191" t="s">
        <v>139</v>
      </c>
      <c r="J1191" t="s">
        <v>213</v>
      </c>
      <c r="K1191" t="s">
        <v>187</v>
      </c>
      <c r="L1191" t="s">
        <v>35</v>
      </c>
      <c r="M1191">
        <v>0</v>
      </c>
      <c r="N1191">
        <v>0</v>
      </c>
      <c r="P1191" s="17">
        <v>50371</v>
      </c>
      <c r="R1191" t="s">
        <v>39</v>
      </c>
      <c r="T1191">
        <v>28</v>
      </c>
      <c r="W1191">
        <v>19.5</v>
      </c>
      <c r="X1191">
        <v>42.5</v>
      </c>
      <c r="Z1191" t="s">
        <v>32</v>
      </c>
      <c r="AB1191" t="s">
        <v>44</v>
      </c>
      <c r="AC1191" t="s">
        <v>59</v>
      </c>
    </row>
    <row r="1192" spans="1:29" x14ac:dyDescent="0.2">
      <c r="A1192" s="3">
        <v>42536</v>
      </c>
      <c r="B1192" t="s">
        <v>23</v>
      </c>
      <c r="C1192">
        <v>801</v>
      </c>
      <c r="D1192">
        <v>8</v>
      </c>
      <c r="E1192">
        <v>1</v>
      </c>
      <c r="F1192" t="s">
        <v>33</v>
      </c>
      <c r="G1192" t="s">
        <v>25</v>
      </c>
      <c r="H1192" t="s">
        <v>26</v>
      </c>
      <c r="I1192" t="s">
        <v>139</v>
      </c>
      <c r="J1192" t="s">
        <v>28</v>
      </c>
      <c r="K1192" t="s">
        <v>187</v>
      </c>
      <c r="L1192" t="s">
        <v>35</v>
      </c>
      <c r="M1192">
        <v>0</v>
      </c>
      <c r="N1192">
        <v>0</v>
      </c>
      <c r="P1192" s="17">
        <v>50302</v>
      </c>
      <c r="Q1192">
        <v>100</v>
      </c>
      <c r="R1192" t="s">
        <v>39</v>
      </c>
      <c r="T1192">
        <v>30</v>
      </c>
      <c r="Z1192" t="s">
        <v>32</v>
      </c>
      <c r="AB1192" t="s">
        <v>44</v>
      </c>
      <c r="AC1192" t="s">
        <v>59</v>
      </c>
    </row>
    <row r="1193" spans="1:29" x14ac:dyDescent="0.2">
      <c r="A1193" s="3">
        <v>42537</v>
      </c>
      <c r="B1193" t="s">
        <v>23</v>
      </c>
      <c r="C1193">
        <v>701</v>
      </c>
      <c r="D1193">
        <v>10</v>
      </c>
      <c r="E1193">
        <v>2</v>
      </c>
      <c r="F1193" t="s">
        <v>33</v>
      </c>
      <c r="G1193" t="s">
        <v>25</v>
      </c>
      <c r="H1193" t="s">
        <v>26</v>
      </c>
      <c r="I1193" t="s">
        <v>139</v>
      </c>
      <c r="J1193" t="s">
        <v>28</v>
      </c>
      <c r="K1193" t="s">
        <v>187</v>
      </c>
      <c r="L1193" t="s">
        <v>30</v>
      </c>
      <c r="M1193">
        <v>0</v>
      </c>
      <c r="N1193">
        <v>0</v>
      </c>
      <c r="P1193" s="17" t="s">
        <v>140</v>
      </c>
      <c r="Q1193">
        <f>138-49</f>
        <v>89</v>
      </c>
      <c r="R1193" t="s">
        <v>61</v>
      </c>
      <c r="S1193" t="s">
        <v>145</v>
      </c>
      <c r="T1193">
        <v>31</v>
      </c>
      <c r="Y1193" t="s">
        <v>215</v>
      </c>
      <c r="Z1193" t="s">
        <v>32</v>
      </c>
      <c r="AB1193" t="s">
        <v>44</v>
      </c>
      <c r="AC1193" t="s">
        <v>122</v>
      </c>
    </row>
    <row r="1194" spans="1:29" x14ac:dyDescent="0.2">
      <c r="A1194" s="3">
        <v>42537</v>
      </c>
      <c r="B1194" t="s">
        <v>23</v>
      </c>
      <c r="C1194">
        <v>801</v>
      </c>
      <c r="D1194">
        <v>2</v>
      </c>
      <c r="E1194">
        <v>1</v>
      </c>
      <c r="F1194" t="s">
        <v>33</v>
      </c>
      <c r="G1194" t="s">
        <v>25</v>
      </c>
      <c r="H1194" t="s">
        <v>26</v>
      </c>
      <c r="I1194" t="s">
        <v>139</v>
      </c>
      <c r="J1194" t="s">
        <v>28</v>
      </c>
      <c r="K1194" t="s">
        <v>187</v>
      </c>
      <c r="L1194" t="s">
        <v>35</v>
      </c>
      <c r="M1194">
        <v>0</v>
      </c>
      <c r="N1194">
        <v>0</v>
      </c>
      <c r="P1194" s="17">
        <v>50392</v>
      </c>
      <c r="Q1194">
        <f>146-48</f>
        <v>98</v>
      </c>
      <c r="R1194" t="s">
        <v>39</v>
      </c>
      <c r="T1194">
        <v>28</v>
      </c>
      <c r="W1194">
        <v>21.2</v>
      </c>
      <c r="X1194">
        <v>44.8</v>
      </c>
      <c r="Z1194" t="s">
        <v>32</v>
      </c>
      <c r="AB1194" t="s">
        <v>44</v>
      </c>
      <c r="AC1194" t="s">
        <v>122</v>
      </c>
    </row>
    <row r="1195" spans="1:29" x14ac:dyDescent="0.2">
      <c r="A1195" s="3">
        <v>42537</v>
      </c>
      <c r="B1195" t="s">
        <v>23</v>
      </c>
      <c r="C1195">
        <v>501</v>
      </c>
      <c r="D1195">
        <v>1</v>
      </c>
      <c r="E1195">
        <v>1</v>
      </c>
      <c r="F1195" t="s">
        <v>24</v>
      </c>
      <c r="G1195" t="s">
        <v>25</v>
      </c>
      <c r="H1195" t="s">
        <v>26</v>
      </c>
      <c r="I1195" t="s">
        <v>139</v>
      </c>
      <c r="J1195" t="s">
        <v>28</v>
      </c>
      <c r="K1195" t="s">
        <v>187</v>
      </c>
      <c r="M1195">
        <v>0</v>
      </c>
      <c r="N1195">
        <v>0</v>
      </c>
      <c r="P1195" s="17">
        <v>50337</v>
      </c>
      <c r="Q1195">
        <f>140-90</f>
        <v>50</v>
      </c>
      <c r="T1195">
        <v>33</v>
      </c>
      <c r="W1195">
        <v>21</v>
      </c>
      <c r="X1195">
        <v>42</v>
      </c>
      <c r="Z1195" t="s">
        <v>32</v>
      </c>
      <c r="AB1195" t="s">
        <v>44</v>
      </c>
      <c r="AC1195" t="s">
        <v>122</v>
      </c>
    </row>
    <row r="1196" spans="1:29" x14ac:dyDescent="0.2">
      <c r="A1196" s="3">
        <v>42537</v>
      </c>
      <c r="B1196" t="s">
        <v>23</v>
      </c>
      <c r="C1196">
        <v>503</v>
      </c>
      <c r="D1196">
        <v>2</v>
      </c>
      <c r="E1196">
        <v>1</v>
      </c>
      <c r="F1196" t="s">
        <v>24</v>
      </c>
      <c r="G1196" t="s">
        <v>25</v>
      </c>
      <c r="H1196" t="s">
        <v>26</v>
      </c>
      <c r="I1196" t="s">
        <v>139</v>
      </c>
      <c r="J1196" t="s">
        <v>28</v>
      </c>
      <c r="K1196" t="s">
        <v>187</v>
      </c>
      <c r="L1196" t="s">
        <v>30</v>
      </c>
      <c r="M1196">
        <v>0</v>
      </c>
      <c r="N1196">
        <v>0</v>
      </c>
      <c r="P1196" s="17">
        <v>50578</v>
      </c>
      <c r="Q1196">
        <f>197-90</f>
        <v>107</v>
      </c>
      <c r="R1196" t="s">
        <v>75</v>
      </c>
      <c r="S1196" t="s">
        <v>145</v>
      </c>
      <c r="T1196">
        <v>34</v>
      </c>
      <c r="W1196">
        <v>22.2</v>
      </c>
      <c r="X1196">
        <v>43.65</v>
      </c>
      <c r="Z1196" t="s">
        <v>32</v>
      </c>
      <c r="AB1196" t="s">
        <v>44</v>
      </c>
      <c r="AC1196" t="s">
        <v>122</v>
      </c>
    </row>
    <row r="1197" spans="1:29" x14ac:dyDescent="0.2">
      <c r="A1197" s="3">
        <v>42541</v>
      </c>
      <c r="B1197" t="s">
        <v>23</v>
      </c>
      <c r="C1197">
        <v>202</v>
      </c>
      <c r="D1197">
        <v>10</v>
      </c>
      <c r="E1197">
        <v>1</v>
      </c>
      <c r="F1197" t="s">
        <v>33</v>
      </c>
      <c r="G1197" t="s">
        <v>25</v>
      </c>
      <c r="H1197" t="s">
        <v>26</v>
      </c>
      <c r="I1197" t="s">
        <v>139</v>
      </c>
      <c r="J1197" t="s">
        <v>28</v>
      </c>
      <c r="K1197" t="s">
        <v>29</v>
      </c>
      <c r="L1197" t="s">
        <v>30</v>
      </c>
      <c r="M1197">
        <v>0</v>
      </c>
      <c r="N1197">
        <v>0</v>
      </c>
      <c r="P1197" s="17" t="s">
        <v>250</v>
      </c>
      <c r="Q1197">
        <f>143-48</f>
        <v>95</v>
      </c>
      <c r="R1197" t="s">
        <v>251</v>
      </c>
      <c r="S1197" t="s">
        <v>145</v>
      </c>
      <c r="T1197">
        <v>32</v>
      </c>
      <c r="Z1197" t="s">
        <v>32</v>
      </c>
      <c r="AB1197" t="s">
        <v>53</v>
      </c>
      <c r="AC1197" t="s">
        <v>122</v>
      </c>
    </row>
    <row r="1198" spans="1:29" x14ac:dyDescent="0.2">
      <c r="A1198" s="3">
        <v>42549</v>
      </c>
      <c r="B1198" t="s">
        <v>23</v>
      </c>
      <c r="C1198">
        <v>501</v>
      </c>
      <c r="D1198">
        <v>3</v>
      </c>
      <c r="E1198">
        <v>1</v>
      </c>
      <c r="F1198" t="s">
        <v>33</v>
      </c>
      <c r="G1198" t="s">
        <v>25</v>
      </c>
      <c r="H1198" t="s">
        <v>26</v>
      </c>
      <c r="I1198" t="s">
        <v>139</v>
      </c>
      <c r="J1198" t="s">
        <v>28</v>
      </c>
      <c r="K1198" t="s">
        <v>29</v>
      </c>
      <c r="L1198" t="s">
        <v>30</v>
      </c>
      <c r="M1198">
        <v>0</v>
      </c>
      <c r="N1198">
        <v>0</v>
      </c>
      <c r="P1198" s="17">
        <v>50337</v>
      </c>
      <c r="Q1198">
        <f>128-46</f>
        <v>82</v>
      </c>
      <c r="R1198" t="s">
        <v>75</v>
      </c>
      <c r="S1198" t="s">
        <v>145</v>
      </c>
      <c r="Z1198" t="s">
        <v>32</v>
      </c>
      <c r="AB1198" t="s">
        <v>149</v>
      </c>
      <c r="AC1198" t="s">
        <v>122</v>
      </c>
    </row>
    <row r="1199" spans="1:29" x14ac:dyDescent="0.2">
      <c r="A1199" s="3">
        <v>42549</v>
      </c>
      <c r="B1199" t="s">
        <v>23</v>
      </c>
      <c r="C1199">
        <v>701</v>
      </c>
      <c r="D1199">
        <v>2</v>
      </c>
      <c r="E1199">
        <v>1</v>
      </c>
      <c r="F1199" t="s">
        <v>24</v>
      </c>
      <c r="G1199" t="s">
        <v>25</v>
      </c>
      <c r="H1199" t="s">
        <v>26</v>
      </c>
      <c r="I1199" t="s">
        <v>139</v>
      </c>
      <c r="J1199" t="s">
        <v>28</v>
      </c>
      <c r="K1199" t="s">
        <v>29</v>
      </c>
      <c r="L1199" t="s">
        <v>30</v>
      </c>
      <c r="M1199">
        <v>0</v>
      </c>
      <c r="N1199">
        <v>0</v>
      </c>
      <c r="P1199" s="17" t="s">
        <v>140</v>
      </c>
      <c r="Q1199">
        <v>90</v>
      </c>
      <c r="R1199" t="s">
        <v>31</v>
      </c>
      <c r="S1199" t="s">
        <v>32</v>
      </c>
      <c r="T1199">
        <v>32</v>
      </c>
      <c r="W1199">
        <v>22.2</v>
      </c>
      <c r="X1199">
        <v>42.9</v>
      </c>
      <c r="Z1199" t="s">
        <v>32</v>
      </c>
      <c r="AB1199" t="s">
        <v>121</v>
      </c>
      <c r="AC1199" t="s">
        <v>122</v>
      </c>
    </row>
    <row r="1200" spans="1:29" x14ac:dyDescent="0.2">
      <c r="A1200" s="3">
        <v>42549</v>
      </c>
      <c r="B1200" t="s">
        <v>23</v>
      </c>
      <c r="C1200">
        <v>801</v>
      </c>
      <c r="D1200">
        <v>1</v>
      </c>
      <c r="E1200">
        <v>1</v>
      </c>
      <c r="F1200" t="s">
        <v>24</v>
      </c>
      <c r="G1200" t="s">
        <v>25</v>
      </c>
      <c r="H1200" t="s">
        <v>26</v>
      </c>
      <c r="I1200" t="s">
        <v>139</v>
      </c>
      <c r="J1200" t="s">
        <v>28</v>
      </c>
      <c r="K1200" t="s">
        <v>29</v>
      </c>
      <c r="L1200" t="s">
        <v>35</v>
      </c>
      <c r="M1200">
        <v>0</v>
      </c>
      <c r="N1200">
        <v>0</v>
      </c>
      <c r="P1200" s="17">
        <v>50392</v>
      </c>
      <c r="Q1200">
        <v>107</v>
      </c>
      <c r="R1200" t="s">
        <v>39</v>
      </c>
      <c r="S1200" t="s">
        <v>32</v>
      </c>
      <c r="T1200">
        <v>34</v>
      </c>
      <c r="W1200">
        <v>22.3</v>
      </c>
      <c r="X1200">
        <v>48</v>
      </c>
      <c r="Z1200" t="s">
        <v>32</v>
      </c>
      <c r="AB1200" t="s">
        <v>121</v>
      </c>
      <c r="AC1200" t="s">
        <v>122</v>
      </c>
    </row>
    <row r="1201" spans="1:30" x14ac:dyDescent="0.2">
      <c r="A1201" s="3">
        <v>42550</v>
      </c>
      <c r="B1201" t="s">
        <v>23</v>
      </c>
      <c r="C1201">
        <v>503</v>
      </c>
      <c r="D1201">
        <v>1</v>
      </c>
      <c r="E1201">
        <v>1</v>
      </c>
      <c r="F1201" t="s">
        <v>33</v>
      </c>
      <c r="G1201" t="s">
        <v>25</v>
      </c>
      <c r="H1201" t="s">
        <v>26</v>
      </c>
      <c r="I1201" t="s">
        <v>139</v>
      </c>
      <c r="J1201" t="s">
        <v>28</v>
      </c>
      <c r="K1201" t="s">
        <v>29</v>
      </c>
      <c r="L1201" t="s">
        <v>30</v>
      </c>
      <c r="M1201">
        <v>0</v>
      </c>
      <c r="N1201">
        <v>0</v>
      </c>
      <c r="P1201" s="17">
        <v>50578</v>
      </c>
      <c r="Q1201">
        <f>144-46</f>
        <v>98</v>
      </c>
      <c r="R1201" t="s">
        <v>251</v>
      </c>
      <c r="S1201" t="s">
        <v>145</v>
      </c>
      <c r="Z1201" t="s">
        <v>32</v>
      </c>
      <c r="AB1201" t="s">
        <v>121</v>
      </c>
      <c r="AC1201" t="s">
        <v>59</v>
      </c>
    </row>
    <row r="1202" spans="1:30" x14ac:dyDescent="0.2">
      <c r="A1202" s="3">
        <v>42550</v>
      </c>
      <c r="B1202" t="s">
        <v>23</v>
      </c>
      <c r="C1202">
        <v>701</v>
      </c>
      <c r="D1202">
        <v>1</v>
      </c>
      <c r="E1202">
        <v>1</v>
      </c>
      <c r="F1202" t="s">
        <v>24</v>
      </c>
      <c r="G1202" t="s">
        <v>25</v>
      </c>
      <c r="H1202" t="s">
        <v>26</v>
      </c>
      <c r="I1202" t="s">
        <v>139</v>
      </c>
      <c r="J1202" t="s">
        <v>28</v>
      </c>
      <c r="K1202" t="s">
        <v>29</v>
      </c>
      <c r="L1202" t="s">
        <v>30</v>
      </c>
      <c r="M1202">
        <v>0</v>
      </c>
      <c r="N1202">
        <v>0</v>
      </c>
      <c r="P1202" s="17" t="s">
        <v>140</v>
      </c>
      <c r="Q1202">
        <v>90</v>
      </c>
      <c r="R1202" t="s">
        <v>31</v>
      </c>
      <c r="S1202" t="s">
        <v>32</v>
      </c>
      <c r="T1202">
        <v>33</v>
      </c>
      <c r="W1202">
        <v>21.5</v>
      </c>
      <c r="X1202">
        <v>46.5</v>
      </c>
      <c r="Z1202" t="s">
        <v>32</v>
      </c>
      <c r="AB1202" t="s">
        <v>53</v>
      </c>
      <c r="AC1202" t="s">
        <v>59</v>
      </c>
    </row>
    <row r="1203" spans="1:30" x14ac:dyDescent="0.2">
      <c r="A1203" s="3">
        <v>42550</v>
      </c>
      <c r="B1203" t="s">
        <v>23</v>
      </c>
      <c r="C1203">
        <v>801</v>
      </c>
      <c r="D1203">
        <v>3</v>
      </c>
      <c r="E1203">
        <v>1</v>
      </c>
      <c r="F1203" t="s">
        <v>24</v>
      </c>
      <c r="G1203" t="s">
        <v>25</v>
      </c>
      <c r="H1203" t="s">
        <v>26</v>
      </c>
      <c r="I1203" t="s">
        <v>139</v>
      </c>
      <c r="J1203" t="s">
        <v>28</v>
      </c>
      <c r="K1203" t="s">
        <v>29</v>
      </c>
      <c r="L1203" t="s">
        <v>35</v>
      </c>
      <c r="M1203">
        <v>0</v>
      </c>
      <c r="N1203">
        <v>0</v>
      </c>
      <c r="P1203" s="17">
        <v>50392</v>
      </c>
      <c r="Q1203">
        <f>190-92</f>
        <v>98</v>
      </c>
      <c r="R1203" t="s">
        <v>39</v>
      </c>
      <c r="T1203">
        <v>34</v>
      </c>
      <c r="W1203">
        <v>22</v>
      </c>
      <c r="X1203">
        <v>44.5</v>
      </c>
      <c r="Z1203" t="s">
        <v>32</v>
      </c>
      <c r="AB1203" t="s">
        <v>53</v>
      </c>
      <c r="AC1203" t="s">
        <v>59</v>
      </c>
    </row>
    <row r="1204" spans="1:30" x14ac:dyDescent="0.2">
      <c r="A1204" s="3">
        <v>42551</v>
      </c>
      <c r="B1204" t="s">
        <v>23</v>
      </c>
      <c r="C1204">
        <v>501</v>
      </c>
      <c r="D1204">
        <v>2</v>
      </c>
      <c r="E1204">
        <v>1</v>
      </c>
      <c r="F1204" t="s">
        <v>33</v>
      </c>
      <c r="G1204" t="s">
        <v>25</v>
      </c>
      <c r="H1204" t="s">
        <v>26</v>
      </c>
      <c r="I1204" t="s">
        <v>139</v>
      </c>
      <c r="J1204" t="s">
        <v>205</v>
      </c>
      <c r="Z1204" t="s">
        <v>32</v>
      </c>
    </row>
    <row r="1205" spans="1:30" x14ac:dyDescent="0.2">
      <c r="A1205" s="3">
        <v>42551</v>
      </c>
      <c r="B1205" t="s">
        <v>23</v>
      </c>
      <c r="C1205">
        <v>501</v>
      </c>
      <c r="D1205">
        <v>10</v>
      </c>
      <c r="E1205">
        <v>1</v>
      </c>
      <c r="F1205" t="s">
        <v>33</v>
      </c>
      <c r="G1205" t="s">
        <v>25</v>
      </c>
      <c r="H1205" t="s">
        <v>26</v>
      </c>
      <c r="I1205" t="s">
        <v>139</v>
      </c>
      <c r="J1205" t="s">
        <v>28</v>
      </c>
      <c r="K1205" t="s">
        <v>29</v>
      </c>
      <c r="L1205" t="s">
        <v>30</v>
      </c>
      <c r="M1205">
        <v>0</v>
      </c>
      <c r="N1205">
        <v>0</v>
      </c>
      <c r="P1205" s="17">
        <v>50337</v>
      </c>
      <c r="Q1205">
        <f>129-50</f>
        <v>79</v>
      </c>
      <c r="R1205" t="s">
        <v>83</v>
      </c>
      <c r="S1205" t="s">
        <v>145</v>
      </c>
      <c r="Z1205" t="s">
        <v>32</v>
      </c>
      <c r="AB1205" t="s">
        <v>44</v>
      </c>
      <c r="AC1205" t="s">
        <v>59</v>
      </c>
    </row>
    <row r="1206" spans="1:30" x14ac:dyDescent="0.2">
      <c r="A1206" s="3">
        <v>42551</v>
      </c>
      <c r="B1206" t="s">
        <v>23</v>
      </c>
      <c r="C1206">
        <v>701</v>
      </c>
      <c r="D1206">
        <v>5</v>
      </c>
      <c r="E1206">
        <v>2</v>
      </c>
      <c r="F1206" t="s">
        <v>24</v>
      </c>
      <c r="G1206" t="s">
        <v>25</v>
      </c>
      <c r="H1206" t="s">
        <v>26</v>
      </c>
      <c r="I1206" t="s">
        <v>139</v>
      </c>
      <c r="J1206" t="s">
        <v>28</v>
      </c>
      <c r="K1206" t="s">
        <v>29</v>
      </c>
      <c r="L1206" t="s">
        <v>30</v>
      </c>
      <c r="M1206">
        <v>0</v>
      </c>
      <c r="N1206">
        <v>0</v>
      </c>
      <c r="P1206" s="17" t="s">
        <v>140</v>
      </c>
      <c r="Q1206">
        <v>90</v>
      </c>
      <c r="R1206" t="s">
        <v>31</v>
      </c>
      <c r="S1206" t="s">
        <v>32</v>
      </c>
      <c r="T1206">
        <v>33.5</v>
      </c>
      <c r="W1206">
        <v>22.75</v>
      </c>
      <c r="X1206">
        <v>42</v>
      </c>
      <c r="Z1206" t="s">
        <v>32</v>
      </c>
      <c r="AB1206" t="s">
        <v>44</v>
      </c>
      <c r="AC1206" t="s">
        <v>116</v>
      </c>
    </row>
    <row r="1207" spans="1:30" x14ac:dyDescent="0.2">
      <c r="A1207" s="3">
        <v>42551</v>
      </c>
      <c r="B1207" t="s">
        <v>23</v>
      </c>
      <c r="C1207">
        <v>801</v>
      </c>
      <c r="D1207">
        <v>1</v>
      </c>
      <c r="E1207">
        <v>1</v>
      </c>
      <c r="F1207" t="s">
        <v>24</v>
      </c>
      <c r="G1207" t="s">
        <v>25</v>
      </c>
      <c r="H1207" t="s">
        <v>26</v>
      </c>
      <c r="I1207" t="s">
        <v>139</v>
      </c>
      <c r="J1207" t="s">
        <v>205</v>
      </c>
      <c r="Z1207" t="s">
        <v>32</v>
      </c>
    </row>
    <row r="1208" spans="1:30" x14ac:dyDescent="0.2">
      <c r="A1208" s="3">
        <v>42551</v>
      </c>
      <c r="B1208" t="s">
        <v>23</v>
      </c>
      <c r="C1208">
        <v>801</v>
      </c>
      <c r="D1208">
        <v>7</v>
      </c>
      <c r="E1208">
        <v>1</v>
      </c>
      <c r="F1208" t="s">
        <v>24</v>
      </c>
      <c r="G1208" t="s">
        <v>25</v>
      </c>
      <c r="H1208" t="s">
        <v>26</v>
      </c>
      <c r="I1208" t="s">
        <v>139</v>
      </c>
      <c r="J1208" t="s">
        <v>205</v>
      </c>
      <c r="Z1208" t="s">
        <v>32</v>
      </c>
    </row>
    <row r="1209" spans="1:30" x14ac:dyDescent="0.2">
      <c r="A1209" s="3">
        <v>42551</v>
      </c>
      <c r="B1209" t="s">
        <v>23</v>
      </c>
      <c r="C1209">
        <v>801</v>
      </c>
      <c r="D1209">
        <v>10</v>
      </c>
      <c r="E1209">
        <v>1</v>
      </c>
      <c r="F1209" t="s">
        <v>24</v>
      </c>
      <c r="G1209" t="s">
        <v>25</v>
      </c>
      <c r="H1209" t="s">
        <v>26</v>
      </c>
      <c r="I1209" t="s">
        <v>139</v>
      </c>
      <c r="J1209" t="s">
        <v>28</v>
      </c>
      <c r="K1209" t="s">
        <v>29</v>
      </c>
      <c r="L1209" t="s">
        <v>35</v>
      </c>
      <c r="M1209">
        <v>0</v>
      </c>
      <c r="N1209">
        <v>0</v>
      </c>
      <c r="P1209" s="17">
        <v>50392</v>
      </c>
      <c r="Q1209">
        <f>185-90</f>
        <v>95</v>
      </c>
      <c r="R1209" t="s">
        <v>39</v>
      </c>
      <c r="T1209">
        <v>32</v>
      </c>
      <c r="W1209">
        <v>21.4</v>
      </c>
      <c r="X1209">
        <v>44.1</v>
      </c>
      <c r="Z1209" t="s">
        <v>32</v>
      </c>
      <c r="AB1209" t="s">
        <v>44</v>
      </c>
      <c r="AC1209" t="s">
        <v>116</v>
      </c>
      <c r="AD1209" t="s">
        <v>346</v>
      </c>
    </row>
    <row r="1210" spans="1:30" x14ac:dyDescent="0.2">
      <c r="A1210" s="3">
        <v>42558</v>
      </c>
      <c r="B1210" t="s">
        <v>23</v>
      </c>
      <c r="C1210">
        <v>201</v>
      </c>
      <c r="D1210">
        <v>4</v>
      </c>
      <c r="E1210">
        <v>1</v>
      </c>
      <c r="F1210" t="s">
        <v>24</v>
      </c>
      <c r="G1210" t="s">
        <v>25</v>
      </c>
      <c r="H1210" t="s">
        <v>26</v>
      </c>
      <c r="I1210" t="s">
        <v>139</v>
      </c>
      <c r="J1210" t="s">
        <v>56</v>
      </c>
    </row>
    <row r="1211" spans="1:30" x14ac:dyDescent="0.2">
      <c r="A1211" s="3">
        <v>42558</v>
      </c>
      <c r="B1211" t="s">
        <v>23</v>
      </c>
      <c r="C1211">
        <v>402</v>
      </c>
      <c r="D1211">
        <v>10</v>
      </c>
      <c r="E1211">
        <v>1</v>
      </c>
      <c r="F1211" t="s">
        <v>33</v>
      </c>
      <c r="G1211" t="s">
        <v>25</v>
      </c>
      <c r="H1211" t="s">
        <v>26</v>
      </c>
      <c r="I1211" t="s">
        <v>139</v>
      </c>
      <c r="J1211" t="s">
        <v>205</v>
      </c>
      <c r="K1211" t="s">
        <v>29</v>
      </c>
      <c r="L1211" t="s">
        <v>30</v>
      </c>
    </row>
    <row r="1212" spans="1:30" x14ac:dyDescent="0.2">
      <c r="A1212" s="3">
        <v>42563</v>
      </c>
      <c r="B1212" t="s">
        <v>23</v>
      </c>
      <c r="C1212">
        <v>701</v>
      </c>
      <c r="D1212">
        <v>4</v>
      </c>
      <c r="E1212">
        <v>1</v>
      </c>
      <c r="F1212" t="s">
        <v>33</v>
      </c>
      <c r="G1212" t="s">
        <v>25</v>
      </c>
      <c r="H1212" t="s">
        <v>26</v>
      </c>
      <c r="I1212" t="s">
        <v>139</v>
      </c>
      <c r="J1212" t="s">
        <v>28</v>
      </c>
      <c r="K1212" t="s">
        <v>29</v>
      </c>
      <c r="L1212" t="s">
        <v>30</v>
      </c>
      <c r="M1212">
        <v>0</v>
      </c>
      <c r="N1212">
        <v>0</v>
      </c>
      <c r="P1212" s="17" t="s">
        <v>140</v>
      </c>
      <c r="R1212" t="s">
        <v>83</v>
      </c>
      <c r="S1212" t="s">
        <v>145</v>
      </c>
      <c r="T1212">
        <v>31</v>
      </c>
      <c r="Z1212" t="s">
        <v>32</v>
      </c>
      <c r="AB1212" t="s">
        <v>53</v>
      </c>
      <c r="AC1212" t="s">
        <v>122</v>
      </c>
    </row>
    <row r="1213" spans="1:30" x14ac:dyDescent="0.2">
      <c r="A1213" s="3">
        <v>42564</v>
      </c>
      <c r="B1213" t="s">
        <v>23</v>
      </c>
      <c r="C1213">
        <v>501</v>
      </c>
      <c r="D1213">
        <v>9</v>
      </c>
      <c r="E1213">
        <v>1</v>
      </c>
      <c r="F1213" t="s">
        <v>24</v>
      </c>
      <c r="G1213" t="s">
        <v>25</v>
      </c>
      <c r="H1213" t="s">
        <v>26</v>
      </c>
      <c r="I1213" t="s">
        <v>139</v>
      </c>
      <c r="J1213" t="s">
        <v>28</v>
      </c>
      <c r="K1213" t="s">
        <v>29</v>
      </c>
      <c r="L1213" t="s">
        <v>30</v>
      </c>
      <c r="M1213">
        <v>0</v>
      </c>
      <c r="N1213">
        <v>0</v>
      </c>
      <c r="P1213" s="17">
        <v>50337</v>
      </c>
      <c r="Q1213">
        <f>175-90</f>
        <v>85</v>
      </c>
      <c r="R1213" t="s">
        <v>75</v>
      </c>
      <c r="S1213" t="s">
        <v>145</v>
      </c>
      <c r="T1213">
        <v>29</v>
      </c>
      <c r="W1213">
        <v>12.3</v>
      </c>
      <c r="X1213">
        <v>43.8</v>
      </c>
      <c r="Z1213" t="s">
        <v>32</v>
      </c>
    </row>
    <row r="1214" spans="1:30" x14ac:dyDescent="0.2">
      <c r="A1214" s="3">
        <v>42564</v>
      </c>
      <c r="B1214" t="s">
        <v>23</v>
      </c>
      <c r="C1214">
        <v>701</v>
      </c>
      <c r="D1214">
        <v>3</v>
      </c>
      <c r="E1214">
        <v>2</v>
      </c>
      <c r="F1214" t="s">
        <v>33</v>
      </c>
      <c r="G1214" t="s">
        <v>25</v>
      </c>
      <c r="H1214" t="s">
        <v>26</v>
      </c>
      <c r="I1214" t="s">
        <v>139</v>
      </c>
      <c r="J1214" t="s">
        <v>28</v>
      </c>
      <c r="K1214" t="s">
        <v>29</v>
      </c>
      <c r="L1214" t="s">
        <v>30</v>
      </c>
      <c r="M1214">
        <v>0</v>
      </c>
      <c r="N1214">
        <v>0</v>
      </c>
      <c r="P1214" s="17" t="s">
        <v>140</v>
      </c>
      <c r="Q1214">
        <f>138-49</f>
        <v>89</v>
      </c>
      <c r="R1214" t="s">
        <v>83</v>
      </c>
      <c r="S1214" t="s">
        <v>145</v>
      </c>
      <c r="T1214">
        <v>31</v>
      </c>
      <c r="W1214">
        <v>23</v>
      </c>
      <c r="X1214">
        <v>41.3</v>
      </c>
      <c r="Z1214" t="s">
        <v>32</v>
      </c>
      <c r="AB1214" t="s">
        <v>121</v>
      </c>
      <c r="AC1214" t="s">
        <v>122</v>
      </c>
    </row>
    <row r="1215" spans="1:30" x14ac:dyDescent="0.2">
      <c r="A1215" s="3">
        <v>42564</v>
      </c>
      <c r="B1215" t="s">
        <v>23</v>
      </c>
      <c r="C1215">
        <v>801</v>
      </c>
      <c r="D1215">
        <v>7</v>
      </c>
      <c r="E1215">
        <v>2</v>
      </c>
      <c r="F1215" t="s">
        <v>33</v>
      </c>
      <c r="G1215" t="s">
        <v>25</v>
      </c>
      <c r="H1215" t="s">
        <v>26</v>
      </c>
      <c r="I1215" t="s">
        <v>139</v>
      </c>
      <c r="J1215" t="s">
        <v>28</v>
      </c>
      <c r="K1215" t="s">
        <v>29</v>
      </c>
      <c r="L1215" t="s">
        <v>35</v>
      </c>
      <c r="M1215">
        <v>0</v>
      </c>
      <c r="N1215">
        <v>0</v>
      </c>
      <c r="P1215" s="17">
        <v>50392</v>
      </c>
      <c r="Q1215">
        <f>140-50</f>
        <v>90</v>
      </c>
      <c r="R1215" t="s">
        <v>39</v>
      </c>
      <c r="T1215">
        <v>29</v>
      </c>
      <c r="W1215">
        <v>22.5</v>
      </c>
      <c r="X1215">
        <v>40.9</v>
      </c>
      <c r="Z1215" t="s">
        <v>32</v>
      </c>
      <c r="AB1215" t="s">
        <v>121</v>
      </c>
      <c r="AC1215" t="s">
        <v>122</v>
      </c>
    </row>
    <row r="1216" spans="1:30" x14ac:dyDescent="0.2">
      <c r="A1216" s="3">
        <v>42565</v>
      </c>
      <c r="B1216" t="s">
        <v>23</v>
      </c>
      <c r="C1216">
        <v>501</v>
      </c>
      <c r="D1216">
        <v>7</v>
      </c>
      <c r="E1216">
        <v>1</v>
      </c>
      <c r="F1216" t="s">
        <v>24</v>
      </c>
      <c r="G1216" t="s">
        <v>25</v>
      </c>
      <c r="H1216" t="s">
        <v>26</v>
      </c>
      <c r="I1216" t="s">
        <v>139</v>
      </c>
      <c r="J1216" t="s">
        <v>28</v>
      </c>
      <c r="K1216" t="s">
        <v>123</v>
      </c>
      <c r="L1216" t="s">
        <v>30</v>
      </c>
      <c r="M1216">
        <v>0</v>
      </c>
      <c r="N1216">
        <v>0</v>
      </c>
      <c r="P1216" s="17">
        <v>50337</v>
      </c>
      <c r="Q1216">
        <f>180-110</f>
        <v>70</v>
      </c>
      <c r="R1216" t="s">
        <v>31</v>
      </c>
      <c r="S1216" t="s">
        <v>32</v>
      </c>
      <c r="T1216">
        <v>28</v>
      </c>
      <c r="W1216">
        <v>22.1</v>
      </c>
      <c r="X1216">
        <v>42.2</v>
      </c>
      <c r="Z1216" t="s">
        <v>32</v>
      </c>
      <c r="AB1216" t="s">
        <v>489</v>
      </c>
      <c r="AC1216" t="s">
        <v>254</v>
      </c>
    </row>
    <row r="1217" spans="1:30" x14ac:dyDescent="0.2">
      <c r="A1217" s="3">
        <v>42565</v>
      </c>
      <c r="B1217" t="s">
        <v>23</v>
      </c>
      <c r="C1217">
        <v>501</v>
      </c>
      <c r="D1217">
        <v>10</v>
      </c>
      <c r="E1217">
        <v>2</v>
      </c>
      <c r="F1217" t="s">
        <v>24</v>
      </c>
      <c r="G1217" t="s">
        <v>25</v>
      </c>
      <c r="H1217" t="s">
        <v>26</v>
      </c>
      <c r="I1217" t="s">
        <v>139</v>
      </c>
      <c r="J1217" t="s">
        <v>28</v>
      </c>
      <c r="K1217" t="s">
        <v>29</v>
      </c>
      <c r="L1217" t="s">
        <v>30</v>
      </c>
      <c r="M1217">
        <v>0</v>
      </c>
      <c r="N1217">
        <v>0</v>
      </c>
      <c r="P1217" s="17">
        <v>50314</v>
      </c>
      <c r="Q1217">
        <f>225-115</f>
        <v>110</v>
      </c>
      <c r="R1217" t="s">
        <v>75</v>
      </c>
      <c r="S1217" t="s">
        <v>145</v>
      </c>
      <c r="T1217">
        <v>34</v>
      </c>
      <c r="W1217">
        <v>23.4</v>
      </c>
      <c r="X1217">
        <v>42.7</v>
      </c>
      <c r="Z1217" t="s">
        <v>32</v>
      </c>
      <c r="AB1217" t="s">
        <v>489</v>
      </c>
      <c r="AC1217" t="s">
        <v>254</v>
      </c>
    </row>
    <row r="1218" spans="1:30" x14ac:dyDescent="0.2">
      <c r="A1218" s="3">
        <v>42565</v>
      </c>
      <c r="B1218" t="s">
        <v>23</v>
      </c>
      <c r="C1218">
        <v>801</v>
      </c>
      <c r="D1218">
        <v>1</v>
      </c>
      <c r="E1218">
        <v>2</v>
      </c>
      <c r="F1218" t="s">
        <v>33</v>
      </c>
      <c r="G1218" t="s">
        <v>25</v>
      </c>
      <c r="H1218" t="s">
        <v>26</v>
      </c>
      <c r="I1218" t="s">
        <v>139</v>
      </c>
      <c r="J1218" t="s">
        <v>28</v>
      </c>
      <c r="K1218" t="s">
        <v>29</v>
      </c>
      <c r="L1218" t="s">
        <v>35</v>
      </c>
      <c r="M1218">
        <v>0</v>
      </c>
      <c r="N1218">
        <v>0</v>
      </c>
      <c r="P1218" s="17">
        <v>50392</v>
      </c>
      <c r="Q1218">
        <f>142-55</f>
        <v>87</v>
      </c>
      <c r="R1218" t="s">
        <v>39</v>
      </c>
      <c r="T1218">
        <v>30</v>
      </c>
      <c r="W1218">
        <v>22.5</v>
      </c>
      <c r="X1218">
        <v>41.2</v>
      </c>
      <c r="Z1218" t="s">
        <v>32</v>
      </c>
      <c r="AB1218" t="s">
        <v>121</v>
      </c>
      <c r="AC1218" t="s">
        <v>254</v>
      </c>
    </row>
    <row r="1219" spans="1:30" x14ac:dyDescent="0.2">
      <c r="A1219" s="3">
        <v>42565</v>
      </c>
      <c r="B1219" t="s">
        <v>23</v>
      </c>
      <c r="C1219">
        <v>803</v>
      </c>
      <c r="D1219">
        <v>1</v>
      </c>
      <c r="E1219">
        <v>2</v>
      </c>
      <c r="F1219" t="s">
        <v>33</v>
      </c>
      <c r="G1219" t="s">
        <v>25</v>
      </c>
      <c r="H1219" t="s">
        <v>26</v>
      </c>
      <c r="I1219" t="s">
        <v>139</v>
      </c>
      <c r="J1219" t="s">
        <v>28</v>
      </c>
      <c r="K1219" t="s">
        <v>188</v>
      </c>
      <c r="L1219" t="s">
        <v>30</v>
      </c>
      <c r="M1219">
        <v>0</v>
      </c>
      <c r="N1219">
        <v>0</v>
      </c>
      <c r="P1219" s="17">
        <v>50770</v>
      </c>
      <c r="Q1219">
        <f>114-58</f>
        <v>56</v>
      </c>
      <c r="R1219" t="s">
        <v>31</v>
      </c>
      <c r="S1219" t="s">
        <v>145</v>
      </c>
      <c r="Z1219" t="s">
        <v>32</v>
      </c>
      <c r="AB1219" t="s">
        <v>121</v>
      </c>
      <c r="AC1219" t="s">
        <v>254</v>
      </c>
    </row>
    <row r="1220" spans="1:30" x14ac:dyDescent="0.2">
      <c r="A1220" s="3">
        <v>42570</v>
      </c>
      <c r="B1220" t="s">
        <v>23</v>
      </c>
      <c r="C1220">
        <v>113</v>
      </c>
      <c r="D1220">
        <v>7</v>
      </c>
      <c r="E1220">
        <v>1</v>
      </c>
      <c r="F1220" t="s">
        <v>24</v>
      </c>
      <c r="G1220" t="s">
        <v>25</v>
      </c>
      <c r="H1220" t="s">
        <v>26</v>
      </c>
      <c r="I1220" t="s">
        <v>139</v>
      </c>
      <c r="J1220" t="s">
        <v>205</v>
      </c>
    </row>
    <row r="1221" spans="1:30" x14ac:dyDescent="0.2">
      <c r="A1221" s="3">
        <v>42572</v>
      </c>
      <c r="B1221" t="s">
        <v>23</v>
      </c>
      <c r="C1221">
        <v>402</v>
      </c>
      <c r="D1221">
        <v>9</v>
      </c>
      <c r="E1221">
        <v>1</v>
      </c>
      <c r="F1221" t="s">
        <v>24</v>
      </c>
      <c r="G1221" t="s">
        <v>25</v>
      </c>
      <c r="H1221" t="s">
        <v>26</v>
      </c>
      <c r="I1221" t="s">
        <v>139</v>
      </c>
      <c r="J1221" t="s">
        <v>206</v>
      </c>
      <c r="AB1221" t="s">
        <v>121</v>
      </c>
      <c r="AC1221" t="s">
        <v>122</v>
      </c>
      <c r="AD1221" t="s">
        <v>653</v>
      </c>
    </row>
    <row r="1222" spans="1:30" x14ac:dyDescent="0.2">
      <c r="A1222" s="3">
        <v>42574</v>
      </c>
      <c r="B1222" t="s">
        <v>23</v>
      </c>
      <c r="C1222">
        <v>801</v>
      </c>
      <c r="D1222">
        <v>7</v>
      </c>
      <c r="E1222">
        <v>2</v>
      </c>
      <c r="F1222" t="s">
        <v>24</v>
      </c>
      <c r="G1222" t="s">
        <v>25</v>
      </c>
      <c r="H1222" t="s">
        <v>26</v>
      </c>
      <c r="I1222" t="s">
        <v>139</v>
      </c>
      <c r="J1222" t="s">
        <v>28</v>
      </c>
      <c r="K1222" t="s">
        <v>29</v>
      </c>
      <c r="L1222" t="s">
        <v>35</v>
      </c>
      <c r="M1222">
        <v>0</v>
      </c>
      <c r="N1222">
        <v>0</v>
      </c>
      <c r="P1222" s="17">
        <v>50382</v>
      </c>
      <c r="Q1222">
        <v>100</v>
      </c>
      <c r="R1222" t="s">
        <v>63</v>
      </c>
      <c r="T1222">
        <v>31</v>
      </c>
      <c r="W1222">
        <v>23.6</v>
      </c>
      <c r="X1222">
        <v>46.5</v>
      </c>
      <c r="Z1222" t="s">
        <v>32</v>
      </c>
      <c r="AB1222" t="s">
        <v>582</v>
      </c>
      <c r="AC1222" t="s">
        <v>59</v>
      </c>
    </row>
    <row r="1223" spans="1:30" x14ac:dyDescent="0.2">
      <c r="A1223" s="3">
        <v>42574</v>
      </c>
      <c r="B1223" t="s">
        <v>23</v>
      </c>
      <c r="C1223">
        <v>803</v>
      </c>
      <c r="D1223">
        <v>7</v>
      </c>
      <c r="E1223">
        <v>1</v>
      </c>
      <c r="F1223" t="s">
        <v>24</v>
      </c>
      <c r="G1223" t="s">
        <v>25</v>
      </c>
      <c r="H1223" t="s">
        <v>26</v>
      </c>
      <c r="I1223" t="s">
        <v>139</v>
      </c>
      <c r="J1223" t="s">
        <v>205</v>
      </c>
    </row>
    <row r="1224" spans="1:30" x14ac:dyDescent="0.2">
      <c r="A1224" s="3">
        <v>42575</v>
      </c>
      <c r="B1224" t="s">
        <v>23</v>
      </c>
      <c r="C1224">
        <v>901</v>
      </c>
      <c r="D1224">
        <v>4</v>
      </c>
      <c r="E1224">
        <v>1</v>
      </c>
      <c r="F1224" t="s">
        <v>24</v>
      </c>
      <c r="G1224" t="s">
        <v>25</v>
      </c>
      <c r="H1224" t="s">
        <v>26</v>
      </c>
      <c r="I1224" t="s">
        <v>139</v>
      </c>
      <c r="J1224" t="s">
        <v>206</v>
      </c>
    </row>
    <row r="1225" spans="1:30" x14ac:dyDescent="0.2">
      <c r="A1225" s="3">
        <v>42576</v>
      </c>
      <c r="B1225" t="s">
        <v>23</v>
      </c>
      <c r="C1225">
        <v>501</v>
      </c>
      <c r="D1225">
        <v>3</v>
      </c>
      <c r="E1225">
        <v>2</v>
      </c>
      <c r="F1225" t="s">
        <v>33</v>
      </c>
      <c r="G1225" t="s">
        <v>25</v>
      </c>
      <c r="H1225" t="s">
        <v>26</v>
      </c>
      <c r="I1225" t="s">
        <v>139</v>
      </c>
      <c r="J1225" t="s">
        <v>205</v>
      </c>
    </row>
    <row r="1226" spans="1:30" x14ac:dyDescent="0.2">
      <c r="A1226" s="3">
        <v>42576</v>
      </c>
      <c r="B1226" t="s">
        <v>23</v>
      </c>
      <c r="C1226">
        <v>801</v>
      </c>
      <c r="D1226">
        <v>9</v>
      </c>
      <c r="E1226">
        <v>2</v>
      </c>
      <c r="F1226" t="s">
        <v>66</v>
      </c>
      <c r="G1226" t="s">
        <v>25</v>
      </c>
      <c r="H1226" t="s">
        <v>26</v>
      </c>
      <c r="I1226" t="s">
        <v>139</v>
      </c>
      <c r="J1226" t="s">
        <v>205</v>
      </c>
      <c r="Q1226">
        <f>215-130</f>
        <v>85</v>
      </c>
    </row>
    <row r="1227" spans="1:30" x14ac:dyDescent="0.2">
      <c r="A1227" s="3">
        <v>42586</v>
      </c>
      <c r="B1227" t="s">
        <v>23</v>
      </c>
      <c r="C1227">
        <v>112</v>
      </c>
      <c r="D1227">
        <v>9</v>
      </c>
      <c r="E1227">
        <v>2</v>
      </c>
      <c r="F1227" t="s">
        <v>64</v>
      </c>
      <c r="G1227" t="s">
        <v>25</v>
      </c>
      <c r="H1227" t="s">
        <v>26</v>
      </c>
      <c r="I1227" t="s">
        <v>139</v>
      </c>
      <c r="J1227" t="s">
        <v>205</v>
      </c>
    </row>
    <row r="1228" spans="1:30" x14ac:dyDescent="0.2">
      <c r="A1228" s="3">
        <v>42591</v>
      </c>
      <c r="B1228" t="s">
        <v>23</v>
      </c>
      <c r="C1228">
        <v>803</v>
      </c>
      <c r="D1228">
        <v>10</v>
      </c>
      <c r="E1228">
        <v>2</v>
      </c>
      <c r="F1228" t="s">
        <v>64</v>
      </c>
      <c r="G1228" t="s">
        <v>25</v>
      </c>
      <c r="H1228" t="s">
        <v>26</v>
      </c>
      <c r="I1228" t="s">
        <v>139</v>
      </c>
      <c r="J1228" t="s">
        <v>28</v>
      </c>
      <c r="K1228" t="s">
        <v>29</v>
      </c>
      <c r="L1228" t="s">
        <v>35</v>
      </c>
      <c r="M1228">
        <v>0</v>
      </c>
      <c r="N1228">
        <v>0</v>
      </c>
      <c r="P1228" s="17" t="s">
        <v>1378</v>
      </c>
      <c r="Q1228">
        <f>148-50</f>
        <v>98</v>
      </c>
      <c r="R1228" t="s">
        <v>39</v>
      </c>
      <c r="T1228">
        <v>30</v>
      </c>
      <c r="W1228">
        <v>22.5</v>
      </c>
      <c r="X1228">
        <v>42.9</v>
      </c>
      <c r="Z1228" t="s">
        <v>145</v>
      </c>
      <c r="AA1228" t="s">
        <v>260</v>
      </c>
      <c r="AB1228" t="s">
        <v>44</v>
      </c>
      <c r="AC1228" t="s">
        <v>59</v>
      </c>
    </row>
    <row r="1229" spans="1:30" x14ac:dyDescent="0.2">
      <c r="A1229" s="3">
        <v>42592</v>
      </c>
      <c r="B1229" t="s">
        <v>23</v>
      </c>
      <c r="C1229">
        <v>701</v>
      </c>
      <c r="D1229">
        <v>10</v>
      </c>
      <c r="E1229">
        <v>2</v>
      </c>
      <c r="F1229" t="s">
        <v>64</v>
      </c>
      <c r="G1229" t="s">
        <v>25</v>
      </c>
      <c r="H1229" t="s">
        <v>26</v>
      </c>
      <c r="I1229" t="s">
        <v>139</v>
      </c>
      <c r="J1229" t="s">
        <v>28</v>
      </c>
      <c r="K1229" t="s">
        <v>29</v>
      </c>
      <c r="L1229" t="s">
        <v>30</v>
      </c>
      <c r="M1229">
        <v>0</v>
      </c>
      <c r="N1229">
        <v>0</v>
      </c>
      <c r="P1229" s="17" t="s">
        <v>140</v>
      </c>
      <c r="Q1229">
        <f>142-50</f>
        <v>92</v>
      </c>
      <c r="R1229" t="s">
        <v>75</v>
      </c>
      <c r="S1229" t="s">
        <v>145</v>
      </c>
      <c r="T1229">
        <v>29</v>
      </c>
      <c r="W1229">
        <v>22.2</v>
      </c>
      <c r="X1229">
        <v>42.8</v>
      </c>
      <c r="Y1229" t="s">
        <v>1432</v>
      </c>
      <c r="Z1229" t="s">
        <v>145</v>
      </c>
      <c r="AA1229" t="s">
        <v>260</v>
      </c>
      <c r="AB1229" t="s">
        <v>53</v>
      </c>
      <c r="AC1229" t="s">
        <v>59</v>
      </c>
      <c r="AD1229" t="s">
        <v>1430</v>
      </c>
    </row>
    <row r="1230" spans="1:30" x14ac:dyDescent="0.2">
      <c r="A1230" s="3">
        <v>42592</v>
      </c>
      <c r="B1230" t="s">
        <v>23</v>
      </c>
      <c r="C1230">
        <v>801</v>
      </c>
      <c r="D1230">
        <v>7</v>
      </c>
      <c r="E1230">
        <v>2</v>
      </c>
      <c r="F1230" t="s">
        <v>64</v>
      </c>
      <c r="G1230" t="s">
        <v>25</v>
      </c>
      <c r="H1230" t="s">
        <v>26</v>
      </c>
      <c r="I1230" t="s">
        <v>139</v>
      </c>
      <c r="J1230" t="s">
        <v>28</v>
      </c>
      <c r="K1230" t="s">
        <v>29</v>
      </c>
      <c r="L1230" t="s">
        <v>35</v>
      </c>
      <c r="M1230">
        <v>0</v>
      </c>
      <c r="N1230">
        <v>0</v>
      </c>
      <c r="P1230" s="17" t="s">
        <v>1378</v>
      </c>
      <c r="Q1230">
        <f>142-46</f>
        <v>96</v>
      </c>
      <c r="R1230" t="s">
        <v>63</v>
      </c>
      <c r="T1230">
        <v>33</v>
      </c>
      <c r="W1230">
        <v>22</v>
      </c>
      <c r="X1230">
        <v>41.8</v>
      </c>
      <c r="Z1230" t="s">
        <v>145</v>
      </c>
      <c r="AA1230" t="s">
        <v>260</v>
      </c>
      <c r="AB1230" t="s">
        <v>53</v>
      </c>
      <c r="AC1230" t="s">
        <v>59</v>
      </c>
      <c r="AD1230" t="s">
        <v>1057</v>
      </c>
    </row>
    <row r="1231" spans="1:30" x14ac:dyDescent="0.2">
      <c r="A1231" s="3">
        <v>42592</v>
      </c>
      <c r="B1231" t="s">
        <v>23</v>
      </c>
      <c r="C1231">
        <v>503</v>
      </c>
      <c r="D1231">
        <v>9</v>
      </c>
      <c r="E1231">
        <v>1</v>
      </c>
      <c r="F1231" t="s">
        <v>24</v>
      </c>
      <c r="G1231" t="s">
        <v>25</v>
      </c>
      <c r="H1231" t="s">
        <v>26</v>
      </c>
      <c r="I1231" t="s">
        <v>139</v>
      </c>
      <c r="J1231" t="s">
        <v>205</v>
      </c>
    </row>
    <row r="1232" spans="1:30" x14ac:dyDescent="0.2">
      <c r="A1232" s="3">
        <v>42593</v>
      </c>
      <c r="B1232" t="s">
        <v>23</v>
      </c>
      <c r="C1232">
        <v>703</v>
      </c>
      <c r="D1232">
        <v>10</v>
      </c>
      <c r="E1232">
        <v>2</v>
      </c>
      <c r="F1232" t="s">
        <v>64</v>
      </c>
      <c r="G1232" t="s">
        <v>25</v>
      </c>
      <c r="H1232" t="s">
        <v>26</v>
      </c>
      <c r="I1232" t="s">
        <v>139</v>
      </c>
      <c r="J1232" t="s">
        <v>28</v>
      </c>
      <c r="K1232" t="s">
        <v>29</v>
      </c>
      <c r="L1232" t="s">
        <v>30</v>
      </c>
      <c r="M1232">
        <v>0</v>
      </c>
      <c r="N1232">
        <v>0</v>
      </c>
      <c r="P1232" s="17" t="s">
        <v>140</v>
      </c>
      <c r="Q1232">
        <f>147-46</f>
        <v>101</v>
      </c>
      <c r="R1232" t="s">
        <v>251</v>
      </c>
      <c r="S1232" t="s">
        <v>145</v>
      </c>
      <c r="T1232">
        <v>30</v>
      </c>
      <c r="W1232">
        <v>21.6</v>
      </c>
      <c r="X1232">
        <v>40.799999999999997</v>
      </c>
      <c r="Z1232" t="s">
        <v>145</v>
      </c>
      <c r="AA1232" t="s">
        <v>1477</v>
      </c>
      <c r="AB1232" t="s">
        <v>44</v>
      </c>
      <c r="AC1232" t="s">
        <v>122</v>
      </c>
      <c r="AD1232" t="s">
        <v>1478</v>
      </c>
    </row>
    <row r="1233" spans="1:30" x14ac:dyDescent="0.2">
      <c r="A1233" s="3">
        <v>42593</v>
      </c>
      <c r="B1233" t="s">
        <v>23</v>
      </c>
      <c r="C1233">
        <v>801</v>
      </c>
      <c r="D1233">
        <v>1</v>
      </c>
      <c r="E1233">
        <v>1</v>
      </c>
      <c r="F1233" t="s">
        <v>64</v>
      </c>
      <c r="G1233" t="s">
        <v>25</v>
      </c>
      <c r="H1233" t="s">
        <v>26</v>
      </c>
      <c r="I1233" t="s">
        <v>139</v>
      </c>
      <c r="J1233" t="s">
        <v>28</v>
      </c>
      <c r="K1233" t="s">
        <v>29</v>
      </c>
      <c r="L1233" t="s">
        <v>35</v>
      </c>
      <c r="M1233">
        <v>0</v>
      </c>
      <c r="N1233">
        <v>0</v>
      </c>
      <c r="P1233" s="17" t="s">
        <v>1378</v>
      </c>
      <c r="Q1233">
        <f>144-46</f>
        <v>98</v>
      </c>
      <c r="R1233" t="s">
        <v>63</v>
      </c>
      <c r="T1233">
        <v>30</v>
      </c>
      <c r="Z1233" t="s">
        <v>145</v>
      </c>
      <c r="AA1233" t="s">
        <v>260</v>
      </c>
      <c r="AB1233" t="s">
        <v>44</v>
      </c>
      <c r="AC1233" t="s">
        <v>122</v>
      </c>
      <c r="AD1233" t="s">
        <v>1478</v>
      </c>
    </row>
    <row r="1234" spans="1:30" x14ac:dyDescent="0.2">
      <c r="A1234" s="3">
        <v>42605</v>
      </c>
      <c r="B1234" t="s">
        <v>23</v>
      </c>
      <c r="C1234">
        <v>701</v>
      </c>
      <c r="D1234">
        <v>2</v>
      </c>
      <c r="E1234">
        <v>1</v>
      </c>
      <c r="F1234" t="s">
        <v>24</v>
      </c>
      <c r="G1234" t="s">
        <v>25</v>
      </c>
      <c r="H1234" t="s">
        <v>26</v>
      </c>
      <c r="I1234" t="s">
        <v>139</v>
      </c>
      <c r="J1234" t="s">
        <v>28</v>
      </c>
      <c r="K1234" t="s">
        <v>29</v>
      </c>
      <c r="L1234" t="s">
        <v>30</v>
      </c>
      <c r="M1234">
        <v>0</v>
      </c>
      <c r="N1234">
        <v>0</v>
      </c>
      <c r="P1234" s="17" t="s">
        <v>140</v>
      </c>
      <c r="Q1234">
        <f>185-90</f>
        <v>95</v>
      </c>
      <c r="R1234" t="s">
        <v>31</v>
      </c>
      <c r="S1234" t="s">
        <v>32</v>
      </c>
      <c r="T1234">
        <v>31</v>
      </c>
      <c r="W1234">
        <v>22.75</v>
      </c>
      <c r="X1234">
        <v>43.1</v>
      </c>
      <c r="AB1234" t="s">
        <v>44</v>
      </c>
      <c r="AC1234" t="s">
        <v>59</v>
      </c>
    </row>
    <row r="1235" spans="1:30" x14ac:dyDescent="0.2">
      <c r="A1235" s="3">
        <v>42605</v>
      </c>
      <c r="B1235" t="s">
        <v>23</v>
      </c>
      <c r="C1235">
        <v>801</v>
      </c>
      <c r="D1235">
        <v>5</v>
      </c>
      <c r="E1235">
        <v>2</v>
      </c>
      <c r="F1235" t="s">
        <v>24</v>
      </c>
      <c r="G1235" t="s">
        <v>25</v>
      </c>
      <c r="H1235" t="s">
        <v>26</v>
      </c>
      <c r="I1235" t="s">
        <v>139</v>
      </c>
      <c r="J1235" t="s">
        <v>28</v>
      </c>
      <c r="K1235" t="s">
        <v>29</v>
      </c>
      <c r="L1235" t="s">
        <v>35</v>
      </c>
      <c r="M1235">
        <v>0</v>
      </c>
      <c r="N1235">
        <v>0</v>
      </c>
      <c r="P1235" s="17" t="s">
        <v>1378</v>
      </c>
      <c r="Q1235">
        <f>193-95</f>
        <v>98</v>
      </c>
      <c r="R1235" t="s">
        <v>63</v>
      </c>
      <c r="T1235">
        <v>29</v>
      </c>
      <c r="W1235">
        <v>23.3</v>
      </c>
      <c r="X1235">
        <v>42</v>
      </c>
      <c r="AB1235" t="s">
        <v>44</v>
      </c>
      <c r="AC1235" t="s">
        <v>59</v>
      </c>
    </row>
    <row r="1236" spans="1:30" x14ac:dyDescent="0.2">
      <c r="A1236" s="3">
        <v>42605</v>
      </c>
      <c r="B1236" t="s">
        <v>23</v>
      </c>
      <c r="C1236">
        <v>901</v>
      </c>
      <c r="D1236">
        <v>3</v>
      </c>
      <c r="E1236">
        <v>1</v>
      </c>
      <c r="F1236" t="s">
        <v>24</v>
      </c>
      <c r="G1236" t="s">
        <v>25</v>
      </c>
      <c r="H1236" t="s">
        <v>26</v>
      </c>
      <c r="I1236" t="s">
        <v>139</v>
      </c>
      <c r="J1236" t="s">
        <v>205</v>
      </c>
    </row>
    <row r="1237" spans="1:30" x14ac:dyDescent="0.2">
      <c r="A1237" s="3">
        <v>42606</v>
      </c>
      <c r="B1237" t="s">
        <v>23</v>
      </c>
      <c r="C1237">
        <v>501</v>
      </c>
      <c r="D1237">
        <v>9</v>
      </c>
      <c r="E1237">
        <v>2</v>
      </c>
      <c r="F1237" t="s">
        <v>64</v>
      </c>
      <c r="G1237" t="s">
        <v>25</v>
      </c>
      <c r="H1237" t="s">
        <v>26</v>
      </c>
      <c r="I1237" t="s">
        <v>139</v>
      </c>
      <c r="J1237" t="s">
        <v>28</v>
      </c>
      <c r="K1237" t="s">
        <v>29</v>
      </c>
      <c r="L1237" t="s">
        <v>30</v>
      </c>
      <c r="M1237">
        <v>0</v>
      </c>
      <c r="N1237">
        <v>0</v>
      </c>
      <c r="P1237" s="17" t="s">
        <v>1758</v>
      </c>
      <c r="Q1237">
        <f>153-51</f>
        <v>102</v>
      </c>
      <c r="R1237" t="s">
        <v>251</v>
      </c>
      <c r="S1237" t="s">
        <v>145</v>
      </c>
      <c r="T1237">
        <v>36</v>
      </c>
      <c r="W1237">
        <v>22.5</v>
      </c>
      <c r="X1237">
        <v>42.2</v>
      </c>
      <c r="Z1237" t="s">
        <v>145</v>
      </c>
      <c r="AA1237" t="s">
        <v>260</v>
      </c>
      <c r="AB1237" t="s">
        <v>53</v>
      </c>
      <c r="AC1237" t="s">
        <v>122</v>
      </c>
      <c r="AD1237" t="s">
        <v>1760</v>
      </c>
    </row>
    <row r="1238" spans="1:30" x14ac:dyDescent="0.2">
      <c r="A1238" s="3">
        <v>42606</v>
      </c>
      <c r="B1238" t="s">
        <v>23</v>
      </c>
      <c r="C1238">
        <v>701</v>
      </c>
      <c r="D1238">
        <v>8</v>
      </c>
      <c r="E1238">
        <v>2</v>
      </c>
      <c r="F1238" t="s">
        <v>24</v>
      </c>
      <c r="G1238" t="s">
        <v>25</v>
      </c>
      <c r="H1238" t="s">
        <v>26</v>
      </c>
      <c r="I1238" t="s">
        <v>139</v>
      </c>
      <c r="J1238" t="s">
        <v>28</v>
      </c>
      <c r="K1238" t="s">
        <v>29</v>
      </c>
      <c r="L1238" t="s">
        <v>30</v>
      </c>
      <c r="M1238">
        <v>0</v>
      </c>
      <c r="N1238">
        <v>0</v>
      </c>
      <c r="P1238" s="17" t="s">
        <v>140</v>
      </c>
      <c r="Q1238">
        <f>185-95</f>
        <v>90</v>
      </c>
      <c r="R1238" t="s">
        <v>31</v>
      </c>
      <c r="S1238" t="s">
        <v>32</v>
      </c>
      <c r="T1238">
        <v>29</v>
      </c>
      <c r="W1238">
        <v>22.9</v>
      </c>
      <c r="X1238">
        <v>41.8</v>
      </c>
      <c r="AB1238" t="s">
        <v>44</v>
      </c>
      <c r="AC1238" t="s">
        <v>59</v>
      </c>
    </row>
    <row r="1239" spans="1:30" x14ac:dyDescent="0.2">
      <c r="A1239" s="3">
        <v>42606</v>
      </c>
      <c r="B1239" t="s">
        <v>23</v>
      </c>
      <c r="C1239">
        <v>801</v>
      </c>
      <c r="D1239">
        <v>9</v>
      </c>
      <c r="E1239">
        <v>2</v>
      </c>
      <c r="F1239" t="s">
        <v>24</v>
      </c>
      <c r="G1239" t="s">
        <v>25</v>
      </c>
      <c r="H1239" t="s">
        <v>26</v>
      </c>
      <c r="I1239" t="s">
        <v>139</v>
      </c>
      <c r="J1239" t="s">
        <v>28</v>
      </c>
      <c r="K1239" t="s">
        <v>29</v>
      </c>
      <c r="L1239" t="s">
        <v>35</v>
      </c>
      <c r="M1239">
        <v>0</v>
      </c>
      <c r="N1239">
        <v>0</v>
      </c>
      <c r="P1239" s="17" t="s">
        <v>1378</v>
      </c>
      <c r="Q1239">
        <f>195-95</f>
        <v>100</v>
      </c>
      <c r="R1239" t="s">
        <v>63</v>
      </c>
      <c r="T1239">
        <v>33</v>
      </c>
      <c r="W1239">
        <v>23.3</v>
      </c>
      <c r="X1239">
        <v>43.4</v>
      </c>
      <c r="AB1239" t="s">
        <v>44</v>
      </c>
      <c r="AC1239" t="s">
        <v>59</v>
      </c>
    </row>
    <row r="1240" spans="1:30" x14ac:dyDescent="0.2">
      <c r="A1240" s="3">
        <v>42502</v>
      </c>
      <c r="B1240" t="s">
        <v>23</v>
      </c>
      <c r="C1240">
        <v>701</v>
      </c>
      <c r="D1240">
        <v>7</v>
      </c>
      <c r="E1240">
        <v>1</v>
      </c>
      <c r="F1240" t="s">
        <v>33</v>
      </c>
      <c r="G1240" t="s">
        <v>25</v>
      </c>
      <c r="H1240" t="s">
        <v>26</v>
      </c>
      <c r="I1240" t="s">
        <v>81</v>
      </c>
      <c r="J1240" t="s">
        <v>34</v>
      </c>
      <c r="K1240" t="s">
        <v>29</v>
      </c>
      <c r="L1240" t="s">
        <v>30</v>
      </c>
      <c r="M1240">
        <v>0</v>
      </c>
      <c r="N1240">
        <v>1</v>
      </c>
      <c r="O1240" s="17">
        <v>50382</v>
      </c>
      <c r="P1240" s="17">
        <v>50381</v>
      </c>
      <c r="Q1240">
        <f>161-50</f>
        <v>111</v>
      </c>
      <c r="R1240" t="s">
        <v>31</v>
      </c>
      <c r="S1240" t="s">
        <v>32</v>
      </c>
      <c r="Z1240" t="s">
        <v>32</v>
      </c>
      <c r="AB1240" t="s">
        <v>53</v>
      </c>
      <c r="AC1240" t="s">
        <v>59</v>
      </c>
    </row>
    <row r="1241" spans="1:30" x14ac:dyDescent="0.2">
      <c r="A1241" s="3">
        <v>42571</v>
      </c>
      <c r="B1241" t="s">
        <v>23</v>
      </c>
      <c r="C1241">
        <v>304</v>
      </c>
      <c r="D1241">
        <v>4</v>
      </c>
      <c r="E1241">
        <v>1</v>
      </c>
      <c r="F1241" t="s">
        <v>33</v>
      </c>
      <c r="G1241" t="s">
        <v>25</v>
      </c>
      <c r="H1241" t="s">
        <v>26</v>
      </c>
      <c r="I1241" t="s">
        <v>81</v>
      </c>
      <c r="J1241" t="s">
        <v>583</v>
      </c>
    </row>
    <row r="1242" spans="1:30" x14ac:dyDescent="0.2">
      <c r="A1242" s="3">
        <v>42593</v>
      </c>
      <c r="B1242" t="s">
        <v>23</v>
      </c>
      <c r="C1242">
        <v>801</v>
      </c>
      <c r="D1242">
        <v>3</v>
      </c>
      <c r="E1242">
        <v>1</v>
      </c>
      <c r="F1242" t="s">
        <v>64</v>
      </c>
      <c r="G1242" t="s">
        <v>25</v>
      </c>
      <c r="H1242" t="s">
        <v>26</v>
      </c>
      <c r="I1242" t="s">
        <v>134</v>
      </c>
      <c r="J1242" t="s">
        <v>34</v>
      </c>
      <c r="K1242" t="s">
        <v>188</v>
      </c>
      <c r="L1242" t="s">
        <v>35</v>
      </c>
      <c r="M1242">
        <v>0</v>
      </c>
      <c r="N1242">
        <v>1</v>
      </c>
      <c r="O1242" s="17" t="s">
        <v>1505</v>
      </c>
      <c r="Q1242">
        <f>27-12</f>
        <v>15</v>
      </c>
      <c r="R1242" t="s">
        <v>39</v>
      </c>
      <c r="T1242">
        <v>28</v>
      </c>
      <c r="W1242">
        <v>12.5</v>
      </c>
      <c r="X1242">
        <v>24.9</v>
      </c>
      <c r="Z1242" t="s">
        <v>145</v>
      </c>
      <c r="AA1242" t="s">
        <v>260</v>
      </c>
      <c r="AB1242" t="s">
        <v>44</v>
      </c>
      <c r="AC1242" t="s">
        <v>122</v>
      </c>
    </row>
    <row r="1243" spans="1:30" x14ac:dyDescent="0.2">
      <c r="A1243" s="3">
        <v>42593</v>
      </c>
      <c r="B1243" t="s">
        <v>23</v>
      </c>
      <c r="C1243">
        <v>401</v>
      </c>
      <c r="D1243">
        <v>10</v>
      </c>
      <c r="E1243">
        <v>2</v>
      </c>
      <c r="F1243" t="s">
        <v>24</v>
      </c>
      <c r="G1243" t="s">
        <v>25</v>
      </c>
      <c r="H1243" t="s">
        <v>26</v>
      </c>
      <c r="I1243" t="s">
        <v>134</v>
      </c>
      <c r="J1243" t="s">
        <v>34</v>
      </c>
      <c r="K1243" t="s">
        <v>123</v>
      </c>
      <c r="L1243" t="s">
        <v>30</v>
      </c>
      <c r="M1243">
        <v>0</v>
      </c>
      <c r="N1243">
        <v>1</v>
      </c>
      <c r="O1243" s="17" t="s">
        <v>1286</v>
      </c>
      <c r="Q1243">
        <f>27-13</f>
        <v>14</v>
      </c>
      <c r="R1243" t="s">
        <v>31</v>
      </c>
      <c r="S1243" t="s">
        <v>32</v>
      </c>
      <c r="T1243">
        <v>28</v>
      </c>
      <c r="W1243">
        <v>11.5</v>
      </c>
      <c r="X1243">
        <v>23.9</v>
      </c>
      <c r="Z1243" t="s">
        <v>145</v>
      </c>
      <c r="AA1243" t="s">
        <v>1287</v>
      </c>
      <c r="AB1243" t="s">
        <v>44</v>
      </c>
      <c r="AC1243" t="s">
        <v>122</v>
      </c>
    </row>
    <row r="1244" spans="1:30" x14ac:dyDescent="0.2">
      <c r="A1244" s="3">
        <v>42563</v>
      </c>
      <c r="B1244" t="s">
        <v>23</v>
      </c>
      <c r="C1244">
        <v>401</v>
      </c>
      <c r="D1244">
        <v>6</v>
      </c>
      <c r="E1244">
        <v>2</v>
      </c>
      <c r="F1244" t="s">
        <v>24</v>
      </c>
      <c r="G1244" t="s">
        <v>25</v>
      </c>
      <c r="H1244" t="s">
        <v>26</v>
      </c>
      <c r="I1244" t="s">
        <v>134</v>
      </c>
      <c r="J1244" t="s">
        <v>34</v>
      </c>
      <c r="K1244" t="s">
        <v>29</v>
      </c>
      <c r="L1244" t="s">
        <v>30</v>
      </c>
      <c r="M1244">
        <v>0</v>
      </c>
      <c r="N1244">
        <v>1</v>
      </c>
      <c r="O1244" s="17">
        <v>50733</v>
      </c>
      <c r="Q1244">
        <v>18</v>
      </c>
      <c r="R1244" t="s">
        <v>75</v>
      </c>
      <c r="S1244" t="s">
        <v>145</v>
      </c>
      <c r="W1244">
        <v>11.7</v>
      </c>
      <c r="X1244">
        <v>27.1</v>
      </c>
      <c r="Z1244" t="s">
        <v>32</v>
      </c>
      <c r="AB1244" t="s">
        <v>53</v>
      </c>
      <c r="AC1244" t="s">
        <v>122</v>
      </c>
    </row>
    <row r="1245" spans="1:30" x14ac:dyDescent="0.2">
      <c r="A1245" s="3">
        <v>42515</v>
      </c>
      <c r="B1245" t="s">
        <v>23</v>
      </c>
      <c r="C1245">
        <v>801</v>
      </c>
      <c r="D1245">
        <v>8</v>
      </c>
      <c r="E1245">
        <v>1</v>
      </c>
      <c r="F1245" t="s">
        <v>24</v>
      </c>
      <c r="G1245" t="s">
        <v>25</v>
      </c>
      <c r="H1245" t="s">
        <v>26</v>
      </c>
      <c r="I1245" t="s">
        <v>134</v>
      </c>
      <c r="J1245" t="s">
        <v>28</v>
      </c>
      <c r="K1245" t="s">
        <v>29</v>
      </c>
      <c r="L1245" t="s">
        <v>35</v>
      </c>
      <c r="M1245">
        <v>0</v>
      </c>
      <c r="N1245">
        <v>1</v>
      </c>
      <c r="P1245" s="17">
        <v>50375</v>
      </c>
      <c r="Q1245">
        <v>25</v>
      </c>
      <c r="R1245" t="s">
        <v>63</v>
      </c>
      <c r="S1245" t="s">
        <v>32</v>
      </c>
      <c r="T1245">
        <v>31</v>
      </c>
      <c r="W1245">
        <v>11.52</v>
      </c>
      <c r="X1245">
        <v>27.6</v>
      </c>
      <c r="Z1245" t="s">
        <v>32</v>
      </c>
      <c r="AB1245" t="s">
        <v>149</v>
      </c>
      <c r="AC1245" t="s">
        <v>122</v>
      </c>
    </row>
    <row r="1246" spans="1:30" x14ac:dyDescent="0.2">
      <c r="A1246" s="3">
        <v>42576</v>
      </c>
      <c r="B1246" t="s">
        <v>23</v>
      </c>
      <c r="C1246">
        <v>401</v>
      </c>
      <c r="D1246">
        <v>6</v>
      </c>
      <c r="E1246">
        <v>1</v>
      </c>
      <c r="F1246" t="s">
        <v>33</v>
      </c>
      <c r="G1246" t="s">
        <v>25</v>
      </c>
      <c r="H1246" t="s">
        <v>26</v>
      </c>
      <c r="I1246" t="s">
        <v>134</v>
      </c>
      <c r="J1246" t="s">
        <v>205</v>
      </c>
    </row>
    <row r="1247" spans="1:30" x14ac:dyDescent="0.2">
      <c r="A1247" s="3">
        <v>42598</v>
      </c>
      <c r="B1247" t="s">
        <v>23</v>
      </c>
      <c r="C1247">
        <v>113</v>
      </c>
      <c r="D1247">
        <v>5</v>
      </c>
      <c r="E1247">
        <v>1</v>
      </c>
      <c r="F1247" t="s">
        <v>24</v>
      </c>
      <c r="G1247" t="s">
        <v>25</v>
      </c>
      <c r="H1247" t="s">
        <v>26</v>
      </c>
      <c r="I1247" t="s">
        <v>1803</v>
      </c>
      <c r="J1247" t="s">
        <v>34</v>
      </c>
      <c r="K1247" t="s">
        <v>188</v>
      </c>
      <c r="L1247" t="s">
        <v>30</v>
      </c>
      <c r="M1247">
        <v>0</v>
      </c>
      <c r="N1247">
        <v>1</v>
      </c>
      <c r="O1247" s="17" t="s">
        <v>1804</v>
      </c>
      <c r="Q1247">
        <f>30-13</f>
        <v>17</v>
      </c>
      <c r="R1247" t="s">
        <v>31</v>
      </c>
      <c r="S1247" t="s">
        <v>32</v>
      </c>
      <c r="T1247">
        <v>17</v>
      </c>
      <c r="W1247">
        <v>14.6</v>
      </c>
      <c r="X1247">
        <v>26.4</v>
      </c>
      <c r="Z1247" t="s">
        <v>145</v>
      </c>
      <c r="AB1247" t="s">
        <v>1589</v>
      </c>
      <c r="AC1247" t="s">
        <v>122</v>
      </c>
    </row>
    <row r="1248" spans="1:30" x14ac:dyDescent="0.2">
      <c r="A1248" s="3">
        <v>42536</v>
      </c>
      <c r="B1248" t="s">
        <v>23</v>
      </c>
      <c r="C1248">
        <v>703</v>
      </c>
      <c r="D1248">
        <v>10</v>
      </c>
      <c r="E1248">
        <v>1</v>
      </c>
      <c r="F1248" t="s">
        <v>33</v>
      </c>
      <c r="G1248" t="s">
        <v>25</v>
      </c>
      <c r="H1248" t="s">
        <v>26</v>
      </c>
      <c r="I1248" t="s">
        <v>211</v>
      </c>
      <c r="M1248">
        <v>0</v>
      </c>
      <c r="N1248">
        <v>0</v>
      </c>
      <c r="O1248" s="17">
        <v>50382</v>
      </c>
      <c r="P1248" s="17">
        <v>50381</v>
      </c>
      <c r="Q1248">
        <f>152-38</f>
        <v>114</v>
      </c>
      <c r="Z1248" t="s">
        <v>32</v>
      </c>
      <c r="AB1248" t="s">
        <v>44</v>
      </c>
      <c r="AC1248" t="s">
        <v>59</v>
      </c>
    </row>
    <row r="1249" spans="1:30" x14ac:dyDescent="0.2">
      <c r="A1249" s="3">
        <v>42537</v>
      </c>
      <c r="B1249" t="s">
        <v>23</v>
      </c>
      <c r="C1249">
        <v>703</v>
      </c>
      <c r="D1249">
        <v>4</v>
      </c>
      <c r="E1249">
        <v>1</v>
      </c>
      <c r="F1249" t="s">
        <v>33</v>
      </c>
      <c r="G1249" t="s">
        <v>25</v>
      </c>
      <c r="H1249" t="s">
        <v>26</v>
      </c>
      <c r="I1249" t="s">
        <v>211</v>
      </c>
      <c r="J1249" t="s">
        <v>28</v>
      </c>
      <c r="K1249" t="s">
        <v>187</v>
      </c>
      <c r="L1249" t="s">
        <v>30</v>
      </c>
      <c r="M1249">
        <v>0</v>
      </c>
      <c r="N1249">
        <v>0</v>
      </c>
      <c r="O1249" s="17">
        <v>50382</v>
      </c>
      <c r="P1249" s="17">
        <v>50381</v>
      </c>
      <c r="R1249" t="s">
        <v>61</v>
      </c>
      <c r="S1249" t="s">
        <v>145</v>
      </c>
      <c r="Z1249" t="s">
        <v>32</v>
      </c>
      <c r="AB1249" t="s">
        <v>44</v>
      </c>
      <c r="AC1249" t="s">
        <v>122</v>
      </c>
    </row>
    <row r="1250" spans="1:30" x14ac:dyDescent="0.2">
      <c r="A1250" s="3">
        <v>42549</v>
      </c>
      <c r="B1250" t="s">
        <v>23</v>
      </c>
      <c r="C1250">
        <v>901</v>
      </c>
      <c r="D1250">
        <v>9</v>
      </c>
      <c r="E1250">
        <v>1</v>
      </c>
      <c r="F1250" t="s">
        <v>24</v>
      </c>
      <c r="G1250" t="s">
        <v>25</v>
      </c>
      <c r="H1250" t="s">
        <v>26</v>
      </c>
      <c r="I1250" t="s">
        <v>211</v>
      </c>
      <c r="J1250" t="s">
        <v>34</v>
      </c>
      <c r="K1250" t="s">
        <v>29</v>
      </c>
      <c r="L1250" t="s">
        <v>30</v>
      </c>
      <c r="M1250">
        <v>0</v>
      </c>
      <c r="N1250">
        <v>1</v>
      </c>
      <c r="O1250" s="17">
        <v>50624</v>
      </c>
      <c r="Q1250">
        <f>185-90</f>
        <v>95</v>
      </c>
      <c r="R1250" t="s">
        <v>31</v>
      </c>
      <c r="S1250" t="s">
        <v>32</v>
      </c>
      <c r="T1250">
        <v>32</v>
      </c>
      <c r="W1250">
        <v>23.1</v>
      </c>
      <c r="X1250">
        <v>36.700000000000003</v>
      </c>
      <c r="Z1250" t="s">
        <v>32</v>
      </c>
      <c r="AB1250" t="s">
        <v>121</v>
      </c>
      <c r="AC1250" t="s">
        <v>122</v>
      </c>
    </row>
    <row r="1251" spans="1:30" x14ac:dyDescent="0.2">
      <c r="A1251" s="3">
        <v>42507</v>
      </c>
      <c r="B1251" t="s">
        <v>23</v>
      </c>
      <c r="C1251">
        <v>304</v>
      </c>
      <c r="D1251">
        <v>6</v>
      </c>
      <c r="E1251">
        <v>1</v>
      </c>
      <c r="F1251" t="s">
        <v>24</v>
      </c>
      <c r="G1251" t="s">
        <v>25</v>
      </c>
      <c r="H1251" t="s">
        <v>26</v>
      </c>
      <c r="I1251" t="s">
        <v>115</v>
      </c>
      <c r="J1251" t="s">
        <v>34</v>
      </c>
      <c r="K1251" t="s">
        <v>29</v>
      </c>
      <c r="M1251">
        <v>0</v>
      </c>
      <c r="N1251">
        <v>1</v>
      </c>
      <c r="O1251" s="17">
        <v>26607</v>
      </c>
      <c r="Q1251">
        <f>205-90</f>
        <v>115</v>
      </c>
      <c r="S1251" t="s">
        <v>32</v>
      </c>
      <c r="Z1251" t="s">
        <v>32</v>
      </c>
      <c r="AB1251" t="s">
        <v>44</v>
      </c>
      <c r="AC1251" t="s">
        <v>116</v>
      </c>
    </row>
    <row r="1252" spans="1:30" x14ac:dyDescent="0.2">
      <c r="A1252" s="3">
        <v>42549</v>
      </c>
      <c r="B1252" t="s">
        <v>23</v>
      </c>
      <c r="C1252">
        <v>701</v>
      </c>
      <c r="D1252">
        <v>4</v>
      </c>
      <c r="E1252">
        <v>1</v>
      </c>
      <c r="F1252" t="s">
        <v>24</v>
      </c>
      <c r="G1252" t="s">
        <v>25</v>
      </c>
      <c r="H1252" t="s">
        <v>26</v>
      </c>
      <c r="I1252" t="s">
        <v>331</v>
      </c>
      <c r="Z1252" t="s">
        <v>32</v>
      </c>
      <c r="AD1252" t="s">
        <v>332</v>
      </c>
    </row>
    <row r="1253" spans="1:30" x14ac:dyDescent="0.2">
      <c r="A1253" s="3">
        <v>42604</v>
      </c>
      <c r="B1253" t="s">
        <v>23</v>
      </c>
      <c r="C1253">
        <v>303</v>
      </c>
      <c r="D1253">
        <v>2</v>
      </c>
      <c r="E1253">
        <v>2</v>
      </c>
      <c r="F1253" t="s">
        <v>64</v>
      </c>
      <c r="G1253" t="s">
        <v>25</v>
      </c>
      <c r="H1253" t="s">
        <v>26</v>
      </c>
      <c r="I1253" t="s">
        <v>52</v>
      </c>
      <c r="J1253" t="s">
        <v>34</v>
      </c>
      <c r="K1253" t="s">
        <v>29</v>
      </c>
      <c r="L1253" t="s">
        <v>35</v>
      </c>
      <c r="M1253">
        <v>0</v>
      </c>
      <c r="N1253">
        <v>1</v>
      </c>
      <c r="O1253" s="17" t="s">
        <v>1696</v>
      </c>
      <c r="Q1253">
        <f>39-14</f>
        <v>25</v>
      </c>
      <c r="R1253" t="s">
        <v>39</v>
      </c>
      <c r="T1253">
        <v>17.5</v>
      </c>
      <c r="W1253">
        <v>13.3</v>
      </c>
      <c r="X1253">
        <v>27.5</v>
      </c>
      <c r="Z1253" t="s">
        <v>145</v>
      </c>
      <c r="AA1253" t="s">
        <v>260</v>
      </c>
      <c r="AB1253" t="s">
        <v>121</v>
      </c>
      <c r="AC1253" t="s">
        <v>59</v>
      </c>
      <c r="AD1253" t="s">
        <v>1579</v>
      </c>
    </row>
    <row r="1254" spans="1:30" x14ac:dyDescent="0.2">
      <c r="A1254" s="3">
        <v>42605</v>
      </c>
      <c r="B1254" t="s">
        <v>23</v>
      </c>
      <c r="C1254">
        <v>303</v>
      </c>
      <c r="D1254">
        <v>4</v>
      </c>
      <c r="E1254">
        <v>1</v>
      </c>
      <c r="F1254" t="s">
        <v>64</v>
      </c>
      <c r="G1254" t="s">
        <v>25</v>
      </c>
      <c r="H1254" t="s">
        <v>26</v>
      </c>
      <c r="I1254" t="s">
        <v>52</v>
      </c>
      <c r="J1254" t="s">
        <v>28</v>
      </c>
      <c r="K1254" t="s">
        <v>29</v>
      </c>
      <c r="L1254" t="s">
        <v>35</v>
      </c>
      <c r="M1254">
        <v>0</v>
      </c>
      <c r="N1254">
        <v>0</v>
      </c>
      <c r="O1254" s="17" t="s">
        <v>1696</v>
      </c>
      <c r="Q1254">
        <f>40-15.5</f>
        <v>24.5</v>
      </c>
      <c r="R1254" t="s">
        <v>39</v>
      </c>
      <c r="T1254">
        <v>19</v>
      </c>
      <c r="W1254">
        <v>13.2</v>
      </c>
      <c r="X1254">
        <v>27.1</v>
      </c>
      <c r="Z1254" t="s">
        <v>145</v>
      </c>
      <c r="AA1254" t="s">
        <v>260</v>
      </c>
      <c r="AB1254" t="s">
        <v>121</v>
      </c>
      <c r="AC1254" t="s">
        <v>59</v>
      </c>
    </row>
    <row r="1255" spans="1:30" x14ac:dyDescent="0.2">
      <c r="A1255" s="3">
        <v>42604</v>
      </c>
      <c r="B1255" t="s">
        <v>23</v>
      </c>
      <c r="C1255">
        <v>303</v>
      </c>
      <c r="D1255">
        <v>4</v>
      </c>
      <c r="E1255">
        <v>1</v>
      </c>
      <c r="F1255" t="s">
        <v>64</v>
      </c>
      <c r="G1255" t="s">
        <v>25</v>
      </c>
      <c r="H1255" t="s">
        <v>26</v>
      </c>
      <c r="I1255" t="s">
        <v>52</v>
      </c>
      <c r="J1255" t="s">
        <v>34</v>
      </c>
      <c r="K1255" t="s">
        <v>29</v>
      </c>
      <c r="L1255" t="s">
        <v>35</v>
      </c>
      <c r="M1255">
        <v>0</v>
      </c>
      <c r="N1255">
        <v>1</v>
      </c>
      <c r="O1255" s="17" t="s">
        <v>1700</v>
      </c>
      <c r="Q1255">
        <f>32.5-14</f>
        <v>18.5</v>
      </c>
      <c r="R1255" t="s">
        <v>39</v>
      </c>
      <c r="T1255">
        <v>18</v>
      </c>
      <c r="W1255">
        <v>12.9</v>
      </c>
      <c r="X1255">
        <v>26.2</v>
      </c>
      <c r="Z1255" t="s">
        <v>145</v>
      </c>
      <c r="AA1255" t="s">
        <v>260</v>
      </c>
      <c r="AB1255" t="s">
        <v>121</v>
      </c>
      <c r="AC1255" t="s">
        <v>59</v>
      </c>
      <c r="AD1255" t="s">
        <v>1579</v>
      </c>
    </row>
    <row r="1256" spans="1:30" x14ac:dyDescent="0.2">
      <c r="A1256" s="3">
        <v>42605</v>
      </c>
      <c r="B1256" t="s">
        <v>23</v>
      </c>
      <c r="C1256">
        <v>303</v>
      </c>
      <c r="D1256">
        <v>10</v>
      </c>
      <c r="E1256">
        <v>2</v>
      </c>
      <c r="F1256" t="s">
        <v>64</v>
      </c>
      <c r="G1256" t="s">
        <v>25</v>
      </c>
      <c r="H1256" t="s">
        <v>26</v>
      </c>
      <c r="I1256" t="s">
        <v>52</v>
      </c>
      <c r="J1256" t="s">
        <v>28</v>
      </c>
      <c r="K1256" t="s">
        <v>29</v>
      </c>
      <c r="L1256" t="s">
        <v>35</v>
      </c>
      <c r="M1256">
        <v>0</v>
      </c>
      <c r="N1256">
        <v>0</v>
      </c>
      <c r="O1256" s="17" t="s">
        <v>1700</v>
      </c>
      <c r="Q1256">
        <f>39.5-19</f>
        <v>20.5</v>
      </c>
      <c r="R1256" t="s">
        <v>39</v>
      </c>
      <c r="Z1256" t="s">
        <v>145</v>
      </c>
      <c r="AA1256" t="s">
        <v>260</v>
      </c>
      <c r="AB1256" t="s">
        <v>121</v>
      </c>
      <c r="AC1256" t="s">
        <v>59</v>
      </c>
    </row>
    <row r="1257" spans="1:30" x14ac:dyDescent="0.2">
      <c r="A1257" s="3">
        <v>42606</v>
      </c>
      <c r="B1257" t="s">
        <v>23</v>
      </c>
      <c r="C1257">
        <v>303</v>
      </c>
      <c r="D1257">
        <v>9</v>
      </c>
      <c r="E1257">
        <v>2</v>
      </c>
      <c r="F1257" t="s">
        <v>64</v>
      </c>
      <c r="G1257" t="s">
        <v>25</v>
      </c>
      <c r="H1257" t="s">
        <v>26</v>
      </c>
      <c r="I1257" t="s">
        <v>52</v>
      </c>
      <c r="J1257" t="s">
        <v>28</v>
      </c>
      <c r="K1257" t="s">
        <v>29</v>
      </c>
      <c r="L1257" t="s">
        <v>35</v>
      </c>
      <c r="M1257">
        <v>0</v>
      </c>
      <c r="N1257">
        <v>0</v>
      </c>
      <c r="O1257" s="17" t="s">
        <v>1700</v>
      </c>
      <c r="Q1257">
        <f>31.5-13.5</f>
        <v>18</v>
      </c>
      <c r="R1257" t="s">
        <v>63</v>
      </c>
      <c r="T1257">
        <v>17.5</v>
      </c>
      <c r="W1257">
        <v>12.9</v>
      </c>
      <c r="X1257">
        <v>26.9</v>
      </c>
      <c r="Z1257" t="s">
        <v>145</v>
      </c>
      <c r="AA1257" t="s">
        <v>260</v>
      </c>
      <c r="AB1257" t="s">
        <v>53</v>
      </c>
      <c r="AC1257" t="s">
        <v>122</v>
      </c>
    </row>
    <row r="1258" spans="1:30" x14ac:dyDescent="0.2">
      <c r="A1258" s="3">
        <v>42604</v>
      </c>
      <c r="B1258" t="s">
        <v>23</v>
      </c>
      <c r="C1258">
        <v>303</v>
      </c>
      <c r="D1258">
        <v>6</v>
      </c>
      <c r="E1258">
        <v>2</v>
      </c>
      <c r="F1258" t="s">
        <v>64</v>
      </c>
      <c r="G1258" t="s">
        <v>25</v>
      </c>
      <c r="H1258" t="s">
        <v>26</v>
      </c>
      <c r="I1258" t="s">
        <v>52</v>
      </c>
      <c r="J1258" t="s">
        <v>34</v>
      </c>
      <c r="K1258" t="s">
        <v>29</v>
      </c>
      <c r="L1258" t="s">
        <v>35</v>
      </c>
      <c r="M1258">
        <v>0</v>
      </c>
      <c r="N1258">
        <v>1</v>
      </c>
      <c r="O1258" s="17" t="s">
        <v>1701</v>
      </c>
      <c r="Q1258">
        <f>45-16.5</f>
        <v>28.5</v>
      </c>
      <c r="R1258" t="s">
        <v>39</v>
      </c>
      <c r="T1258">
        <v>17</v>
      </c>
      <c r="W1258">
        <v>12.9</v>
      </c>
      <c r="X1258">
        <v>27</v>
      </c>
      <c r="Z1258" t="s">
        <v>145</v>
      </c>
      <c r="AA1258" t="s">
        <v>260</v>
      </c>
      <c r="AB1258" t="s">
        <v>121</v>
      </c>
      <c r="AC1258" t="s">
        <v>59</v>
      </c>
      <c r="AD1258" t="s">
        <v>1579</v>
      </c>
    </row>
    <row r="1259" spans="1:30" x14ac:dyDescent="0.2">
      <c r="A1259" s="3">
        <v>42604</v>
      </c>
      <c r="B1259" t="s">
        <v>23</v>
      </c>
      <c r="C1259">
        <v>303</v>
      </c>
      <c r="D1259">
        <v>10</v>
      </c>
      <c r="E1259">
        <v>2</v>
      </c>
      <c r="F1259" t="s">
        <v>64</v>
      </c>
      <c r="G1259" t="s">
        <v>25</v>
      </c>
      <c r="H1259" t="s">
        <v>26</v>
      </c>
      <c r="I1259" t="s">
        <v>52</v>
      </c>
      <c r="J1259" t="s">
        <v>34</v>
      </c>
      <c r="K1259" t="s">
        <v>29</v>
      </c>
      <c r="L1259" t="s">
        <v>35</v>
      </c>
      <c r="M1259">
        <v>0</v>
      </c>
      <c r="N1259">
        <v>1</v>
      </c>
      <c r="O1259" s="17" t="s">
        <v>1703</v>
      </c>
      <c r="R1259" t="s">
        <v>39</v>
      </c>
      <c r="T1259">
        <v>17</v>
      </c>
      <c r="W1259">
        <v>13</v>
      </c>
      <c r="X1259">
        <v>26.4</v>
      </c>
      <c r="Z1259" t="s">
        <v>145</v>
      </c>
      <c r="AA1259" t="s">
        <v>260</v>
      </c>
      <c r="AB1259" t="s">
        <v>121</v>
      </c>
      <c r="AC1259" t="s">
        <v>59</v>
      </c>
      <c r="AD1259" t="s">
        <v>1704</v>
      </c>
    </row>
    <row r="1260" spans="1:30" x14ac:dyDescent="0.2">
      <c r="A1260" s="3">
        <v>42604</v>
      </c>
      <c r="B1260" t="s">
        <v>23</v>
      </c>
      <c r="C1260">
        <v>401</v>
      </c>
      <c r="D1260">
        <v>10</v>
      </c>
      <c r="E1260">
        <v>2</v>
      </c>
      <c r="F1260" t="s">
        <v>64</v>
      </c>
      <c r="G1260" t="s">
        <v>25</v>
      </c>
      <c r="H1260" t="s">
        <v>26</v>
      </c>
      <c r="I1260" t="s">
        <v>52</v>
      </c>
      <c r="J1260" t="s">
        <v>34</v>
      </c>
      <c r="K1260" t="s">
        <v>29</v>
      </c>
      <c r="L1260" t="s">
        <v>35</v>
      </c>
      <c r="M1260">
        <v>0</v>
      </c>
      <c r="N1260">
        <v>1</v>
      </c>
      <c r="O1260" s="17" t="s">
        <v>1712</v>
      </c>
      <c r="Q1260">
        <f>40-20.5</f>
        <v>19.5</v>
      </c>
      <c r="R1260" t="s">
        <v>63</v>
      </c>
      <c r="T1260">
        <v>16.5</v>
      </c>
      <c r="W1260">
        <v>12.9</v>
      </c>
      <c r="X1260">
        <v>26</v>
      </c>
      <c r="Z1260" t="s">
        <v>145</v>
      </c>
      <c r="AA1260" t="s">
        <v>1713</v>
      </c>
      <c r="AB1260" t="s">
        <v>121</v>
      </c>
      <c r="AC1260" t="s">
        <v>59</v>
      </c>
      <c r="AD1260" t="s">
        <v>1579</v>
      </c>
    </row>
    <row r="1261" spans="1:30" x14ac:dyDescent="0.2">
      <c r="A1261" s="3">
        <v>42605</v>
      </c>
      <c r="B1261" t="s">
        <v>23</v>
      </c>
      <c r="C1261">
        <v>401</v>
      </c>
      <c r="D1261">
        <v>10</v>
      </c>
      <c r="E1261">
        <v>2</v>
      </c>
      <c r="F1261" t="s">
        <v>64</v>
      </c>
      <c r="G1261" t="s">
        <v>25</v>
      </c>
      <c r="H1261" t="s">
        <v>26</v>
      </c>
      <c r="I1261" t="s">
        <v>52</v>
      </c>
      <c r="J1261" t="s">
        <v>28</v>
      </c>
      <c r="K1261" t="s">
        <v>29</v>
      </c>
      <c r="L1261" t="s">
        <v>35</v>
      </c>
      <c r="M1261">
        <v>0</v>
      </c>
      <c r="N1261">
        <v>0</v>
      </c>
      <c r="O1261" s="17" t="s">
        <v>1712</v>
      </c>
      <c r="Q1261">
        <f>32-14</f>
        <v>18</v>
      </c>
      <c r="R1261" t="s">
        <v>63</v>
      </c>
      <c r="T1261">
        <v>16</v>
      </c>
      <c r="W1261">
        <v>13</v>
      </c>
      <c r="X1261">
        <v>26.4</v>
      </c>
      <c r="Z1261" t="s">
        <v>145</v>
      </c>
      <c r="AA1261" t="s">
        <v>260</v>
      </c>
      <c r="AB1261" t="s">
        <v>121</v>
      </c>
      <c r="AC1261" t="s">
        <v>59</v>
      </c>
    </row>
    <row r="1262" spans="1:30" x14ac:dyDescent="0.2">
      <c r="A1262" s="3">
        <v>42605</v>
      </c>
      <c r="B1262" t="s">
        <v>23</v>
      </c>
      <c r="C1262">
        <v>303</v>
      </c>
      <c r="D1262">
        <v>1</v>
      </c>
      <c r="E1262">
        <v>1</v>
      </c>
      <c r="F1262" t="s">
        <v>64</v>
      </c>
      <c r="G1262" t="s">
        <v>25</v>
      </c>
      <c r="H1262" t="s">
        <v>26</v>
      </c>
      <c r="I1262" t="s">
        <v>52</v>
      </c>
      <c r="J1262" t="s">
        <v>34</v>
      </c>
      <c r="K1262" t="s">
        <v>29</v>
      </c>
      <c r="L1262" t="s">
        <v>30</v>
      </c>
      <c r="M1262">
        <v>0</v>
      </c>
      <c r="N1262">
        <v>1</v>
      </c>
      <c r="O1262" s="17" t="s">
        <v>1730</v>
      </c>
      <c r="Q1262">
        <f>42-13.5</f>
        <v>28.5</v>
      </c>
      <c r="R1262" t="s">
        <v>251</v>
      </c>
      <c r="S1262" t="s">
        <v>145</v>
      </c>
      <c r="T1262">
        <v>18</v>
      </c>
      <c r="W1262">
        <v>12.8</v>
      </c>
      <c r="X1262">
        <v>26.6</v>
      </c>
      <c r="Z1262" t="s">
        <v>145</v>
      </c>
      <c r="AA1262" t="s">
        <v>260</v>
      </c>
      <c r="AB1262" t="s">
        <v>121</v>
      </c>
      <c r="AC1262" t="s">
        <v>59</v>
      </c>
      <c r="AD1262" t="s">
        <v>1721</v>
      </c>
    </row>
    <row r="1263" spans="1:30" x14ac:dyDescent="0.2">
      <c r="A1263" s="3">
        <v>42606</v>
      </c>
      <c r="B1263" t="s">
        <v>23</v>
      </c>
      <c r="C1263">
        <v>303</v>
      </c>
      <c r="D1263">
        <v>3</v>
      </c>
      <c r="E1263">
        <v>2</v>
      </c>
      <c r="F1263" t="s">
        <v>64</v>
      </c>
      <c r="G1263" t="s">
        <v>25</v>
      </c>
      <c r="H1263" t="s">
        <v>26</v>
      </c>
      <c r="I1263" t="s">
        <v>52</v>
      </c>
      <c r="J1263" t="s">
        <v>28</v>
      </c>
      <c r="K1263" t="s">
        <v>29</v>
      </c>
      <c r="L1263" t="s">
        <v>30</v>
      </c>
      <c r="M1263">
        <v>0</v>
      </c>
      <c r="N1263">
        <v>0</v>
      </c>
      <c r="O1263" s="17" t="s">
        <v>1730</v>
      </c>
      <c r="Q1263">
        <f>38-13</f>
        <v>25</v>
      </c>
      <c r="R1263" t="s">
        <v>251</v>
      </c>
      <c r="S1263" t="s">
        <v>145</v>
      </c>
      <c r="T1263">
        <v>18</v>
      </c>
      <c r="W1263">
        <v>12.8</v>
      </c>
      <c r="X1263">
        <v>28.4</v>
      </c>
      <c r="Z1263" t="s">
        <v>145</v>
      </c>
      <c r="AB1263" t="s">
        <v>53</v>
      </c>
      <c r="AC1263" t="s">
        <v>122</v>
      </c>
    </row>
    <row r="1264" spans="1:30" x14ac:dyDescent="0.2">
      <c r="A1264" s="3">
        <v>42605</v>
      </c>
      <c r="B1264" t="s">
        <v>23</v>
      </c>
      <c r="C1264">
        <v>401</v>
      </c>
      <c r="D1264">
        <v>4</v>
      </c>
      <c r="E1264">
        <v>2</v>
      </c>
      <c r="F1264" t="s">
        <v>64</v>
      </c>
      <c r="G1264" t="s">
        <v>25</v>
      </c>
      <c r="H1264" t="s">
        <v>26</v>
      </c>
      <c r="I1264" t="s">
        <v>52</v>
      </c>
      <c r="J1264" t="s">
        <v>34</v>
      </c>
      <c r="K1264" t="s">
        <v>188</v>
      </c>
      <c r="L1264" t="s">
        <v>30</v>
      </c>
      <c r="M1264">
        <v>0</v>
      </c>
      <c r="N1264">
        <v>1</v>
      </c>
      <c r="O1264" s="17" t="s">
        <v>1738</v>
      </c>
      <c r="Q1264">
        <f>32-16</f>
        <v>16</v>
      </c>
      <c r="R1264" t="s">
        <v>31</v>
      </c>
      <c r="S1264" t="s">
        <v>32</v>
      </c>
      <c r="T1264">
        <v>17</v>
      </c>
      <c r="W1264">
        <v>13</v>
      </c>
      <c r="X1264">
        <v>26.1</v>
      </c>
      <c r="Z1264" t="s">
        <v>145</v>
      </c>
      <c r="AA1264" t="s">
        <v>260</v>
      </c>
      <c r="AB1264" t="s">
        <v>121</v>
      </c>
      <c r="AC1264" t="s">
        <v>59</v>
      </c>
      <c r="AD1264" t="s">
        <v>1579</v>
      </c>
    </row>
    <row r="1265" spans="1:30" x14ac:dyDescent="0.2">
      <c r="A1265" s="3">
        <v>42606</v>
      </c>
      <c r="B1265" t="s">
        <v>23</v>
      </c>
      <c r="C1265">
        <v>401</v>
      </c>
      <c r="D1265">
        <v>3</v>
      </c>
      <c r="E1265">
        <v>1</v>
      </c>
      <c r="F1265" t="s">
        <v>64</v>
      </c>
      <c r="G1265" t="s">
        <v>25</v>
      </c>
      <c r="H1265" t="s">
        <v>26</v>
      </c>
      <c r="I1265" t="s">
        <v>52</v>
      </c>
      <c r="J1265" t="s">
        <v>28</v>
      </c>
      <c r="K1265" t="s">
        <v>188</v>
      </c>
      <c r="L1265" t="s">
        <v>30</v>
      </c>
      <c r="M1265">
        <v>0</v>
      </c>
      <c r="N1265">
        <v>0</v>
      </c>
      <c r="O1265" s="17" t="s">
        <v>1738</v>
      </c>
      <c r="Q1265">
        <f>33-17</f>
        <v>16</v>
      </c>
      <c r="R1265" t="s">
        <v>31</v>
      </c>
      <c r="S1265" t="s">
        <v>32</v>
      </c>
      <c r="T1265">
        <v>17</v>
      </c>
      <c r="W1265">
        <v>13</v>
      </c>
      <c r="X1265">
        <v>26</v>
      </c>
      <c r="Z1265" t="s">
        <v>145</v>
      </c>
      <c r="AA1265" t="s">
        <v>260</v>
      </c>
      <c r="AB1265" t="s">
        <v>53</v>
      </c>
      <c r="AC1265" t="s">
        <v>122</v>
      </c>
    </row>
    <row r="1266" spans="1:30" x14ac:dyDescent="0.2">
      <c r="A1266" s="3">
        <v>42606</v>
      </c>
      <c r="B1266" t="s">
        <v>23</v>
      </c>
      <c r="C1266">
        <v>501</v>
      </c>
      <c r="D1266">
        <v>4</v>
      </c>
      <c r="E1266">
        <v>2</v>
      </c>
      <c r="F1266" t="s">
        <v>64</v>
      </c>
      <c r="G1266" t="s">
        <v>25</v>
      </c>
      <c r="H1266" t="s">
        <v>26</v>
      </c>
      <c r="I1266" t="s">
        <v>52</v>
      </c>
      <c r="J1266" t="s">
        <v>34</v>
      </c>
      <c r="K1266" t="s">
        <v>29</v>
      </c>
      <c r="L1266" t="s">
        <v>35</v>
      </c>
      <c r="M1266">
        <v>0</v>
      </c>
      <c r="N1266">
        <v>1</v>
      </c>
      <c r="O1266" s="17" t="s">
        <v>1753</v>
      </c>
      <c r="Q1266">
        <f>34-13</f>
        <v>21</v>
      </c>
      <c r="R1266" t="s">
        <v>39</v>
      </c>
      <c r="T1266">
        <v>18</v>
      </c>
      <c r="W1266">
        <v>12.9</v>
      </c>
      <c r="X1266">
        <v>26.4</v>
      </c>
      <c r="Z1266" t="s">
        <v>145</v>
      </c>
      <c r="AA1266" t="s">
        <v>260</v>
      </c>
      <c r="AB1266" t="s">
        <v>53</v>
      </c>
      <c r="AC1266" t="s">
        <v>122</v>
      </c>
      <c r="AD1266" t="s">
        <v>1579</v>
      </c>
    </row>
    <row r="1267" spans="1:30" x14ac:dyDescent="0.2">
      <c r="A1267" s="3">
        <v>42606</v>
      </c>
      <c r="B1267" t="s">
        <v>23</v>
      </c>
      <c r="C1267">
        <v>303</v>
      </c>
      <c r="D1267">
        <v>9</v>
      </c>
      <c r="E1267">
        <v>1</v>
      </c>
      <c r="F1267" t="s">
        <v>64</v>
      </c>
      <c r="G1267" t="s">
        <v>25</v>
      </c>
      <c r="H1267" t="s">
        <v>26</v>
      </c>
      <c r="I1267" t="s">
        <v>52</v>
      </c>
      <c r="J1267" t="s">
        <v>34</v>
      </c>
      <c r="K1267" t="s">
        <v>29</v>
      </c>
      <c r="L1267" t="s">
        <v>35</v>
      </c>
      <c r="M1267">
        <v>0</v>
      </c>
      <c r="N1267">
        <v>1</v>
      </c>
      <c r="O1267" s="17" t="s">
        <v>1777</v>
      </c>
      <c r="Q1267">
        <f>35-15</f>
        <v>20</v>
      </c>
      <c r="R1267" t="s">
        <v>39</v>
      </c>
      <c r="T1267">
        <v>17</v>
      </c>
      <c r="W1267">
        <v>13</v>
      </c>
      <c r="X1267">
        <v>26.9</v>
      </c>
      <c r="Z1267" t="s">
        <v>145</v>
      </c>
      <c r="AA1267" t="s">
        <v>260</v>
      </c>
      <c r="AB1267" t="s">
        <v>53</v>
      </c>
      <c r="AC1267" t="s">
        <v>122</v>
      </c>
      <c r="AD1267" t="s">
        <v>1579</v>
      </c>
    </row>
    <row r="1268" spans="1:30" x14ac:dyDescent="0.2">
      <c r="A1268" s="3">
        <v>42606</v>
      </c>
      <c r="B1268" t="s">
        <v>23</v>
      </c>
      <c r="C1268">
        <v>401</v>
      </c>
      <c r="D1268">
        <v>8</v>
      </c>
      <c r="E1268">
        <v>2</v>
      </c>
      <c r="F1268" t="s">
        <v>64</v>
      </c>
      <c r="G1268" t="s">
        <v>25</v>
      </c>
      <c r="H1268" t="s">
        <v>26</v>
      </c>
      <c r="I1268" t="s">
        <v>52</v>
      </c>
      <c r="J1268" t="s">
        <v>34</v>
      </c>
      <c r="K1268" t="s">
        <v>188</v>
      </c>
      <c r="L1268" t="s">
        <v>35</v>
      </c>
      <c r="M1268">
        <v>0</v>
      </c>
      <c r="N1268">
        <v>1</v>
      </c>
      <c r="O1268" s="17" t="s">
        <v>1783</v>
      </c>
      <c r="Q1268">
        <f>30-13</f>
        <v>17</v>
      </c>
      <c r="R1268" t="s">
        <v>63</v>
      </c>
      <c r="T1268">
        <v>18</v>
      </c>
      <c r="W1268">
        <v>12.7</v>
      </c>
      <c r="X1268">
        <v>26.4</v>
      </c>
      <c r="Z1268" t="s">
        <v>145</v>
      </c>
      <c r="AA1268" t="s">
        <v>1784</v>
      </c>
      <c r="AB1268" t="s">
        <v>53</v>
      </c>
      <c r="AC1268" t="s">
        <v>122</v>
      </c>
      <c r="AD1268" t="s">
        <v>1756</v>
      </c>
    </row>
    <row r="1269" spans="1:30" x14ac:dyDescent="0.2">
      <c r="A1269" s="3">
        <v>42600</v>
      </c>
      <c r="B1269" t="s">
        <v>23</v>
      </c>
      <c r="C1269">
        <v>304</v>
      </c>
      <c r="D1269">
        <v>7</v>
      </c>
      <c r="E1269">
        <v>2</v>
      </c>
      <c r="F1269" t="s">
        <v>64</v>
      </c>
      <c r="G1269" t="s">
        <v>25</v>
      </c>
      <c r="H1269" t="s">
        <v>26</v>
      </c>
      <c r="I1269" t="s">
        <v>52</v>
      </c>
      <c r="J1269" t="s">
        <v>34</v>
      </c>
      <c r="K1269" t="s">
        <v>123</v>
      </c>
      <c r="L1269" t="s">
        <v>35</v>
      </c>
      <c r="M1269">
        <v>0</v>
      </c>
      <c r="N1269">
        <v>1</v>
      </c>
      <c r="O1269" s="17" t="s">
        <v>1672</v>
      </c>
      <c r="Q1269">
        <f>27-15</f>
        <v>12</v>
      </c>
      <c r="R1269" t="s">
        <v>63</v>
      </c>
      <c r="T1269">
        <v>17</v>
      </c>
      <c r="W1269">
        <v>12.3</v>
      </c>
      <c r="X1269">
        <v>23.9</v>
      </c>
      <c r="Z1269" t="s">
        <v>145</v>
      </c>
      <c r="AA1269" t="s">
        <v>260</v>
      </c>
      <c r="AB1269" t="s">
        <v>121</v>
      </c>
      <c r="AC1269" t="s">
        <v>122</v>
      </c>
      <c r="AD1269" t="s">
        <v>1579</v>
      </c>
    </row>
    <row r="1270" spans="1:30" x14ac:dyDescent="0.2">
      <c r="A1270" s="3">
        <v>42604</v>
      </c>
      <c r="B1270" t="s">
        <v>23</v>
      </c>
      <c r="C1270">
        <v>501</v>
      </c>
      <c r="D1270">
        <v>4</v>
      </c>
      <c r="E1270">
        <v>1</v>
      </c>
      <c r="F1270" t="s">
        <v>64</v>
      </c>
      <c r="G1270" t="s">
        <v>25</v>
      </c>
      <c r="H1270" t="s">
        <v>26</v>
      </c>
      <c r="I1270" t="s">
        <v>52</v>
      </c>
      <c r="J1270" t="s">
        <v>34</v>
      </c>
      <c r="K1270" t="s">
        <v>123</v>
      </c>
      <c r="L1270" t="s">
        <v>35</v>
      </c>
      <c r="M1270">
        <v>0</v>
      </c>
      <c r="N1270">
        <v>1</v>
      </c>
      <c r="O1270" s="17" t="s">
        <v>1677</v>
      </c>
      <c r="Q1270">
        <f>27-13.5</f>
        <v>13.5</v>
      </c>
      <c r="R1270" t="s">
        <v>31</v>
      </c>
      <c r="S1270" t="s">
        <v>32</v>
      </c>
      <c r="T1270">
        <v>17</v>
      </c>
      <c r="W1270">
        <v>12.9</v>
      </c>
      <c r="X1270">
        <v>25.7</v>
      </c>
      <c r="Z1270" t="s">
        <v>145</v>
      </c>
      <c r="AB1270" t="s">
        <v>121</v>
      </c>
      <c r="AC1270" t="s">
        <v>59</v>
      </c>
      <c r="AD1270" t="s">
        <v>1579</v>
      </c>
    </row>
    <row r="1271" spans="1:30" x14ac:dyDescent="0.2">
      <c r="A1271" s="3">
        <v>42606</v>
      </c>
      <c r="B1271" t="s">
        <v>23</v>
      </c>
      <c r="C1271">
        <v>501</v>
      </c>
      <c r="D1271">
        <v>4</v>
      </c>
      <c r="E1271">
        <v>1</v>
      </c>
      <c r="F1271" t="s">
        <v>64</v>
      </c>
      <c r="G1271" t="s">
        <v>25</v>
      </c>
      <c r="H1271" t="s">
        <v>26</v>
      </c>
      <c r="I1271" t="s">
        <v>52</v>
      </c>
      <c r="J1271" t="s">
        <v>28</v>
      </c>
      <c r="K1271" t="s">
        <v>123</v>
      </c>
      <c r="L1271" t="s">
        <v>35</v>
      </c>
      <c r="M1271">
        <v>0</v>
      </c>
      <c r="N1271">
        <v>0</v>
      </c>
      <c r="O1271" s="17" t="s">
        <v>1677</v>
      </c>
      <c r="Q1271">
        <f>26.5-13.5</f>
        <v>13</v>
      </c>
      <c r="R1271" t="s">
        <v>63</v>
      </c>
      <c r="T1271">
        <v>17</v>
      </c>
      <c r="W1271">
        <v>12.8</v>
      </c>
      <c r="X1271">
        <v>25.2</v>
      </c>
      <c r="Z1271" t="s">
        <v>145</v>
      </c>
      <c r="AA1271" t="s">
        <v>260</v>
      </c>
      <c r="AB1271" t="s">
        <v>53</v>
      </c>
      <c r="AC1271" t="s">
        <v>122</v>
      </c>
    </row>
    <row r="1272" spans="1:30" x14ac:dyDescent="0.2">
      <c r="A1272" s="3">
        <v>42604</v>
      </c>
      <c r="B1272" t="s">
        <v>23</v>
      </c>
      <c r="C1272">
        <v>501</v>
      </c>
      <c r="D1272">
        <v>5</v>
      </c>
      <c r="E1272">
        <v>1</v>
      </c>
      <c r="F1272" t="s">
        <v>64</v>
      </c>
      <c r="G1272" t="s">
        <v>25</v>
      </c>
      <c r="H1272" t="s">
        <v>26</v>
      </c>
      <c r="I1272" t="s">
        <v>52</v>
      </c>
      <c r="J1272" t="s">
        <v>34</v>
      </c>
      <c r="K1272" t="s">
        <v>29</v>
      </c>
      <c r="L1272" t="s">
        <v>35</v>
      </c>
      <c r="M1272">
        <v>0</v>
      </c>
      <c r="N1272">
        <v>1</v>
      </c>
      <c r="O1272" s="17" t="s">
        <v>1678</v>
      </c>
      <c r="Q1272">
        <f>33-13</f>
        <v>20</v>
      </c>
      <c r="R1272" t="s">
        <v>63</v>
      </c>
      <c r="T1272">
        <v>17</v>
      </c>
      <c r="W1272">
        <v>13</v>
      </c>
      <c r="X1272">
        <v>26.5</v>
      </c>
      <c r="Z1272" t="s">
        <v>145</v>
      </c>
      <c r="AA1272" t="s">
        <v>260</v>
      </c>
      <c r="AB1272" t="s">
        <v>121</v>
      </c>
      <c r="AC1272" t="s">
        <v>59</v>
      </c>
      <c r="AD1272" t="s">
        <v>1579</v>
      </c>
    </row>
    <row r="1273" spans="1:30" x14ac:dyDescent="0.2">
      <c r="A1273" s="3">
        <v>42606</v>
      </c>
      <c r="B1273" t="s">
        <v>23</v>
      </c>
      <c r="C1273">
        <v>501</v>
      </c>
      <c r="D1273">
        <v>3</v>
      </c>
      <c r="E1273">
        <v>2</v>
      </c>
      <c r="F1273" t="s">
        <v>64</v>
      </c>
      <c r="G1273" t="s">
        <v>25</v>
      </c>
      <c r="H1273" t="s">
        <v>26</v>
      </c>
      <c r="I1273" t="s">
        <v>52</v>
      </c>
      <c r="J1273" t="s">
        <v>28</v>
      </c>
      <c r="K1273" t="s">
        <v>29</v>
      </c>
      <c r="L1273" t="s">
        <v>35</v>
      </c>
      <c r="M1273">
        <v>0</v>
      </c>
      <c r="N1273">
        <v>0</v>
      </c>
      <c r="O1273" s="17" t="s">
        <v>1678</v>
      </c>
      <c r="Q1273">
        <f>36-17</f>
        <v>19</v>
      </c>
      <c r="R1273" t="s">
        <v>63</v>
      </c>
      <c r="T1273">
        <v>17.5</v>
      </c>
      <c r="W1273">
        <v>12.8</v>
      </c>
      <c r="X1273">
        <v>27.5</v>
      </c>
      <c r="Z1273" t="s">
        <v>145</v>
      </c>
      <c r="AA1273" t="s">
        <v>260</v>
      </c>
      <c r="AB1273" t="s">
        <v>53</v>
      </c>
      <c r="AC1273" t="s">
        <v>122</v>
      </c>
    </row>
    <row r="1274" spans="1:30" x14ac:dyDescent="0.2">
      <c r="A1274" s="3">
        <v>42604</v>
      </c>
      <c r="B1274" t="s">
        <v>23</v>
      </c>
      <c r="C1274">
        <v>503</v>
      </c>
      <c r="D1274">
        <v>1</v>
      </c>
      <c r="E1274">
        <v>2</v>
      </c>
      <c r="F1274" t="s">
        <v>64</v>
      </c>
      <c r="G1274" t="s">
        <v>25</v>
      </c>
      <c r="H1274" t="s">
        <v>26</v>
      </c>
      <c r="I1274" t="s">
        <v>52</v>
      </c>
      <c r="J1274" t="s">
        <v>34</v>
      </c>
      <c r="K1274" t="s">
        <v>29</v>
      </c>
      <c r="L1274" t="s">
        <v>30</v>
      </c>
      <c r="M1274">
        <v>0</v>
      </c>
      <c r="N1274">
        <v>1</v>
      </c>
      <c r="O1274" s="17" t="s">
        <v>1685</v>
      </c>
      <c r="Q1274">
        <f>32-13.5</f>
        <v>18.5</v>
      </c>
      <c r="R1274" t="s">
        <v>251</v>
      </c>
      <c r="S1274" t="s">
        <v>145</v>
      </c>
      <c r="T1274">
        <v>17</v>
      </c>
      <c r="W1274">
        <v>12.8</v>
      </c>
      <c r="X1274">
        <v>26.5</v>
      </c>
      <c r="Z1274" t="s">
        <v>145</v>
      </c>
      <c r="AA1274" t="s">
        <v>260</v>
      </c>
      <c r="AB1274" t="s">
        <v>121</v>
      </c>
      <c r="AC1274" t="s">
        <v>59</v>
      </c>
      <c r="AD1274" t="s">
        <v>1686</v>
      </c>
    </row>
    <row r="1275" spans="1:30" x14ac:dyDescent="0.2">
      <c r="A1275" s="3">
        <v>42604</v>
      </c>
      <c r="B1275" t="s">
        <v>23</v>
      </c>
      <c r="C1275">
        <v>503</v>
      </c>
      <c r="D1275">
        <v>6</v>
      </c>
      <c r="E1275">
        <v>2</v>
      </c>
      <c r="F1275" t="s">
        <v>64</v>
      </c>
      <c r="G1275" t="s">
        <v>25</v>
      </c>
      <c r="H1275" t="s">
        <v>26</v>
      </c>
      <c r="I1275" t="s">
        <v>52</v>
      </c>
      <c r="J1275" t="s">
        <v>34</v>
      </c>
      <c r="K1275" t="s">
        <v>29</v>
      </c>
      <c r="L1275" t="s">
        <v>30</v>
      </c>
      <c r="M1275">
        <v>0</v>
      </c>
      <c r="N1275">
        <v>1</v>
      </c>
      <c r="O1275" s="17" t="s">
        <v>1691</v>
      </c>
      <c r="Q1275">
        <f>38-16</f>
        <v>22</v>
      </c>
      <c r="R1275" t="s">
        <v>31</v>
      </c>
      <c r="S1275" t="s">
        <v>32</v>
      </c>
      <c r="T1275">
        <v>19</v>
      </c>
      <c r="W1275">
        <v>13</v>
      </c>
      <c r="X1275">
        <v>27.3</v>
      </c>
      <c r="Z1275" t="s">
        <v>145</v>
      </c>
      <c r="AA1275" t="s">
        <v>260</v>
      </c>
      <c r="AB1275" t="s">
        <v>121</v>
      </c>
      <c r="AC1275" t="s">
        <v>59</v>
      </c>
      <c r="AD1275" t="s">
        <v>1579</v>
      </c>
    </row>
    <row r="1276" spans="1:30" x14ac:dyDescent="0.2">
      <c r="A1276" s="3">
        <v>42605</v>
      </c>
      <c r="B1276" t="s">
        <v>23</v>
      </c>
      <c r="C1276">
        <v>503</v>
      </c>
      <c r="D1276">
        <v>7</v>
      </c>
      <c r="E1276">
        <v>2</v>
      </c>
      <c r="F1276" t="s">
        <v>64</v>
      </c>
      <c r="G1276" t="s">
        <v>25</v>
      </c>
      <c r="H1276" t="s">
        <v>26</v>
      </c>
      <c r="I1276" t="s">
        <v>52</v>
      </c>
      <c r="J1276" t="s">
        <v>28</v>
      </c>
      <c r="K1276" t="s">
        <v>29</v>
      </c>
      <c r="L1276" t="s">
        <v>30</v>
      </c>
      <c r="M1276">
        <v>0</v>
      </c>
      <c r="N1276">
        <v>0</v>
      </c>
      <c r="O1276" s="17" t="s">
        <v>1691</v>
      </c>
      <c r="Q1276">
        <f>42-19</f>
        <v>23</v>
      </c>
      <c r="R1276" t="s">
        <v>31</v>
      </c>
      <c r="S1276" t="s">
        <v>32</v>
      </c>
      <c r="Z1276" t="s">
        <v>145</v>
      </c>
      <c r="AA1276" t="s">
        <v>260</v>
      </c>
      <c r="AB1276" t="s">
        <v>121</v>
      </c>
      <c r="AC1276" t="s">
        <v>59</v>
      </c>
    </row>
    <row r="1277" spans="1:30" x14ac:dyDescent="0.2">
      <c r="A1277" s="3">
        <v>42606</v>
      </c>
      <c r="B1277" t="s">
        <v>23</v>
      </c>
      <c r="C1277">
        <v>503</v>
      </c>
      <c r="D1277">
        <v>5</v>
      </c>
      <c r="E1277">
        <v>2</v>
      </c>
      <c r="F1277" t="s">
        <v>64</v>
      </c>
      <c r="G1277" t="s">
        <v>25</v>
      </c>
      <c r="H1277" t="s">
        <v>26</v>
      </c>
      <c r="I1277" t="s">
        <v>52</v>
      </c>
      <c r="J1277" t="s">
        <v>28</v>
      </c>
      <c r="K1277" t="s">
        <v>29</v>
      </c>
      <c r="L1277" t="s">
        <v>30</v>
      </c>
      <c r="M1277">
        <v>0</v>
      </c>
      <c r="N1277">
        <v>0</v>
      </c>
      <c r="O1277" s="17" t="s">
        <v>1691</v>
      </c>
      <c r="Q1277">
        <f>42-17</f>
        <v>25</v>
      </c>
      <c r="R1277" t="s">
        <v>31</v>
      </c>
      <c r="T1277">
        <v>19</v>
      </c>
      <c r="W1277">
        <v>13.2</v>
      </c>
      <c r="X1277">
        <v>26.5</v>
      </c>
      <c r="Z1277" t="s">
        <v>145</v>
      </c>
      <c r="AB1277" t="s">
        <v>53</v>
      </c>
      <c r="AC1277" t="s">
        <v>122</v>
      </c>
      <c r="AD1277" t="s">
        <v>1768</v>
      </c>
    </row>
    <row r="1278" spans="1:30" x14ac:dyDescent="0.2">
      <c r="A1278" s="3">
        <v>42604</v>
      </c>
      <c r="B1278" t="s">
        <v>23</v>
      </c>
      <c r="C1278">
        <v>503</v>
      </c>
      <c r="D1278">
        <v>7</v>
      </c>
      <c r="E1278">
        <v>2</v>
      </c>
      <c r="F1278" t="s">
        <v>64</v>
      </c>
      <c r="G1278" t="s">
        <v>25</v>
      </c>
      <c r="H1278" t="s">
        <v>26</v>
      </c>
      <c r="I1278" t="s">
        <v>52</v>
      </c>
      <c r="J1278" t="s">
        <v>34</v>
      </c>
      <c r="K1278" t="s">
        <v>29</v>
      </c>
      <c r="L1278" t="s">
        <v>35</v>
      </c>
      <c r="M1278">
        <v>0</v>
      </c>
      <c r="N1278">
        <v>1</v>
      </c>
      <c r="O1278" s="17" t="s">
        <v>1692</v>
      </c>
      <c r="Q1278">
        <f>33-15.5</f>
        <v>17.5</v>
      </c>
      <c r="R1278" t="s">
        <v>63</v>
      </c>
      <c r="T1278">
        <v>18</v>
      </c>
      <c r="W1278">
        <v>12.8</v>
      </c>
      <c r="X1278">
        <v>26.5</v>
      </c>
      <c r="Z1278" t="s">
        <v>145</v>
      </c>
      <c r="AA1278" t="s">
        <v>1693</v>
      </c>
      <c r="AB1278" t="s">
        <v>121</v>
      </c>
      <c r="AC1278" t="s">
        <v>59</v>
      </c>
      <c r="AD1278" t="s">
        <v>1579</v>
      </c>
    </row>
    <row r="1279" spans="1:30" x14ac:dyDescent="0.2">
      <c r="A1279" s="3">
        <v>42604</v>
      </c>
      <c r="B1279" t="s">
        <v>23</v>
      </c>
      <c r="C1279">
        <v>503</v>
      </c>
      <c r="D1279">
        <v>8</v>
      </c>
      <c r="E1279">
        <v>2</v>
      </c>
      <c r="F1279" t="s">
        <v>64</v>
      </c>
      <c r="G1279" t="s">
        <v>25</v>
      </c>
      <c r="H1279" t="s">
        <v>26</v>
      </c>
      <c r="I1279" t="s">
        <v>52</v>
      </c>
      <c r="J1279" t="s">
        <v>28</v>
      </c>
      <c r="K1279" t="s">
        <v>29</v>
      </c>
      <c r="L1279" t="s">
        <v>35</v>
      </c>
      <c r="M1279">
        <v>0</v>
      </c>
      <c r="N1279">
        <v>1</v>
      </c>
      <c r="O1279" s="17" t="s">
        <v>1694</v>
      </c>
      <c r="Q1279">
        <f>36-17</f>
        <v>19</v>
      </c>
      <c r="R1279" t="s">
        <v>39</v>
      </c>
      <c r="T1279">
        <v>17</v>
      </c>
      <c r="W1279">
        <v>12.8</v>
      </c>
      <c r="X1279">
        <v>26.3</v>
      </c>
      <c r="Z1279" t="s">
        <v>145</v>
      </c>
      <c r="AA1279" t="s">
        <v>260</v>
      </c>
      <c r="AB1279" t="s">
        <v>121</v>
      </c>
      <c r="AC1279" t="s">
        <v>59</v>
      </c>
      <c r="AD1279" t="s">
        <v>1695</v>
      </c>
    </row>
    <row r="1280" spans="1:30" x14ac:dyDescent="0.2">
      <c r="A1280" s="3">
        <v>42606</v>
      </c>
      <c r="B1280" t="s">
        <v>23</v>
      </c>
      <c r="C1280">
        <v>503</v>
      </c>
      <c r="D1280">
        <v>6</v>
      </c>
      <c r="E1280">
        <v>1</v>
      </c>
      <c r="F1280" t="s">
        <v>64</v>
      </c>
      <c r="G1280" t="s">
        <v>25</v>
      </c>
      <c r="H1280" t="s">
        <v>26</v>
      </c>
      <c r="I1280" t="s">
        <v>52</v>
      </c>
      <c r="J1280" t="s">
        <v>28</v>
      </c>
      <c r="K1280" t="s">
        <v>29</v>
      </c>
      <c r="L1280" t="s">
        <v>35</v>
      </c>
      <c r="M1280">
        <v>0</v>
      </c>
      <c r="N1280">
        <v>0</v>
      </c>
      <c r="O1280" s="17" t="s">
        <v>1694</v>
      </c>
      <c r="Q1280">
        <f>32-15.5</f>
        <v>16.5</v>
      </c>
      <c r="R1280" t="s">
        <v>63</v>
      </c>
      <c r="T1280">
        <v>17.5</v>
      </c>
      <c r="W1280">
        <v>13.1</v>
      </c>
      <c r="X1280">
        <v>25.8</v>
      </c>
      <c r="Z1280" t="s">
        <v>145</v>
      </c>
      <c r="AA1280" t="s">
        <v>260</v>
      </c>
      <c r="AB1280" t="s">
        <v>53</v>
      </c>
      <c r="AC1280" t="s">
        <v>122</v>
      </c>
      <c r="AD1280" t="s">
        <v>1695</v>
      </c>
    </row>
    <row r="1281" spans="1:30" x14ac:dyDescent="0.2">
      <c r="A1281" s="3">
        <v>42604</v>
      </c>
      <c r="B1281" t="s">
        <v>23</v>
      </c>
      <c r="C1281">
        <v>501</v>
      </c>
      <c r="D1281">
        <v>3</v>
      </c>
      <c r="E1281">
        <v>1</v>
      </c>
      <c r="F1281" t="s">
        <v>64</v>
      </c>
      <c r="G1281" t="s">
        <v>25</v>
      </c>
      <c r="H1281" t="s">
        <v>26</v>
      </c>
      <c r="I1281" t="s">
        <v>52</v>
      </c>
      <c r="J1281" t="s">
        <v>28</v>
      </c>
      <c r="K1281" t="s">
        <v>29</v>
      </c>
      <c r="L1281" t="s">
        <v>30</v>
      </c>
      <c r="M1281">
        <v>0</v>
      </c>
      <c r="N1281">
        <v>0</v>
      </c>
      <c r="O1281" s="17" t="s">
        <v>1676</v>
      </c>
      <c r="Q1281">
        <f>43-13</f>
        <v>30</v>
      </c>
      <c r="R1281" t="s">
        <v>251</v>
      </c>
      <c r="S1281" t="s">
        <v>145</v>
      </c>
      <c r="T1281">
        <v>17</v>
      </c>
      <c r="W1281">
        <v>13.1</v>
      </c>
      <c r="X1281">
        <v>30.5</v>
      </c>
      <c r="Z1281" t="s">
        <v>145</v>
      </c>
      <c r="AA1281" t="s">
        <v>260</v>
      </c>
      <c r="AB1281" t="s">
        <v>121</v>
      </c>
      <c r="AC1281" t="s">
        <v>59</v>
      </c>
    </row>
    <row r="1282" spans="1:30" x14ac:dyDescent="0.2">
      <c r="A1282" s="3">
        <v>42598</v>
      </c>
      <c r="B1282" t="s">
        <v>23</v>
      </c>
      <c r="C1282">
        <v>202</v>
      </c>
      <c r="D1282">
        <v>9</v>
      </c>
      <c r="E1282">
        <v>1</v>
      </c>
      <c r="F1282" t="s">
        <v>64</v>
      </c>
      <c r="G1282" t="s">
        <v>25</v>
      </c>
      <c r="H1282" t="s">
        <v>26</v>
      </c>
      <c r="I1282" t="s">
        <v>52</v>
      </c>
      <c r="J1282" t="s">
        <v>34</v>
      </c>
      <c r="K1282" t="s">
        <v>188</v>
      </c>
      <c r="L1282" t="s">
        <v>35</v>
      </c>
      <c r="M1282">
        <v>0</v>
      </c>
      <c r="N1282">
        <v>1</v>
      </c>
      <c r="O1282" s="17" t="s">
        <v>1582</v>
      </c>
      <c r="Q1282">
        <f>28-13</f>
        <v>15</v>
      </c>
      <c r="R1282" t="s">
        <v>63</v>
      </c>
      <c r="T1282">
        <v>18</v>
      </c>
      <c r="W1282">
        <v>12.8</v>
      </c>
      <c r="X1282">
        <v>26.3</v>
      </c>
      <c r="Z1282" t="s">
        <v>145</v>
      </c>
      <c r="AA1282" t="s">
        <v>260</v>
      </c>
      <c r="AB1282" t="s">
        <v>121</v>
      </c>
      <c r="AC1282" t="s">
        <v>122</v>
      </c>
    </row>
    <row r="1283" spans="1:30" x14ac:dyDescent="0.2">
      <c r="A1283" s="3">
        <v>42598</v>
      </c>
      <c r="B1283" t="s">
        <v>23</v>
      </c>
      <c r="C1283">
        <v>304</v>
      </c>
      <c r="D1283">
        <v>5</v>
      </c>
      <c r="E1283">
        <v>2</v>
      </c>
      <c r="F1283" t="s">
        <v>64</v>
      </c>
      <c r="G1283" t="s">
        <v>25</v>
      </c>
      <c r="H1283" t="s">
        <v>26</v>
      </c>
      <c r="I1283" t="s">
        <v>52</v>
      </c>
      <c r="J1283" t="s">
        <v>34</v>
      </c>
      <c r="K1283" t="s">
        <v>29</v>
      </c>
      <c r="L1283" t="s">
        <v>35</v>
      </c>
      <c r="M1283">
        <v>0</v>
      </c>
      <c r="N1283">
        <v>1</v>
      </c>
      <c r="O1283" s="17" t="s">
        <v>1593</v>
      </c>
      <c r="Q1283">
        <f>34-15.5</f>
        <v>18.5</v>
      </c>
      <c r="R1283" t="s">
        <v>39</v>
      </c>
      <c r="Z1283" t="s">
        <v>145</v>
      </c>
      <c r="AA1283" t="s">
        <v>260</v>
      </c>
      <c r="AB1283" t="s">
        <v>1589</v>
      </c>
      <c r="AC1283" t="s">
        <v>122</v>
      </c>
      <c r="AD1283" t="s">
        <v>1594</v>
      </c>
    </row>
    <row r="1284" spans="1:30" x14ac:dyDescent="0.2">
      <c r="A1284" s="3">
        <v>42599</v>
      </c>
      <c r="B1284" t="s">
        <v>23</v>
      </c>
      <c r="C1284">
        <v>304</v>
      </c>
      <c r="D1284">
        <v>8</v>
      </c>
      <c r="E1284">
        <v>1</v>
      </c>
      <c r="F1284" t="s">
        <v>64</v>
      </c>
      <c r="G1284" t="s">
        <v>25</v>
      </c>
      <c r="H1284" t="s">
        <v>26</v>
      </c>
      <c r="I1284" t="s">
        <v>52</v>
      </c>
      <c r="J1284" t="s">
        <v>28</v>
      </c>
      <c r="K1284" t="s">
        <v>29</v>
      </c>
      <c r="L1284" t="s">
        <v>35</v>
      </c>
      <c r="M1284">
        <v>0</v>
      </c>
      <c r="N1284">
        <v>0</v>
      </c>
      <c r="O1284" s="17" t="s">
        <v>1593</v>
      </c>
      <c r="Q1284">
        <f>34-15.5</f>
        <v>18.5</v>
      </c>
      <c r="R1284" t="s">
        <v>39</v>
      </c>
      <c r="T1284">
        <v>16.5</v>
      </c>
      <c r="W1284">
        <v>13.1</v>
      </c>
      <c r="X1284">
        <v>27.1</v>
      </c>
      <c r="Z1284" t="s">
        <v>145</v>
      </c>
      <c r="AA1284" t="s">
        <v>260</v>
      </c>
      <c r="AB1284" t="s">
        <v>121</v>
      </c>
      <c r="AC1284" t="s">
        <v>59</v>
      </c>
    </row>
    <row r="1285" spans="1:30" x14ac:dyDescent="0.2">
      <c r="A1285" s="3">
        <v>42599</v>
      </c>
      <c r="B1285" t="s">
        <v>23</v>
      </c>
      <c r="C1285">
        <v>201</v>
      </c>
      <c r="D1285">
        <v>3</v>
      </c>
      <c r="E1285">
        <v>1</v>
      </c>
      <c r="F1285" t="s">
        <v>64</v>
      </c>
      <c r="G1285" t="s">
        <v>25</v>
      </c>
      <c r="H1285" t="s">
        <v>26</v>
      </c>
      <c r="I1285" t="s">
        <v>52</v>
      </c>
      <c r="J1285" t="s">
        <v>34</v>
      </c>
      <c r="K1285" t="s">
        <v>29</v>
      </c>
      <c r="L1285" t="s">
        <v>35</v>
      </c>
      <c r="M1285">
        <v>0</v>
      </c>
      <c r="N1285">
        <v>1</v>
      </c>
      <c r="O1285" s="17" t="s">
        <v>1596</v>
      </c>
      <c r="Q1285">
        <f>35-15</f>
        <v>20</v>
      </c>
      <c r="R1285" t="s">
        <v>39</v>
      </c>
      <c r="T1285">
        <v>18</v>
      </c>
      <c r="W1285">
        <v>13</v>
      </c>
      <c r="X1285">
        <v>26.4</v>
      </c>
      <c r="Z1285" t="s">
        <v>145</v>
      </c>
      <c r="AA1285" t="s">
        <v>260</v>
      </c>
      <c r="AB1285" t="s">
        <v>121</v>
      </c>
      <c r="AC1285" t="s">
        <v>59</v>
      </c>
      <c r="AD1285" t="s">
        <v>1597</v>
      </c>
    </row>
    <row r="1286" spans="1:30" x14ac:dyDescent="0.2">
      <c r="A1286" s="3">
        <v>42600</v>
      </c>
      <c r="B1286" t="s">
        <v>23</v>
      </c>
      <c r="C1286">
        <v>201</v>
      </c>
      <c r="D1286">
        <v>4</v>
      </c>
      <c r="E1286">
        <v>1</v>
      </c>
      <c r="F1286" t="s">
        <v>64</v>
      </c>
      <c r="G1286" t="s">
        <v>25</v>
      </c>
      <c r="H1286" t="s">
        <v>26</v>
      </c>
      <c r="I1286" t="s">
        <v>52</v>
      </c>
      <c r="J1286" t="s">
        <v>28</v>
      </c>
      <c r="K1286" t="s">
        <v>29</v>
      </c>
      <c r="L1286" t="s">
        <v>35</v>
      </c>
      <c r="M1286">
        <v>0</v>
      </c>
      <c r="N1286">
        <v>0</v>
      </c>
      <c r="O1286" s="17" t="s">
        <v>1596</v>
      </c>
      <c r="Q1286">
        <f>36.5-14.5</f>
        <v>22</v>
      </c>
      <c r="R1286" t="s">
        <v>39</v>
      </c>
      <c r="T1286">
        <v>17.5</v>
      </c>
      <c r="W1286">
        <v>13.2</v>
      </c>
      <c r="X1286">
        <v>27.2</v>
      </c>
      <c r="Z1286" t="s">
        <v>145</v>
      </c>
      <c r="AA1286" t="s">
        <v>260</v>
      </c>
      <c r="AB1286" t="s">
        <v>121</v>
      </c>
      <c r="AC1286" t="s">
        <v>122</v>
      </c>
      <c r="AD1286" t="s">
        <v>1653</v>
      </c>
    </row>
    <row r="1287" spans="1:30" x14ac:dyDescent="0.2">
      <c r="A1287" s="3">
        <v>42599</v>
      </c>
      <c r="B1287" t="s">
        <v>23</v>
      </c>
      <c r="C1287">
        <v>201</v>
      </c>
      <c r="D1287">
        <v>8</v>
      </c>
      <c r="E1287">
        <v>1</v>
      </c>
      <c r="F1287" t="s">
        <v>64</v>
      </c>
      <c r="G1287" t="s">
        <v>25</v>
      </c>
      <c r="H1287" t="s">
        <v>26</v>
      </c>
      <c r="I1287" t="s">
        <v>52</v>
      </c>
      <c r="J1287" t="s">
        <v>34</v>
      </c>
      <c r="K1287" t="s">
        <v>29</v>
      </c>
      <c r="L1287" t="s">
        <v>35</v>
      </c>
      <c r="M1287">
        <v>0</v>
      </c>
      <c r="N1287">
        <v>1</v>
      </c>
      <c r="O1287" s="17" t="s">
        <v>1608</v>
      </c>
      <c r="Q1287">
        <f>36-16</f>
        <v>20</v>
      </c>
      <c r="R1287" t="s">
        <v>39</v>
      </c>
      <c r="T1287">
        <v>16</v>
      </c>
      <c r="W1287">
        <v>13.2</v>
      </c>
      <c r="X1287">
        <v>27.6</v>
      </c>
      <c r="Z1287" t="s">
        <v>145</v>
      </c>
      <c r="AA1287" t="s">
        <v>260</v>
      </c>
      <c r="AB1287" t="s">
        <v>121</v>
      </c>
      <c r="AC1287" t="s">
        <v>59</v>
      </c>
      <c r="AD1287" t="s">
        <v>1579</v>
      </c>
    </row>
    <row r="1288" spans="1:30" x14ac:dyDescent="0.2">
      <c r="A1288" s="3">
        <v>42599</v>
      </c>
      <c r="B1288" t="s">
        <v>23</v>
      </c>
      <c r="C1288">
        <v>203</v>
      </c>
      <c r="D1288">
        <v>5</v>
      </c>
      <c r="E1288">
        <v>1</v>
      </c>
      <c r="F1288" t="s">
        <v>64</v>
      </c>
      <c r="G1288" t="s">
        <v>25</v>
      </c>
      <c r="H1288" t="s">
        <v>26</v>
      </c>
      <c r="I1288" t="s">
        <v>52</v>
      </c>
      <c r="J1288" t="s">
        <v>34</v>
      </c>
      <c r="K1288" t="s">
        <v>29</v>
      </c>
      <c r="L1288" t="s">
        <v>30</v>
      </c>
      <c r="M1288">
        <v>0</v>
      </c>
      <c r="N1288">
        <v>1</v>
      </c>
      <c r="O1288" s="17" t="s">
        <v>1625</v>
      </c>
      <c r="Q1288">
        <f>35-14</f>
        <v>21</v>
      </c>
      <c r="R1288" t="s">
        <v>31</v>
      </c>
      <c r="S1288" t="s">
        <v>32</v>
      </c>
      <c r="Z1288" t="s">
        <v>145</v>
      </c>
      <c r="AA1288" t="s">
        <v>260</v>
      </c>
      <c r="AB1288" t="s">
        <v>121</v>
      </c>
      <c r="AC1288" t="s">
        <v>59</v>
      </c>
      <c r="AD1288" t="s">
        <v>1579</v>
      </c>
    </row>
    <row r="1289" spans="1:30" x14ac:dyDescent="0.2">
      <c r="A1289" s="3">
        <v>42600</v>
      </c>
      <c r="B1289" t="s">
        <v>23</v>
      </c>
      <c r="C1289">
        <v>203</v>
      </c>
      <c r="D1289">
        <v>4</v>
      </c>
      <c r="E1289">
        <v>1</v>
      </c>
      <c r="F1289" t="s">
        <v>64</v>
      </c>
      <c r="G1289" t="s">
        <v>25</v>
      </c>
      <c r="H1289" t="s">
        <v>26</v>
      </c>
      <c r="I1289" t="s">
        <v>52</v>
      </c>
      <c r="J1289" t="s">
        <v>28</v>
      </c>
      <c r="K1289" t="s">
        <v>29</v>
      </c>
      <c r="L1289" t="s">
        <v>30</v>
      </c>
      <c r="M1289">
        <v>0</v>
      </c>
      <c r="N1289">
        <v>0</v>
      </c>
      <c r="O1289" s="17" t="s">
        <v>1625</v>
      </c>
      <c r="Q1289">
        <f>36-14.5</f>
        <v>21.5</v>
      </c>
      <c r="R1289" t="s">
        <v>31</v>
      </c>
      <c r="S1289" t="s">
        <v>32</v>
      </c>
      <c r="T1289">
        <v>18</v>
      </c>
      <c r="W1289">
        <v>13.1</v>
      </c>
      <c r="X1289">
        <v>26.8</v>
      </c>
      <c r="Z1289" t="s">
        <v>145</v>
      </c>
      <c r="AA1289" t="s">
        <v>260</v>
      </c>
      <c r="AB1289" t="s">
        <v>121</v>
      </c>
      <c r="AC1289" t="s">
        <v>122</v>
      </c>
      <c r="AD1289" t="s">
        <v>1658</v>
      </c>
    </row>
    <row r="1290" spans="1:30" x14ac:dyDescent="0.2">
      <c r="A1290" s="3">
        <v>42599</v>
      </c>
      <c r="B1290" t="s">
        <v>23</v>
      </c>
      <c r="C1290">
        <v>203</v>
      </c>
      <c r="D1290">
        <v>6</v>
      </c>
      <c r="E1290">
        <v>1</v>
      </c>
      <c r="F1290" t="s">
        <v>64</v>
      </c>
      <c r="G1290" t="s">
        <v>25</v>
      </c>
      <c r="H1290" t="s">
        <v>26</v>
      </c>
      <c r="I1290" t="s">
        <v>52</v>
      </c>
      <c r="J1290" t="s">
        <v>34</v>
      </c>
      <c r="K1290" t="s">
        <v>29</v>
      </c>
      <c r="L1290" t="s">
        <v>30</v>
      </c>
      <c r="M1290">
        <v>0</v>
      </c>
      <c r="N1290">
        <v>1</v>
      </c>
      <c r="O1290" s="17" t="s">
        <v>1626</v>
      </c>
      <c r="Q1290">
        <f>42.5-14.5</f>
        <v>28</v>
      </c>
      <c r="R1290" t="s">
        <v>251</v>
      </c>
      <c r="S1290" t="s">
        <v>145</v>
      </c>
      <c r="T1290">
        <v>17</v>
      </c>
      <c r="W1290">
        <v>13.1</v>
      </c>
      <c r="X1290">
        <v>26.2</v>
      </c>
      <c r="Z1290" t="s">
        <v>145</v>
      </c>
      <c r="AA1290" t="s">
        <v>260</v>
      </c>
      <c r="AB1290" t="s">
        <v>121</v>
      </c>
      <c r="AC1290" t="s">
        <v>59</v>
      </c>
      <c r="AD1290" t="s">
        <v>1579</v>
      </c>
    </row>
    <row r="1291" spans="1:30" x14ac:dyDescent="0.2">
      <c r="A1291" s="3">
        <v>42600</v>
      </c>
      <c r="B1291" t="s">
        <v>23</v>
      </c>
      <c r="C1291">
        <v>203</v>
      </c>
      <c r="D1291">
        <v>6</v>
      </c>
      <c r="E1291">
        <v>1</v>
      </c>
      <c r="F1291" t="s">
        <v>64</v>
      </c>
      <c r="G1291" t="s">
        <v>25</v>
      </c>
      <c r="H1291" t="s">
        <v>26</v>
      </c>
      <c r="I1291" t="s">
        <v>52</v>
      </c>
      <c r="J1291" t="s">
        <v>28</v>
      </c>
      <c r="K1291" t="s">
        <v>29</v>
      </c>
      <c r="L1291" t="s">
        <v>30</v>
      </c>
      <c r="M1291">
        <v>0</v>
      </c>
      <c r="N1291">
        <v>0</v>
      </c>
      <c r="O1291" s="17" t="s">
        <v>1626</v>
      </c>
      <c r="Q1291">
        <f>37-14</f>
        <v>23</v>
      </c>
      <c r="R1291" t="s">
        <v>31</v>
      </c>
      <c r="S1291" t="s">
        <v>32</v>
      </c>
      <c r="T1291">
        <v>17.5</v>
      </c>
      <c r="W1291">
        <v>12.9</v>
      </c>
      <c r="X1291">
        <v>27.2</v>
      </c>
      <c r="Z1291" t="s">
        <v>145</v>
      </c>
      <c r="AA1291" t="s">
        <v>1661</v>
      </c>
      <c r="AB1291" t="s">
        <v>121</v>
      </c>
      <c r="AC1291" t="s">
        <v>122</v>
      </c>
    </row>
    <row r="1292" spans="1:30" x14ac:dyDescent="0.2">
      <c r="A1292" s="3">
        <v>42599</v>
      </c>
      <c r="B1292" t="s">
        <v>23</v>
      </c>
      <c r="C1292">
        <v>203</v>
      </c>
      <c r="D1292">
        <v>6</v>
      </c>
      <c r="E1292">
        <v>2</v>
      </c>
      <c r="F1292" t="s">
        <v>64</v>
      </c>
      <c r="G1292" t="s">
        <v>25</v>
      </c>
      <c r="H1292" t="s">
        <v>26</v>
      </c>
      <c r="I1292" t="s">
        <v>52</v>
      </c>
      <c r="J1292" t="s">
        <v>34</v>
      </c>
      <c r="K1292" t="s">
        <v>29</v>
      </c>
      <c r="L1292" t="s">
        <v>35</v>
      </c>
      <c r="M1292">
        <v>0</v>
      </c>
      <c r="N1292">
        <v>1</v>
      </c>
      <c r="O1292" s="17" t="s">
        <v>1627</v>
      </c>
      <c r="Q1292">
        <f>29-14</f>
        <v>15</v>
      </c>
      <c r="R1292" t="s">
        <v>63</v>
      </c>
      <c r="T1292">
        <v>17</v>
      </c>
      <c r="W1292">
        <v>12.7</v>
      </c>
      <c r="X1292">
        <v>25.2</v>
      </c>
      <c r="Z1292" t="s">
        <v>145</v>
      </c>
      <c r="AA1292" t="s">
        <v>260</v>
      </c>
      <c r="AB1292" t="s">
        <v>121</v>
      </c>
      <c r="AC1292" t="s">
        <v>59</v>
      </c>
      <c r="AD1292" t="s">
        <v>1579</v>
      </c>
    </row>
    <row r="1293" spans="1:30" x14ac:dyDescent="0.2">
      <c r="A1293" s="3">
        <v>42600</v>
      </c>
      <c r="B1293" t="s">
        <v>23</v>
      </c>
      <c r="C1293">
        <v>203</v>
      </c>
      <c r="D1293">
        <v>7</v>
      </c>
      <c r="E1293">
        <v>1</v>
      </c>
      <c r="F1293" t="s">
        <v>64</v>
      </c>
      <c r="G1293" t="s">
        <v>25</v>
      </c>
      <c r="H1293" t="s">
        <v>26</v>
      </c>
      <c r="I1293" t="s">
        <v>52</v>
      </c>
      <c r="J1293" t="s">
        <v>28</v>
      </c>
      <c r="K1293" t="s">
        <v>29</v>
      </c>
      <c r="L1293" t="s">
        <v>35</v>
      </c>
      <c r="M1293">
        <v>0</v>
      </c>
      <c r="N1293">
        <v>0</v>
      </c>
      <c r="O1293" s="17" t="s">
        <v>1627</v>
      </c>
      <c r="Q1293">
        <f>37-14</f>
        <v>23</v>
      </c>
      <c r="R1293" t="s">
        <v>63</v>
      </c>
      <c r="T1293">
        <v>17.5</v>
      </c>
      <c r="W1293">
        <v>12.9</v>
      </c>
      <c r="X1293">
        <v>25.6</v>
      </c>
      <c r="Z1293" t="s">
        <v>145</v>
      </c>
      <c r="AA1293" t="s">
        <v>260</v>
      </c>
      <c r="AB1293" t="s">
        <v>121</v>
      </c>
      <c r="AC1293" t="s">
        <v>122</v>
      </c>
    </row>
    <row r="1294" spans="1:30" x14ac:dyDescent="0.2">
      <c r="A1294" s="3">
        <v>42599</v>
      </c>
      <c r="B1294" t="s">
        <v>23</v>
      </c>
      <c r="C1294">
        <v>202</v>
      </c>
      <c r="D1294">
        <v>3</v>
      </c>
      <c r="E1294">
        <v>1</v>
      </c>
      <c r="F1294" t="s">
        <v>64</v>
      </c>
      <c r="G1294" t="s">
        <v>25</v>
      </c>
      <c r="H1294" t="s">
        <v>26</v>
      </c>
      <c r="I1294" t="s">
        <v>52</v>
      </c>
      <c r="J1294" t="s">
        <v>34</v>
      </c>
      <c r="M1294">
        <v>0</v>
      </c>
      <c r="N1294">
        <v>1</v>
      </c>
      <c r="O1294" s="17" t="s">
        <v>1633</v>
      </c>
      <c r="AB1294" t="s">
        <v>121</v>
      </c>
      <c r="AC1294" t="s">
        <v>59</v>
      </c>
      <c r="AD1294" t="s">
        <v>1634</v>
      </c>
    </row>
    <row r="1295" spans="1:30" x14ac:dyDescent="0.2">
      <c r="A1295" s="3">
        <v>42599</v>
      </c>
      <c r="B1295" t="s">
        <v>23</v>
      </c>
      <c r="C1295">
        <v>304</v>
      </c>
      <c r="D1295">
        <v>2</v>
      </c>
      <c r="E1295">
        <v>2</v>
      </c>
      <c r="F1295" t="s">
        <v>64</v>
      </c>
      <c r="G1295" t="s">
        <v>25</v>
      </c>
      <c r="H1295" t="s">
        <v>26</v>
      </c>
      <c r="I1295" t="s">
        <v>52</v>
      </c>
      <c r="J1295" t="s">
        <v>34</v>
      </c>
      <c r="K1295" t="s">
        <v>188</v>
      </c>
      <c r="L1295" t="s">
        <v>35</v>
      </c>
      <c r="M1295">
        <v>0</v>
      </c>
      <c r="N1295">
        <v>1</v>
      </c>
      <c r="O1295" s="17" t="s">
        <v>1643</v>
      </c>
      <c r="Q1295">
        <f>34-14</f>
        <v>20</v>
      </c>
      <c r="R1295" t="s">
        <v>39</v>
      </c>
      <c r="T1295">
        <v>18.5</v>
      </c>
      <c r="W1295">
        <v>13.1</v>
      </c>
      <c r="X1295">
        <v>26.8</v>
      </c>
      <c r="Z1295" t="s">
        <v>145</v>
      </c>
      <c r="AA1295" t="s">
        <v>1644</v>
      </c>
      <c r="AB1295" t="s">
        <v>121</v>
      </c>
      <c r="AC1295" t="s">
        <v>59</v>
      </c>
    </row>
    <row r="1296" spans="1:30" x14ac:dyDescent="0.2">
      <c r="A1296" s="3">
        <v>42599</v>
      </c>
      <c r="B1296" t="s">
        <v>23</v>
      </c>
      <c r="C1296">
        <v>304</v>
      </c>
      <c r="D1296">
        <v>1</v>
      </c>
      <c r="E1296">
        <v>2</v>
      </c>
      <c r="F1296" t="s">
        <v>64</v>
      </c>
      <c r="G1296" t="s">
        <v>25</v>
      </c>
      <c r="H1296" t="s">
        <v>26</v>
      </c>
      <c r="I1296" t="s">
        <v>52</v>
      </c>
      <c r="J1296" t="s">
        <v>34</v>
      </c>
      <c r="K1296" t="s">
        <v>29</v>
      </c>
      <c r="L1296" t="s">
        <v>30</v>
      </c>
      <c r="M1296">
        <v>0</v>
      </c>
      <c r="N1296">
        <v>1</v>
      </c>
      <c r="O1296" s="17" t="s">
        <v>1645</v>
      </c>
      <c r="Q1296">
        <f>42-14</f>
        <v>28</v>
      </c>
      <c r="R1296" t="s">
        <v>251</v>
      </c>
      <c r="S1296" t="s">
        <v>145</v>
      </c>
      <c r="T1296">
        <v>17</v>
      </c>
      <c r="W1296">
        <v>13.2</v>
      </c>
      <c r="X1296">
        <v>27</v>
      </c>
      <c r="Z1296" t="s">
        <v>145</v>
      </c>
      <c r="AA1296" t="s">
        <v>260</v>
      </c>
      <c r="AB1296" t="s">
        <v>121</v>
      </c>
      <c r="AC1296" t="s">
        <v>59</v>
      </c>
    </row>
    <row r="1297" spans="1:30" x14ac:dyDescent="0.2">
      <c r="A1297" s="3">
        <v>42600</v>
      </c>
      <c r="B1297" t="s">
        <v>23</v>
      </c>
      <c r="C1297">
        <v>203</v>
      </c>
      <c r="D1297">
        <v>5</v>
      </c>
      <c r="E1297">
        <v>1</v>
      </c>
      <c r="F1297" t="s">
        <v>64</v>
      </c>
      <c r="G1297" t="s">
        <v>25</v>
      </c>
      <c r="H1297" t="s">
        <v>26</v>
      </c>
      <c r="I1297" t="s">
        <v>52</v>
      </c>
      <c r="J1297" t="s">
        <v>34</v>
      </c>
      <c r="K1297" t="s">
        <v>123</v>
      </c>
      <c r="L1297" t="s">
        <v>30</v>
      </c>
      <c r="M1297">
        <v>0</v>
      </c>
      <c r="N1297">
        <v>1</v>
      </c>
      <c r="O1297" s="17" t="s">
        <v>1660</v>
      </c>
      <c r="Q1297">
        <f>27-14</f>
        <v>13</v>
      </c>
      <c r="R1297" t="s">
        <v>31</v>
      </c>
      <c r="S1297" t="s">
        <v>32</v>
      </c>
      <c r="T1297">
        <v>17</v>
      </c>
      <c r="W1297">
        <v>12.9</v>
      </c>
      <c r="X1297">
        <v>25.6</v>
      </c>
      <c r="Z1297" t="s">
        <v>145</v>
      </c>
      <c r="AA1297" t="s">
        <v>260</v>
      </c>
      <c r="AB1297" t="s">
        <v>121</v>
      </c>
      <c r="AC1297" t="s">
        <v>122</v>
      </c>
      <c r="AD1297" t="s">
        <v>1579</v>
      </c>
    </row>
    <row r="1298" spans="1:30" x14ac:dyDescent="0.2">
      <c r="A1298" s="3">
        <v>42600</v>
      </c>
      <c r="B1298" t="s">
        <v>23</v>
      </c>
      <c r="C1298">
        <v>202</v>
      </c>
      <c r="D1298">
        <v>3</v>
      </c>
      <c r="E1298">
        <v>1</v>
      </c>
      <c r="F1298" t="s">
        <v>64</v>
      </c>
      <c r="G1298" t="s">
        <v>25</v>
      </c>
      <c r="H1298" t="s">
        <v>26</v>
      </c>
      <c r="I1298" t="s">
        <v>52</v>
      </c>
      <c r="J1298" t="s">
        <v>34</v>
      </c>
      <c r="K1298" t="s">
        <v>123</v>
      </c>
      <c r="L1298" t="s">
        <v>30</v>
      </c>
      <c r="M1298">
        <v>0</v>
      </c>
      <c r="N1298">
        <v>1</v>
      </c>
      <c r="O1298" s="17" t="s">
        <v>1668</v>
      </c>
      <c r="Q1298">
        <f>28-14</f>
        <v>14</v>
      </c>
      <c r="R1298" t="s">
        <v>31</v>
      </c>
      <c r="S1298" t="s">
        <v>32</v>
      </c>
      <c r="T1298">
        <v>16.5</v>
      </c>
      <c r="W1298">
        <v>12.7</v>
      </c>
      <c r="X1298">
        <v>24.5</v>
      </c>
      <c r="Z1298" t="s">
        <v>145</v>
      </c>
      <c r="AA1298" t="s">
        <v>260</v>
      </c>
      <c r="AB1298" t="s">
        <v>121</v>
      </c>
      <c r="AC1298" t="s">
        <v>122</v>
      </c>
      <c r="AD1298" t="s">
        <v>1579</v>
      </c>
    </row>
    <row r="1299" spans="1:30" x14ac:dyDescent="0.2">
      <c r="A1299" s="3">
        <v>42606</v>
      </c>
      <c r="B1299" t="s">
        <v>23</v>
      </c>
      <c r="C1299">
        <v>401</v>
      </c>
      <c r="D1299">
        <v>10</v>
      </c>
      <c r="E1299">
        <v>2</v>
      </c>
      <c r="F1299" t="s">
        <v>64</v>
      </c>
      <c r="G1299" t="s">
        <v>25</v>
      </c>
      <c r="H1299" t="s">
        <v>26</v>
      </c>
      <c r="I1299" t="s">
        <v>52</v>
      </c>
      <c r="J1299" t="s">
        <v>28</v>
      </c>
      <c r="K1299" t="s">
        <v>29</v>
      </c>
      <c r="L1299" t="s">
        <v>30</v>
      </c>
      <c r="M1299">
        <v>0</v>
      </c>
      <c r="N1299">
        <v>0</v>
      </c>
      <c r="O1299" s="17" t="s">
        <v>1786</v>
      </c>
      <c r="Q1299">
        <f>40-13</f>
        <v>27</v>
      </c>
      <c r="R1299" t="s">
        <v>75</v>
      </c>
      <c r="S1299" t="s">
        <v>145</v>
      </c>
      <c r="T1299">
        <v>17</v>
      </c>
      <c r="W1299">
        <v>13.1</v>
      </c>
      <c r="X1299">
        <v>26.7</v>
      </c>
      <c r="Z1299" t="s">
        <v>145</v>
      </c>
      <c r="AA1299" t="s">
        <v>260</v>
      </c>
      <c r="AB1299" t="s">
        <v>53</v>
      </c>
      <c r="AC1299" t="s">
        <v>122</v>
      </c>
    </row>
    <row r="1300" spans="1:30" x14ac:dyDescent="0.2">
      <c r="A1300" s="3">
        <v>42605</v>
      </c>
      <c r="B1300" t="s">
        <v>23</v>
      </c>
      <c r="C1300">
        <v>701</v>
      </c>
      <c r="D1300">
        <v>6</v>
      </c>
      <c r="E1300">
        <v>1</v>
      </c>
      <c r="F1300" t="s">
        <v>24</v>
      </c>
      <c r="G1300" t="s">
        <v>25</v>
      </c>
      <c r="H1300" t="s">
        <v>26</v>
      </c>
      <c r="I1300" t="s">
        <v>52</v>
      </c>
      <c r="J1300" t="s">
        <v>34</v>
      </c>
      <c r="K1300" t="s">
        <v>123</v>
      </c>
      <c r="L1300" t="s">
        <v>35</v>
      </c>
      <c r="M1300">
        <v>0</v>
      </c>
      <c r="N1300">
        <v>1</v>
      </c>
      <c r="O1300" s="17" t="s">
        <v>1905</v>
      </c>
      <c r="Q1300">
        <f>29.5-13</f>
        <v>16.5</v>
      </c>
      <c r="R1300" t="s">
        <v>63</v>
      </c>
      <c r="T1300">
        <v>16</v>
      </c>
      <c r="W1300">
        <v>12.45</v>
      </c>
      <c r="X1300">
        <v>24.8</v>
      </c>
      <c r="Z1300" t="s">
        <v>145</v>
      </c>
      <c r="AB1300" t="s">
        <v>44</v>
      </c>
      <c r="AC1300" t="s">
        <v>59</v>
      </c>
    </row>
    <row r="1301" spans="1:30" x14ac:dyDescent="0.2">
      <c r="A1301" s="3">
        <v>42605</v>
      </c>
      <c r="B1301" t="s">
        <v>23</v>
      </c>
      <c r="C1301">
        <v>703</v>
      </c>
      <c r="D1301">
        <v>9</v>
      </c>
      <c r="E1301">
        <v>2</v>
      </c>
      <c r="F1301" t="s">
        <v>24</v>
      </c>
      <c r="G1301" t="s">
        <v>25</v>
      </c>
      <c r="H1301" t="s">
        <v>26</v>
      </c>
      <c r="I1301" t="s">
        <v>52</v>
      </c>
      <c r="J1301" t="s">
        <v>34</v>
      </c>
      <c r="K1301" t="s">
        <v>29</v>
      </c>
      <c r="L1301" t="s">
        <v>35</v>
      </c>
      <c r="M1301">
        <v>0</v>
      </c>
      <c r="N1301">
        <v>1</v>
      </c>
      <c r="O1301" s="17" t="s">
        <v>1897</v>
      </c>
      <c r="Q1301">
        <f>34-13</f>
        <v>21</v>
      </c>
      <c r="R1301" t="s">
        <v>63</v>
      </c>
      <c r="T1301">
        <v>16</v>
      </c>
      <c r="W1301">
        <v>12.8</v>
      </c>
      <c r="X1301">
        <v>25.7</v>
      </c>
      <c r="Y1301" t="s">
        <v>1898</v>
      </c>
      <c r="Z1301" t="s">
        <v>145</v>
      </c>
      <c r="AB1301" t="s">
        <v>44</v>
      </c>
      <c r="AC1301" t="s">
        <v>59</v>
      </c>
    </row>
    <row r="1302" spans="1:30" x14ac:dyDescent="0.2">
      <c r="A1302" s="3">
        <v>42605</v>
      </c>
      <c r="B1302" t="s">
        <v>23</v>
      </c>
      <c r="C1302">
        <v>703</v>
      </c>
      <c r="D1302">
        <v>2</v>
      </c>
      <c r="E1302">
        <v>1</v>
      </c>
      <c r="F1302" t="s">
        <v>24</v>
      </c>
      <c r="G1302" t="s">
        <v>25</v>
      </c>
      <c r="H1302" t="s">
        <v>26</v>
      </c>
      <c r="I1302" t="s">
        <v>52</v>
      </c>
      <c r="J1302" t="s">
        <v>34</v>
      </c>
      <c r="K1302" t="s">
        <v>123</v>
      </c>
      <c r="L1302" t="s">
        <v>30</v>
      </c>
      <c r="M1302">
        <v>0</v>
      </c>
      <c r="N1302">
        <v>1</v>
      </c>
      <c r="O1302" s="17" t="s">
        <v>1896</v>
      </c>
      <c r="Q1302">
        <f>28.5-13</f>
        <v>15.5</v>
      </c>
      <c r="R1302" t="s">
        <v>31</v>
      </c>
      <c r="S1302" t="s">
        <v>32</v>
      </c>
      <c r="T1302">
        <v>16</v>
      </c>
      <c r="W1302">
        <v>12.7</v>
      </c>
      <c r="X1302">
        <v>26.4</v>
      </c>
      <c r="Z1302" t="s">
        <v>145</v>
      </c>
      <c r="AB1302" t="s">
        <v>44</v>
      </c>
      <c r="AC1302" t="s">
        <v>59</v>
      </c>
    </row>
    <row r="1303" spans="1:30" x14ac:dyDescent="0.2">
      <c r="A1303" s="3">
        <v>42604</v>
      </c>
      <c r="B1303" t="s">
        <v>23</v>
      </c>
      <c r="C1303">
        <v>803</v>
      </c>
      <c r="D1303">
        <v>1</v>
      </c>
      <c r="E1303">
        <v>2</v>
      </c>
      <c r="F1303" t="s">
        <v>24</v>
      </c>
      <c r="G1303" t="s">
        <v>25</v>
      </c>
      <c r="H1303" t="s">
        <v>26</v>
      </c>
      <c r="I1303" t="s">
        <v>52</v>
      </c>
      <c r="J1303" t="s">
        <v>34</v>
      </c>
      <c r="K1303" t="s">
        <v>29</v>
      </c>
      <c r="L1303" t="s">
        <v>30</v>
      </c>
      <c r="M1303">
        <v>0</v>
      </c>
      <c r="N1303">
        <v>1</v>
      </c>
      <c r="O1303" s="17" t="s">
        <v>1888</v>
      </c>
      <c r="Q1303">
        <f>41-13.5</f>
        <v>27.5</v>
      </c>
      <c r="R1303" t="s">
        <v>63</v>
      </c>
      <c r="T1303">
        <v>17</v>
      </c>
      <c r="W1303">
        <v>13.2</v>
      </c>
      <c r="X1303">
        <v>26.5</v>
      </c>
      <c r="Z1303" t="s">
        <v>145</v>
      </c>
      <c r="AB1303" t="s">
        <v>582</v>
      </c>
      <c r="AC1303" t="s">
        <v>116</v>
      </c>
      <c r="AD1303" t="s">
        <v>1889</v>
      </c>
    </row>
    <row r="1304" spans="1:30" x14ac:dyDescent="0.2">
      <c r="A1304" s="3">
        <v>42606</v>
      </c>
      <c r="B1304" t="s">
        <v>23</v>
      </c>
      <c r="C1304">
        <v>803</v>
      </c>
      <c r="D1304">
        <v>1</v>
      </c>
      <c r="E1304">
        <v>1</v>
      </c>
      <c r="F1304" t="s">
        <v>24</v>
      </c>
      <c r="G1304" t="s">
        <v>25</v>
      </c>
      <c r="H1304" t="s">
        <v>26</v>
      </c>
      <c r="I1304" t="s">
        <v>52</v>
      </c>
      <c r="J1304" t="s">
        <v>28</v>
      </c>
      <c r="K1304" t="s">
        <v>29</v>
      </c>
      <c r="L1304" t="s">
        <v>30</v>
      </c>
      <c r="M1304">
        <v>0</v>
      </c>
      <c r="N1304">
        <v>0</v>
      </c>
      <c r="O1304" s="17" t="s">
        <v>1888</v>
      </c>
      <c r="Q1304">
        <f>45.5-14.5</f>
        <v>31</v>
      </c>
      <c r="R1304" t="s">
        <v>703</v>
      </c>
      <c r="T1304">
        <v>17</v>
      </c>
      <c r="W1304">
        <v>13.2</v>
      </c>
      <c r="X1304">
        <v>23.9</v>
      </c>
      <c r="Z1304" t="s">
        <v>145</v>
      </c>
      <c r="AB1304" t="s">
        <v>44</v>
      </c>
      <c r="AC1304" t="s">
        <v>59</v>
      </c>
    </row>
    <row r="1305" spans="1:30" x14ac:dyDescent="0.2">
      <c r="A1305" s="3">
        <v>42604</v>
      </c>
      <c r="B1305" t="s">
        <v>23</v>
      </c>
      <c r="C1305">
        <v>803</v>
      </c>
      <c r="D1305">
        <v>6</v>
      </c>
      <c r="E1305">
        <v>2</v>
      </c>
      <c r="F1305" t="s">
        <v>24</v>
      </c>
      <c r="G1305" t="s">
        <v>25</v>
      </c>
      <c r="H1305" t="s">
        <v>26</v>
      </c>
      <c r="I1305" t="s">
        <v>52</v>
      </c>
      <c r="J1305" t="s">
        <v>1887</v>
      </c>
      <c r="M1305">
        <v>0</v>
      </c>
      <c r="N1305">
        <v>1</v>
      </c>
      <c r="O1305" s="17" t="s">
        <v>1884</v>
      </c>
      <c r="AD1305" t="s">
        <v>1885</v>
      </c>
    </row>
    <row r="1306" spans="1:30" x14ac:dyDescent="0.2">
      <c r="A1306" s="3">
        <v>42604</v>
      </c>
      <c r="B1306" t="s">
        <v>23</v>
      </c>
      <c r="C1306">
        <v>801</v>
      </c>
      <c r="D1306">
        <v>2</v>
      </c>
      <c r="E1306">
        <v>1</v>
      </c>
      <c r="F1306" t="s">
        <v>24</v>
      </c>
      <c r="G1306" t="s">
        <v>25</v>
      </c>
      <c r="H1306" t="s">
        <v>26</v>
      </c>
      <c r="I1306" t="s">
        <v>52</v>
      </c>
      <c r="J1306" t="s">
        <v>34</v>
      </c>
      <c r="K1306" t="s">
        <v>123</v>
      </c>
      <c r="L1306" t="s">
        <v>30</v>
      </c>
      <c r="M1306">
        <v>0</v>
      </c>
      <c r="N1306">
        <v>1</v>
      </c>
      <c r="O1306" s="17" t="s">
        <v>1876</v>
      </c>
      <c r="Q1306">
        <f>31.5-14.5</f>
        <v>17</v>
      </c>
      <c r="R1306" t="s">
        <v>31</v>
      </c>
      <c r="S1306" t="s">
        <v>32</v>
      </c>
      <c r="T1306">
        <v>17</v>
      </c>
      <c r="W1306">
        <v>12.35</v>
      </c>
      <c r="X1306">
        <v>25.6</v>
      </c>
      <c r="AB1306" t="s">
        <v>582</v>
      </c>
      <c r="AC1306" t="s">
        <v>116</v>
      </c>
    </row>
    <row r="1307" spans="1:30" x14ac:dyDescent="0.2">
      <c r="A1307" s="3">
        <v>42605</v>
      </c>
      <c r="B1307" t="s">
        <v>23</v>
      </c>
      <c r="C1307">
        <v>801</v>
      </c>
      <c r="D1307">
        <v>1</v>
      </c>
      <c r="E1307">
        <v>2</v>
      </c>
      <c r="F1307" t="s">
        <v>24</v>
      </c>
      <c r="G1307" t="s">
        <v>25</v>
      </c>
      <c r="H1307" t="s">
        <v>26</v>
      </c>
      <c r="I1307" t="s">
        <v>52</v>
      </c>
      <c r="J1307" t="s">
        <v>28</v>
      </c>
      <c r="K1307" t="s">
        <v>123</v>
      </c>
      <c r="L1307" t="s">
        <v>30</v>
      </c>
      <c r="M1307">
        <v>0</v>
      </c>
      <c r="N1307">
        <v>0</v>
      </c>
      <c r="O1307" s="17" t="s">
        <v>1876</v>
      </c>
      <c r="Q1307">
        <f>29-13.5</f>
        <v>15.5</v>
      </c>
      <c r="R1307" t="s">
        <v>31</v>
      </c>
      <c r="S1307" t="s">
        <v>32</v>
      </c>
      <c r="T1307">
        <v>17</v>
      </c>
      <c r="W1307">
        <v>12.4</v>
      </c>
      <c r="X1307">
        <v>26.5</v>
      </c>
      <c r="AB1307" t="s">
        <v>44</v>
      </c>
      <c r="AC1307" t="s">
        <v>59</v>
      </c>
      <c r="AD1307" t="s">
        <v>1915</v>
      </c>
    </row>
    <row r="1308" spans="1:30" x14ac:dyDescent="0.2">
      <c r="A1308" s="3">
        <v>42604</v>
      </c>
      <c r="B1308" t="s">
        <v>23</v>
      </c>
      <c r="C1308">
        <v>703</v>
      </c>
      <c r="D1308">
        <v>8</v>
      </c>
      <c r="E1308">
        <v>1</v>
      </c>
      <c r="F1308" t="s">
        <v>24</v>
      </c>
      <c r="G1308" t="s">
        <v>25</v>
      </c>
      <c r="H1308" t="s">
        <v>26</v>
      </c>
      <c r="I1308" t="s">
        <v>52</v>
      </c>
      <c r="J1308" t="s">
        <v>34</v>
      </c>
      <c r="K1308" t="s">
        <v>188</v>
      </c>
      <c r="L1308" t="s">
        <v>30</v>
      </c>
      <c r="M1308">
        <v>0</v>
      </c>
      <c r="N1308">
        <v>1</v>
      </c>
      <c r="O1308" s="17" t="s">
        <v>1869</v>
      </c>
      <c r="Q1308">
        <f>28.5-13</f>
        <v>15.5</v>
      </c>
      <c r="R1308" t="s">
        <v>31</v>
      </c>
      <c r="S1308" t="s">
        <v>32</v>
      </c>
      <c r="T1308">
        <v>19</v>
      </c>
      <c r="W1308">
        <v>12.75</v>
      </c>
      <c r="X1308">
        <v>26.5</v>
      </c>
      <c r="Z1308" t="s">
        <v>145</v>
      </c>
      <c r="AB1308" t="s">
        <v>582</v>
      </c>
      <c r="AC1308" t="s">
        <v>116</v>
      </c>
    </row>
    <row r="1309" spans="1:30" x14ac:dyDescent="0.2">
      <c r="A1309" s="3">
        <v>42605</v>
      </c>
      <c r="B1309" t="s">
        <v>23</v>
      </c>
      <c r="C1309">
        <v>703</v>
      </c>
      <c r="D1309">
        <v>7</v>
      </c>
      <c r="E1309">
        <v>2</v>
      </c>
      <c r="F1309" t="s">
        <v>24</v>
      </c>
      <c r="G1309" t="s">
        <v>25</v>
      </c>
      <c r="H1309" t="s">
        <v>26</v>
      </c>
      <c r="I1309" t="s">
        <v>52</v>
      </c>
      <c r="J1309" t="s">
        <v>28</v>
      </c>
      <c r="K1309" t="s">
        <v>188</v>
      </c>
      <c r="L1309" t="s">
        <v>30</v>
      </c>
      <c r="M1309">
        <v>0</v>
      </c>
      <c r="N1309">
        <v>0</v>
      </c>
      <c r="O1309" s="17" t="s">
        <v>1869</v>
      </c>
      <c r="Q1309">
        <f>30-12.5</f>
        <v>17.5</v>
      </c>
      <c r="R1309" t="s">
        <v>31</v>
      </c>
      <c r="S1309" t="s">
        <v>32</v>
      </c>
      <c r="T1309">
        <v>18</v>
      </c>
      <c r="W1309">
        <v>12.9</v>
      </c>
      <c r="X1309">
        <v>26.7</v>
      </c>
      <c r="Z1309" t="s">
        <v>145</v>
      </c>
      <c r="AB1309" t="s">
        <v>44</v>
      </c>
      <c r="AC1309" t="s">
        <v>59</v>
      </c>
      <c r="AD1309" t="s">
        <v>213</v>
      </c>
    </row>
    <row r="1310" spans="1:30" x14ac:dyDescent="0.2">
      <c r="A1310" s="3">
        <v>42586</v>
      </c>
      <c r="B1310" t="s">
        <v>23</v>
      </c>
      <c r="C1310">
        <v>201</v>
      </c>
      <c r="D1310">
        <v>10</v>
      </c>
      <c r="E1310">
        <v>1</v>
      </c>
      <c r="F1310" t="s">
        <v>24</v>
      </c>
      <c r="G1310" t="s">
        <v>25</v>
      </c>
      <c r="H1310" t="s">
        <v>26</v>
      </c>
      <c r="I1310" t="s">
        <v>52</v>
      </c>
      <c r="J1310" t="s">
        <v>34</v>
      </c>
      <c r="K1310" t="s">
        <v>123</v>
      </c>
      <c r="L1310" t="s">
        <v>30</v>
      </c>
      <c r="M1310">
        <v>0</v>
      </c>
      <c r="N1310">
        <v>1</v>
      </c>
      <c r="O1310" s="17" t="s">
        <v>875</v>
      </c>
      <c r="Q1310">
        <f>31-14</f>
        <v>17</v>
      </c>
      <c r="R1310" t="s">
        <v>91</v>
      </c>
      <c r="S1310" t="s">
        <v>32</v>
      </c>
      <c r="T1310">
        <v>17</v>
      </c>
      <c r="W1310">
        <v>12.4</v>
      </c>
      <c r="X1310">
        <v>25.15</v>
      </c>
      <c r="Z1310" t="s">
        <v>145</v>
      </c>
      <c r="AB1310" t="s">
        <v>44</v>
      </c>
      <c r="AC1310" t="s">
        <v>59</v>
      </c>
    </row>
    <row r="1311" spans="1:30" x14ac:dyDescent="0.2">
      <c r="A1311" s="3">
        <v>42585</v>
      </c>
      <c r="B1311" t="s">
        <v>23</v>
      </c>
      <c r="C1311">
        <v>202</v>
      </c>
      <c r="D1311">
        <v>8</v>
      </c>
      <c r="E1311">
        <v>1</v>
      </c>
      <c r="F1311" t="s">
        <v>24</v>
      </c>
      <c r="G1311" t="s">
        <v>25</v>
      </c>
      <c r="H1311" t="s">
        <v>26</v>
      </c>
      <c r="I1311" t="s">
        <v>52</v>
      </c>
      <c r="J1311" t="s">
        <v>34</v>
      </c>
      <c r="K1311" t="s">
        <v>123</v>
      </c>
      <c r="L1311" t="s">
        <v>35</v>
      </c>
      <c r="M1311">
        <v>0</v>
      </c>
      <c r="N1311">
        <v>1</v>
      </c>
      <c r="O1311" s="17" t="s">
        <v>863</v>
      </c>
      <c r="Q1311">
        <f>32-14</f>
        <v>18</v>
      </c>
      <c r="R1311" t="s">
        <v>63</v>
      </c>
      <c r="T1311">
        <v>16</v>
      </c>
      <c r="W1311">
        <v>13</v>
      </c>
      <c r="X1311">
        <v>26.3</v>
      </c>
      <c r="Z1311" t="s">
        <v>145</v>
      </c>
      <c r="AA1311" t="s">
        <v>864</v>
      </c>
      <c r="AB1311" t="s">
        <v>44</v>
      </c>
      <c r="AC1311" t="s">
        <v>59</v>
      </c>
    </row>
    <row r="1312" spans="1:30" x14ac:dyDescent="0.2">
      <c r="A1312" s="3">
        <v>42585</v>
      </c>
      <c r="B1312" t="s">
        <v>23</v>
      </c>
      <c r="C1312">
        <v>304</v>
      </c>
      <c r="D1312">
        <v>6</v>
      </c>
      <c r="E1312">
        <v>1</v>
      </c>
      <c r="F1312" t="s">
        <v>64</v>
      </c>
      <c r="G1312" t="s">
        <v>25</v>
      </c>
      <c r="H1312" t="s">
        <v>26</v>
      </c>
      <c r="I1312" t="s">
        <v>52</v>
      </c>
      <c r="J1312" t="s">
        <v>34</v>
      </c>
      <c r="K1312" t="s">
        <v>29</v>
      </c>
      <c r="L1312" t="s">
        <v>30</v>
      </c>
      <c r="M1312">
        <v>0</v>
      </c>
      <c r="N1312">
        <v>1</v>
      </c>
      <c r="O1312" s="17" t="s">
        <v>941</v>
      </c>
      <c r="Q1312">
        <f>33-6</f>
        <v>27</v>
      </c>
      <c r="R1312" t="s">
        <v>251</v>
      </c>
      <c r="S1312" t="s">
        <v>145</v>
      </c>
      <c r="T1312">
        <v>17</v>
      </c>
      <c r="W1312">
        <v>12.9</v>
      </c>
      <c r="X1312">
        <v>25.6</v>
      </c>
      <c r="Z1312" t="s">
        <v>145</v>
      </c>
      <c r="AA1312" t="s">
        <v>260</v>
      </c>
      <c r="AB1312" t="s">
        <v>53</v>
      </c>
      <c r="AC1312" t="s">
        <v>122</v>
      </c>
      <c r="AD1312" t="s">
        <v>942</v>
      </c>
    </row>
    <row r="1313" spans="1:30" x14ac:dyDescent="0.2">
      <c r="A1313" s="3">
        <v>42598</v>
      </c>
      <c r="B1313" t="s">
        <v>23</v>
      </c>
      <c r="C1313">
        <v>304</v>
      </c>
      <c r="D1313">
        <v>6</v>
      </c>
      <c r="E1313">
        <v>1</v>
      </c>
      <c r="F1313" t="s">
        <v>64</v>
      </c>
      <c r="G1313" t="s">
        <v>25</v>
      </c>
      <c r="H1313" t="s">
        <v>26</v>
      </c>
      <c r="I1313" t="s">
        <v>52</v>
      </c>
      <c r="J1313" t="s">
        <v>28</v>
      </c>
      <c r="K1313" t="s">
        <v>29</v>
      </c>
      <c r="L1313" t="s">
        <v>30</v>
      </c>
      <c r="M1313">
        <v>0</v>
      </c>
      <c r="N1313">
        <v>0</v>
      </c>
      <c r="O1313" s="17" t="s">
        <v>941</v>
      </c>
      <c r="Q1313">
        <f>46-21</f>
        <v>25</v>
      </c>
      <c r="R1313" t="s">
        <v>251</v>
      </c>
      <c r="S1313" t="s">
        <v>145</v>
      </c>
      <c r="T1313">
        <v>18</v>
      </c>
      <c r="W1313">
        <v>13</v>
      </c>
      <c r="X1313">
        <v>28.2</v>
      </c>
      <c r="Z1313" t="s">
        <v>145</v>
      </c>
      <c r="AA1313" t="s">
        <v>260</v>
      </c>
      <c r="AB1313" t="s">
        <v>121</v>
      </c>
      <c r="AC1313" t="s">
        <v>122</v>
      </c>
      <c r="AD1313" t="s">
        <v>1588</v>
      </c>
    </row>
    <row r="1314" spans="1:30" x14ac:dyDescent="0.2">
      <c r="A1314" s="3">
        <v>42599</v>
      </c>
      <c r="B1314" t="s">
        <v>23</v>
      </c>
      <c r="C1314">
        <v>304</v>
      </c>
      <c r="D1314">
        <v>6</v>
      </c>
      <c r="E1314">
        <v>2</v>
      </c>
      <c r="F1314" t="s">
        <v>64</v>
      </c>
      <c r="G1314" t="s">
        <v>25</v>
      </c>
      <c r="H1314" t="s">
        <v>26</v>
      </c>
      <c r="I1314" t="s">
        <v>52</v>
      </c>
      <c r="J1314" t="s">
        <v>28</v>
      </c>
      <c r="K1314" t="s">
        <v>29</v>
      </c>
      <c r="L1314" t="s">
        <v>30</v>
      </c>
      <c r="M1314">
        <v>0</v>
      </c>
      <c r="N1314">
        <v>0</v>
      </c>
      <c r="O1314" s="17" t="s">
        <v>941</v>
      </c>
      <c r="Q1314">
        <f>39-15</f>
        <v>24</v>
      </c>
      <c r="R1314" t="s">
        <v>251</v>
      </c>
      <c r="S1314" t="s">
        <v>145</v>
      </c>
      <c r="T1314">
        <v>17</v>
      </c>
      <c r="W1314">
        <v>13.1</v>
      </c>
      <c r="X1314">
        <v>27.2</v>
      </c>
      <c r="Z1314" t="s">
        <v>145</v>
      </c>
      <c r="AA1314" t="s">
        <v>260</v>
      </c>
      <c r="AB1314" t="s">
        <v>121</v>
      </c>
      <c r="AC1314" t="s">
        <v>59</v>
      </c>
      <c r="AD1314" t="s">
        <v>1639</v>
      </c>
    </row>
    <row r="1315" spans="1:30" x14ac:dyDescent="0.2">
      <c r="A1315" s="3">
        <v>42585</v>
      </c>
      <c r="B1315" t="s">
        <v>23</v>
      </c>
      <c r="C1315">
        <v>402</v>
      </c>
      <c r="D1315">
        <v>10</v>
      </c>
      <c r="E1315">
        <v>1</v>
      </c>
      <c r="F1315" t="s">
        <v>64</v>
      </c>
      <c r="G1315" t="s">
        <v>25</v>
      </c>
      <c r="H1315" t="s">
        <v>26</v>
      </c>
      <c r="I1315" t="s">
        <v>52</v>
      </c>
      <c r="J1315" t="s">
        <v>34</v>
      </c>
      <c r="K1315" t="s">
        <v>29</v>
      </c>
      <c r="L1315" t="s">
        <v>30</v>
      </c>
      <c r="M1315">
        <v>0</v>
      </c>
      <c r="N1315">
        <v>1</v>
      </c>
      <c r="O1315" s="17" t="s">
        <v>934</v>
      </c>
      <c r="Q1315">
        <f>35-6</f>
        <v>29</v>
      </c>
      <c r="R1315" t="s">
        <v>273</v>
      </c>
      <c r="S1315" t="s">
        <v>145</v>
      </c>
      <c r="T1315">
        <v>18</v>
      </c>
      <c r="W1315">
        <v>12.8</v>
      </c>
      <c r="X1315">
        <v>26.8</v>
      </c>
      <c r="Z1315" t="s">
        <v>145</v>
      </c>
      <c r="AA1315" t="s">
        <v>260</v>
      </c>
      <c r="AB1315" t="s">
        <v>53</v>
      </c>
      <c r="AC1315" t="s">
        <v>122</v>
      </c>
    </row>
    <row r="1316" spans="1:30" x14ac:dyDescent="0.2">
      <c r="A1316" s="3">
        <v>42598</v>
      </c>
      <c r="B1316" t="s">
        <v>23</v>
      </c>
      <c r="C1316">
        <v>402</v>
      </c>
      <c r="D1316">
        <v>9</v>
      </c>
      <c r="E1316">
        <v>2</v>
      </c>
      <c r="F1316" t="s">
        <v>24</v>
      </c>
      <c r="G1316" t="s">
        <v>25</v>
      </c>
      <c r="H1316" t="s">
        <v>26</v>
      </c>
      <c r="I1316" t="s">
        <v>52</v>
      </c>
      <c r="J1316" t="s">
        <v>28</v>
      </c>
      <c r="K1316" t="s">
        <v>29</v>
      </c>
      <c r="L1316" t="s">
        <v>30</v>
      </c>
      <c r="M1316">
        <v>0</v>
      </c>
      <c r="N1316">
        <v>0</v>
      </c>
      <c r="O1316" s="17" t="s">
        <v>934</v>
      </c>
      <c r="Q1316">
        <f>45-18</f>
        <v>27</v>
      </c>
      <c r="R1316" t="s">
        <v>273</v>
      </c>
      <c r="S1316" t="s">
        <v>145</v>
      </c>
      <c r="T1316">
        <v>16</v>
      </c>
      <c r="W1316">
        <v>13</v>
      </c>
      <c r="X1316">
        <v>29.3</v>
      </c>
      <c r="Z1316" t="s">
        <v>145</v>
      </c>
      <c r="AB1316" t="s">
        <v>1589</v>
      </c>
      <c r="AC1316" t="s">
        <v>122</v>
      </c>
      <c r="AD1316" t="s">
        <v>1812</v>
      </c>
    </row>
    <row r="1317" spans="1:30" x14ac:dyDescent="0.2">
      <c r="A1317" s="3">
        <v>42599</v>
      </c>
      <c r="B1317" t="s">
        <v>23</v>
      </c>
      <c r="C1317">
        <v>402</v>
      </c>
      <c r="D1317">
        <v>10</v>
      </c>
      <c r="E1317">
        <v>1</v>
      </c>
      <c r="F1317" t="s">
        <v>24</v>
      </c>
      <c r="G1317" t="s">
        <v>25</v>
      </c>
      <c r="H1317" t="s">
        <v>26</v>
      </c>
      <c r="I1317" t="s">
        <v>52</v>
      </c>
      <c r="J1317" t="s">
        <v>28</v>
      </c>
      <c r="K1317" t="s">
        <v>29</v>
      </c>
      <c r="L1317" t="s">
        <v>30</v>
      </c>
      <c r="M1317">
        <v>0</v>
      </c>
      <c r="N1317">
        <v>0</v>
      </c>
      <c r="O1317" s="17" t="s">
        <v>934</v>
      </c>
      <c r="Q1317">
        <f>38.5-14</f>
        <v>24.5</v>
      </c>
      <c r="R1317" t="s">
        <v>75</v>
      </c>
      <c r="S1317" t="s">
        <v>145</v>
      </c>
      <c r="Z1317" t="s">
        <v>145</v>
      </c>
      <c r="AB1317" t="s">
        <v>121</v>
      </c>
      <c r="AC1317" t="s">
        <v>59</v>
      </c>
      <c r="AD1317" t="s">
        <v>1842</v>
      </c>
    </row>
    <row r="1318" spans="1:30" x14ac:dyDescent="0.2">
      <c r="A1318" s="3">
        <v>42600</v>
      </c>
      <c r="B1318" t="s">
        <v>23</v>
      </c>
      <c r="C1318">
        <v>402</v>
      </c>
      <c r="D1318">
        <v>9</v>
      </c>
      <c r="E1318">
        <v>1</v>
      </c>
      <c r="F1318" t="s">
        <v>66</v>
      </c>
      <c r="G1318" t="s">
        <v>25</v>
      </c>
      <c r="H1318" t="s">
        <v>26</v>
      </c>
      <c r="I1318" t="s">
        <v>52</v>
      </c>
      <c r="J1318" t="s">
        <v>28</v>
      </c>
      <c r="K1318" t="s">
        <v>29</v>
      </c>
      <c r="L1318" t="s">
        <v>30</v>
      </c>
      <c r="M1318">
        <v>0</v>
      </c>
      <c r="N1318">
        <v>0</v>
      </c>
      <c r="O1318" s="17" t="s">
        <v>934</v>
      </c>
      <c r="R1318" t="s">
        <v>31</v>
      </c>
      <c r="S1318" t="s">
        <v>32</v>
      </c>
      <c r="T1318">
        <v>18</v>
      </c>
      <c r="W1318">
        <v>12.8</v>
      </c>
      <c r="X1318">
        <v>30.2</v>
      </c>
      <c r="Z1318" t="s">
        <v>145</v>
      </c>
      <c r="AA1318" t="s">
        <v>260</v>
      </c>
    </row>
    <row r="1319" spans="1:30" x14ac:dyDescent="0.2">
      <c r="A1319" s="3">
        <v>42585</v>
      </c>
      <c r="B1319" t="s">
        <v>23</v>
      </c>
      <c r="C1319">
        <v>402</v>
      </c>
      <c r="D1319">
        <v>1</v>
      </c>
      <c r="E1319">
        <v>2</v>
      </c>
      <c r="F1319" t="s">
        <v>64</v>
      </c>
      <c r="G1319" t="s">
        <v>25</v>
      </c>
      <c r="H1319" t="s">
        <v>26</v>
      </c>
      <c r="I1319" t="s">
        <v>52</v>
      </c>
      <c r="J1319" t="s">
        <v>34</v>
      </c>
      <c r="K1319" t="s">
        <v>188</v>
      </c>
      <c r="L1319" t="s">
        <v>35</v>
      </c>
      <c r="M1319">
        <v>0</v>
      </c>
      <c r="N1319">
        <v>1</v>
      </c>
      <c r="O1319" s="17" t="s">
        <v>930</v>
      </c>
      <c r="Q1319">
        <f>24-6</f>
        <v>18</v>
      </c>
      <c r="R1319" t="s">
        <v>63</v>
      </c>
      <c r="T1319">
        <v>18</v>
      </c>
      <c r="W1319">
        <v>12.9</v>
      </c>
      <c r="Z1319" t="s">
        <v>145</v>
      </c>
      <c r="AA1319" t="s">
        <v>260</v>
      </c>
      <c r="AB1319" t="s">
        <v>53</v>
      </c>
      <c r="AC1319" t="s">
        <v>122</v>
      </c>
    </row>
    <row r="1320" spans="1:30" x14ac:dyDescent="0.2">
      <c r="A1320" s="3">
        <v>42587</v>
      </c>
      <c r="B1320" t="s">
        <v>23</v>
      </c>
      <c r="C1320">
        <v>402</v>
      </c>
      <c r="D1320">
        <v>2</v>
      </c>
      <c r="E1320">
        <v>1</v>
      </c>
      <c r="F1320" t="s">
        <v>64</v>
      </c>
      <c r="G1320" t="s">
        <v>25</v>
      </c>
      <c r="H1320" t="s">
        <v>26</v>
      </c>
      <c r="I1320" t="s">
        <v>52</v>
      </c>
      <c r="J1320" t="s">
        <v>28</v>
      </c>
      <c r="K1320" t="s">
        <v>188</v>
      </c>
      <c r="L1320" t="s">
        <v>35</v>
      </c>
      <c r="M1320">
        <v>0</v>
      </c>
      <c r="N1320">
        <v>0</v>
      </c>
      <c r="O1320" s="17" t="s">
        <v>930</v>
      </c>
      <c r="Q1320">
        <f>34-15.5</f>
        <v>18.5</v>
      </c>
      <c r="R1320" t="s">
        <v>39</v>
      </c>
      <c r="Z1320" t="s">
        <v>145</v>
      </c>
      <c r="AA1320" t="s">
        <v>260</v>
      </c>
      <c r="AB1320" t="s">
        <v>53</v>
      </c>
      <c r="AC1320" t="s">
        <v>254</v>
      </c>
      <c r="AD1320" t="s">
        <v>1184</v>
      </c>
    </row>
    <row r="1321" spans="1:30" x14ac:dyDescent="0.2">
      <c r="A1321" s="3">
        <v>42588</v>
      </c>
      <c r="B1321" t="s">
        <v>23</v>
      </c>
      <c r="C1321">
        <v>402</v>
      </c>
      <c r="D1321">
        <v>1</v>
      </c>
      <c r="E1321">
        <v>1</v>
      </c>
      <c r="F1321" t="s">
        <v>24</v>
      </c>
      <c r="G1321" t="s">
        <v>25</v>
      </c>
      <c r="H1321" t="s">
        <v>26</v>
      </c>
      <c r="I1321" t="s">
        <v>52</v>
      </c>
      <c r="J1321" t="s">
        <v>28</v>
      </c>
      <c r="K1321" t="s">
        <v>188</v>
      </c>
      <c r="L1321" t="s">
        <v>35</v>
      </c>
      <c r="M1321">
        <v>0</v>
      </c>
      <c r="N1321">
        <v>0</v>
      </c>
      <c r="O1321" s="17" t="s">
        <v>930</v>
      </c>
      <c r="Q1321">
        <f>33-13</f>
        <v>20</v>
      </c>
      <c r="R1321" t="s">
        <v>63</v>
      </c>
      <c r="T1321">
        <v>17.5</v>
      </c>
      <c r="W1321">
        <v>13.55</v>
      </c>
      <c r="X1321">
        <v>28.7</v>
      </c>
      <c r="Z1321" t="s">
        <v>145</v>
      </c>
      <c r="AB1321" t="s">
        <v>121</v>
      </c>
      <c r="AC1321" t="s">
        <v>59</v>
      </c>
    </row>
    <row r="1322" spans="1:30" x14ac:dyDescent="0.2">
      <c r="A1322" s="3">
        <v>42585</v>
      </c>
      <c r="B1322" t="s">
        <v>23</v>
      </c>
      <c r="C1322">
        <v>112</v>
      </c>
      <c r="D1322">
        <v>8</v>
      </c>
      <c r="E1322">
        <v>2</v>
      </c>
      <c r="F1322" t="s">
        <v>64</v>
      </c>
      <c r="G1322" t="s">
        <v>25</v>
      </c>
      <c r="H1322" t="s">
        <v>26</v>
      </c>
      <c r="I1322" t="s">
        <v>52</v>
      </c>
      <c r="J1322" t="s">
        <v>34</v>
      </c>
      <c r="K1322" t="s">
        <v>188</v>
      </c>
      <c r="L1322" t="s">
        <v>35</v>
      </c>
      <c r="M1322">
        <v>0</v>
      </c>
      <c r="N1322">
        <v>1</v>
      </c>
      <c r="O1322" s="17" t="s">
        <v>920</v>
      </c>
      <c r="Q1322">
        <f>25.5-8.5</f>
        <v>17</v>
      </c>
      <c r="R1322" t="s">
        <v>63</v>
      </c>
      <c r="T1322">
        <v>18</v>
      </c>
      <c r="W1322">
        <v>12.7</v>
      </c>
      <c r="X1322">
        <v>26.7</v>
      </c>
      <c r="Z1322" t="s">
        <v>32</v>
      </c>
      <c r="AB1322" t="s">
        <v>53</v>
      </c>
      <c r="AC1322" t="s">
        <v>122</v>
      </c>
    </row>
    <row r="1323" spans="1:30" x14ac:dyDescent="0.2">
      <c r="A1323" s="3">
        <v>42586</v>
      </c>
      <c r="B1323" t="s">
        <v>23</v>
      </c>
      <c r="C1323">
        <v>304</v>
      </c>
      <c r="D1323">
        <v>6</v>
      </c>
      <c r="E1323">
        <v>2</v>
      </c>
      <c r="F1323" t="s">
        <v>24</v>
      </c>
      <c r="G1323" t="s">
        <v>25</v>
      </c>
      <c r="H1323" t="s">
        <v>26</v>
      </c>
      <c r="I1323" t="s">
        <v>52</v>
      </c>
      <c r="J1323" t="s">
        <v>34</v>
      </c>
      <c r="K1323" t="s">
        <v>123</v>
      </c>
      <c r="L1323" t="s">
        <v>30</v>
      </c>
      <c r="M1323">
        <v>0</v>
      </c>
      <c r="N1323" s="16">
        <v>1</v>
      </c>
      <c r="O1323" s="17" t="s">
        <v>894</v>
      </c>
      <c r="Q1323">
        <f>32-14</f>
        <v>18</v>
      </c>
      <c r="R1323" t="s">
        <v>31</v>
      </c>
      <c r="S1323" t="s">
        <v>32</v>
      </c>
      <c r="Z1323" t="s">
        <v>145</v>
      </c>
      <c r="AB1323" t="s">
        <v>44</v>
      </c>
      <c r="AC1323" t="s">
        <v>59</v>
      </c>
      <c r="AD1323" t="s">
        <v>899</v>
      </c>
    </row>
    <row r="1324" spans="1:30" x14ac:dyDescent="0.2">
      <c r="A1324" s="3">
        <v>42585</v>
      </c>
      <c r="B1324" t="s">
        <v>23</v>
      </c>
      <c r="C1324">
        <v>402</v>
      </c>
      <c r="D1324">
        <v>6</v>
      </c>
      <c r="E1324">
        <v>1</v>
      </c>
      <c r="F1324" t="s">
        <v>64</v>
      </c>
      <c r="G1324" t="s">
        <v>25</v>
      </c>
      <c r="H1324" t="s">
        <v>26</v>
      </c>
      <c r="I1324" t="s">
        <v>52</v>
      </c>
      <c r="J1324" t="s">
        <v>28</v>
      </c>
      <c r="K1324" t="s">
        <v>29</v>
      </c>
      <c r="L1324" t="s">
        <v>35</v>
      </c>
      <c r="M1324">
        <v>0</v>
      </c>
      <c r="N1324">
        <v>0</v>
      </c>
      <c r="O1324" s="17">
        <v>10350</v>
      </c>
      <c r="Q1324">
        <f>29-5</f>
        <v>24</v>
      </c>
      <c r="R1324" t="s">
        <v>39</v>
      </c>
      <c r="T1324">
        <v>17</v>
      </c>
      <c r="W1324">
        <v>12.8</v>
      </c>
      <c r="X1324">
        <v>29.1</v>
      </c>
      <c r="Z1324" t="s">
        <v>145</v>
      </c>
      <c r="AA1324" t="s">
        <v>260</v>
      </c>
      <c r="AB1324" t="s">
        <v>53</v>
      </c>
      <c r="AC1324" t="s">
        <v>122</v>
      </c>
    </row>
    <row r="1325" spans="1:30" x14ac:dyDescent="0.2">
      <c r="A1325" s="3">
        <v>42598</v>
      </c>
      <c r="B1325" t="s">
        <v>23</v>
      </c>
      <c r="C1325">
        <v>402</v>
      </c>
      <c r="D1325">
        <v>1</v>
      </c>
      <c r="E1325">
        <v>1</v>
      </c>
      <c r="F1325" t="s">
        <v>24</v>
      </c>
      <c r="G1325" t="s">
        <v>25</v>
      </c>
      <c r="H1325" t="s">
        <v>26</v>
      </c>
      <c r="I1325" t="s">
        <v>52</v>
      </c>
      <c r="J1325" t="s">
        <v>34</v>
      </c>
      <c r="K1325" t="s">
        <v>123</v>
      </c>
      <c r="L1325" t="s">
        <v>35</v>
      </c>
      <c r="M1325">
        <v>0</v>
      </c>
      <c r="N1325">
        <v>1</v>
      </c>
      <c r="O1325" s="17" t="s">
        <v>1805</v>
      </c>
      <c r="Q1325">
        <f>32.5-15</f>
        <v>17.5</v>
      </c>
      <c r="R1325" t="s">
        <v>63</v>
      </c>
      <c r="T1325">
        <v>17</v>
      </c>
      <c r="W1325">
        <v>13.05</v>
      </c>
      <c r="X1325">
        <v>25.4</v>
      </c>
      <c r="Y1325" t="s">
        <v>1806</v>
      </c>
      <c r="Z1325" t="s">
        <v>145</v>
      </c>
      <c r="AB1325" t="s">
        <v>1589</v>
      </c>
      <c r="AC1325" t="s">
        <v>122</v>
      </c>
    </row>
    <row r="1326" spans="1:30" x14ac:dyDescent="0.2">
      <c r="A1326" s="3">
        <v>42598</v>
      </c>
      <c r="B1326" t="s">
        <v>23</v>
      </c>
      <c r="C1326">
        <v>402</v>
      </c>
      <c r="D1326">
        <v>2</v>
      </c>
      <c r="E1326">
        <v>2</v>
      </c>
      <c r="F1326" t="s">
        <v>24</v>
      </c>
      <c r="G1326" t="s">
        <v>25</v>
      </c>
      <c r="H1326" t="s">
        <v>26</v>
      </c>
      <c r="I1326" t="s">
        <v>52</v>
      </c>
      <c r="J1326" t="s">
        <v>34</v>
      </c>
      <c r="K1326" t="s">
        <v>29</v>
      </c>
      <c r="L1326" t="s">
        <v>30</v>
      </c>
      <c r="M1326">
        <v>0</v>
      </c>
      <c r="N1326">
        <v>1</v>
      </c>
      <c r="O1326" s="17" t="s">
        <v>1809</v>
      </c>
      <c r="Q1326">
        <f>47-21.5</f>
        <v>25.5</v>
      </c>
      <c r="R1326" t="s">
        <v>75</v>
      </c>
      <c r="S1326" t="s">
        <v>145</v>
      </c>
      <c r="T1326">
        <v>17</v>
      </c>
      <c r="W1326">
        <v>13.75</v>
      </c>
      <c r="X1326">
        <v>29</v>
      </c>
      <c r="Z1326" t="s">
        <v>145</v>
      </c>
      <c r="AB1326" t="s">
        <v>1589</v>
      </c>
      <c r="AC1326" t="s">
        <v>122</v>
      </c>
    </row>
    <row r="1327" spans="1:30" x14ac:dyDescent="0.2">
      <c r="A1327" s="3">
        <v>42598</v>
      </c>
      <c r="B1327" t="s">
        <v>23</v>
      </c>
      <c r="C1327">
        <v>402</v>
      </c>
      <c r="D1327">
        <v>7</v>
      </c>
      <c r="E1327">
        <v>2</v>
      </c>
      <c r="F1327" t="s">
        <v>24</v>
      </c>
      <c r="G1327" t="s">
        <v>25</v>
      </c>
      <c r="H1327" t="s">
        <v>26</v>
      </c>
      <c r="I1327" t="s">
        <v>52</v>
      </c>
      <c r="J1327" t="s">
        <v>34</v>
      </c>
      <c r="K1327" t="s">
        <v>123</v>
      </c>
      <c r="L1327" t="s">
        <v>35</v>
      </c>
      <c r="M1327">
        <v>0</v>
      </c>
      <c r="N1327">
        <v>1</v>
      </c>
      <c r="O1327" s="17" t="s">
        <v>1810</v>
      </c>
      <c r="Q1327">
        <f>35-18</f>
        <v>17</v>
      </c>
      <c r="R1327" t="s">
        <v>63</v>
      </c>
      <c r="T1327">
        <v>17.5</v>
      </c>
      <c r="W1327">
        <v>12.5</v>
      </c>
      <c r="X1327">
        <v>25.8</v>
      </c>
      <c r="Z1327" t="s">
        <v>145</v>
      </c>
      <c r="AB1327" t="s">
        <v>1589</v>
      </c>
      <c r="AC1327" t="s">
        <v>122</v>
      </c>
      <c r="AD1327" t="s">
        <v>213</v>
      </c>
    </row>
    <row r="1328" spans="1:30" x14ac:dyDescent="0.2">
      <c r="A1328" s="3">
        <v>42592</v>
      </c>
      <c r="B1328" t="s">
        <v>23</v>
      </c>
      <c r="C1328">
        <v>803</v>
      </c>
      <c r="D1328">
        <v>6</v>
      </c>
      <c r="E1328">
        <v>1</v>
      </c>
      <c r="F1328" t="s">
        <v>64</v>
      </c>
      <c r="G1328" t="s">
        <v>25</v>
      </c>
      <c r="H1328" t="s">
        <v>26</v>
      </c>
      <c r="I1328" t="s">
        <v>52</v>
      </c>
      <c r="J1328" t="s">
        <v>34</v>
      </c>
      <c r="K1328" t="s">
        <v>188</v>
      </c>
      <c r="L1328" t="s">
        <v>35</v>
      </c>
      <c r="M1328">
        <v>0</v>
      </c>
      <c r="N1328">
        <v>1</v>
      </c>
      <c r="O1328" s="17" t="s">
        <v>1465</v>
      </c>
      <c r="Q1328">
        <f>34-16</f>
        <v>18</v>
      </c>
      <c r="R1328" t="s">
        <v>39</v>
      </c>
      <c r="T1328">
        <v>17</v>
      </c>
      <c r="W1328">
        <v>12.5</v>
      </c>
      <c r="X1328">
        <v>26.6</v>
      </c>
      <c r="Z1328" t="s">
        <v>145</v>
      </c>
      <c r="AA1328" t="s">
        <v>260</v>
      </c>
      <c r="AB1328" t="s">
        <v>53</v>
      </c>
      <c r="AC1328" t="s">
        <v>59</v>
      </c>
    </row>
    <row r="1329" spans="1:30" x14ac:dyDescent="0.2">
      <c r="A1329" s="3">
        <v>42604</v>
      </c>
      <c r="B1329" t="s">
        <v>23</v>
      </c>
      <c r="C1329">
        <v>803</v>
      </c>
      <c r="D1329">
        <v>4</v>
      </c>
      <c r="E1329">
        <v>1</v>
      </c>
      <c r="F1329" t="s">
        <v>24</v>
      </c>
      <c r="G1329" t="s">
        <v>25</v>
      </c>
      <c r="H1329" t="s">
        <v>26</v>
      </c>
      <c r="I1329" t="s">
        <v>52</v>
      </c>
      <c r="J1329" t="s">
        <v>28</v>
      </c>
      <c r="K1329" t="s">
        <v>29</v>
      </c>
      <c r="L1329" t="s">
        <v>35</v>
      </c>
      <c r="M1329">
        <v>0</v>
      </c>
      <c r="N1329">
        <v>0</v>
      </c>
      <c r="O1329" s="17" t="s">
        <v>1465</v>
      </c>
      <c r="Q1329">
        <f>35-14.5</f>
        <v>20.5</v>
      </c>
      <c r="R1329" t="s">
        <v>63</v>
      </c>
      <c r="T1329">
        <v>17</v>
      </c>
      <c r="W1329">
        <v>13</v>
      </c>
      <c r="X1329">
        <v>26</v>
      </c>
      <c r="AB1329" t="s">
        <v>582</v>
      </c>
      <c r="AC1329" t="s">
        <v>116</v>
      </c>
      <c r="AD1329" t="s">
        <v>1886</v>
      </c>
    </row>
    <row r="1330" spans="1:30" x14ac:dyDescent="0.2">
      <c r="A1330" s="3">
        <v>42605</v>
      </c>
      <c r="B1330" t="s">
        <v>23</v>
      </c>
      <c r="C1330">
        <v>803</v>
      </c>
      <c r="D1330">
        <v>3</v>
      </c>
      <c r="E1330">
        <v>2</v>
      </c>
      <c r="F1330" t="s">
        <v>24</v>
      </c>
      <c r="G1330" t="s">
        <v>25</v>
      </c>
      <c r="H1330" t="s">
        <v>26</v>
      </c>
      <c r="I1330" t="s">
        <v>52</v>
      </c>
      <c r="J1330" t="s">
        <v>28</v>
      </c>
      <c r="K1330" t="s">
        <v>29</v>
      </c>
      <c r="L1330" t="s">
        <v>35</v>
      </c>
      <c r="M1330">
        <v>0</v>
      </c>
      <c r="N1330">
        <v>0</v>
      </c>
      <c r="O1330" s="17" t="s">
        <v>1465</v>
      </c>
      <c r="Q1330">
        <f>33.5-14</f>
        <v>19.5</v>
      </c>
      <c r="R1330" t="s">
        <v>63</v>
      </c>
      <c r="T1330">
        <v>17</v>
      </c>
      <c r="W1330">
        <v>13</v>
      </c>
      <c r="X1330">
        <v>26</v>
      </c>
      <c r="AB1330" t="s">
        <v>44</v>
      </c>
      <c r="AC1330" t="s">
        <v>59</v>
      </c>
    </row>
    <row r="1331" spans="1:30" x14ac:dyDescent="0.2">
      <c r="A1331" s="3">
        <v>42606</v>
      </c>
      <c r="B1331" t="s">
        <v>23</v>
      </c>
      <c r="C1331">
        <v>803</v>
      </c>
      <c r="D1331">
        <v>6</v>
      </c>
      <c r="E1331">
        <v>2</v>
      </c>
      <c r="F1331" t="s">
        <v>24</v>
      </c>
      <c r="G1331" t="s">
        <v>25</v>
      </c>
      <c r="H1331" t="s">
        <v>26</v>
      </c>
      <c r="I1331" t="s">
        <v>52</v>
      </c>
      <c r="J1331" t="s">
        <v>28</v>
      </c>
      <c r="K1331" t="s">
        <v>29</v>
      </c>
      <c r="L1331" t="s">
        <v>35</v>
      </c>
      <c r="M1331">
        <v>0</v>
      </c>
      <c r="N1331">
        <v>0</v>
      </c>
      <c r="O1331" s="17" t="s">
        <v>1465</v>
      </c>
      <c r="Q1331">
        <f>36-15</f>
        <v>21</v>
      </c>
      <c r="R1331" t="s">
        <v>63</v>
      </c>
      <c r="T1331">
        <v>16</v>
      </c>
      <c r="W1331">
        <v>13.1</v>
      </c>
      <c r="X1331">
        <v>28</v>
      </c>
      <c r="AB1331" t="s">
        <v>44</v>
      </c>
      <c r="AC1331" t="s">
        <v>59</v>
      </c>
    </row>
    <row r="1332" spans="1:30" x14ac:dyDescent="0.2">
      <c r="A1332" s="3">
        <v>42593</v>
      </c>
      <c r="B1332" t="s">
        <v>23</v>
      </c>
      <c r="C1332">
        <v>703</v>
      </c>
      <c r="D1332">
        <v>1</v>
      </c>
      <c r="E1332">
        <v>2</v>
      </c>
      <c r="F1332" t="s">
        <v>64</v>
      </c>
      <c r="G1332" t="s">
        <v>25</v>
      </c>
      <c r="H1332" t="s">
        <v>26</v>
      </c>
      <c r="I1332" t="s">
        <v>52</v>
      </c>
      <c r="J1332" t="s">
        <v>34</v>
      </c>
      <c r="K1332" t="s">
        <v>29</v>
      </c>
      <c r="L1332" t="s">
        <v>30</v>
      </c>
      <c r="M1332">
        <v>0</v>
      </c>
      <c r="N1332">
        <v>1</v>
      </c>
      <c r="O1332" s="17" t="s">
        <v>1473</v>
      </c>
      <c r="Q1332">
        <f>37-16</f>
        <v>21</v>
      </c>
      <c r="R1332" t="s">
        <v>31</v>
      </c>
      <c r="S1332" t="s">
        <v>32</v>
      </c>
      <c r="T1332">
        <v>18</v>
      </c>
      <c r="W1332">
        <v>12.7</v>
      </c>
      <c r="X1332">
        <v>26.8</v>
      </c>
      <c r="Z1332" t="s">
        <v>145</v>
      </c>
      <c r="AA1332" t="s">
        <v>260</v>
      </c>
      <c r="AB1332" t="s">
        <v>44</v>
      </c>
      <c r="AC1332" t="s">
        <v>122</v>
      </c>
    </row>
    <row r="1333" spans="1:30" x14ac:dyDescent="0.2">
      <c r="A1333" s="3">
        <v>42604</v>
      </c>
      <c r="B1333" t="s">
        <v>23</v>
      </c>
      <c r="C1333">
        <v>703</v>
      </c>
      <c r="D1333">
        <v>3</v>
      </c>
      <c r="E1333">
        <v>1</v>
      </c>
      <c r="F1333" t="s">
        <v>24</v>
      </c>
      <c r="G1333" t="s">
        <v>25</v>
      </c>
      <c r="H1333" t="s">
        <v>26</v>
      </c>
      <c r="I1333" t="s">
        <v>52</v>
      </c>
      <c r="J1333" t="s">
        <v>28</v>
      </c>
      <c r="K1333" t="s">
        <v>29</v>
      </c>
      <c r="L1333" t="s">
        <v>30</v>
      </c>
      <c r="M1333">
        <v>0</v>
      </c>
      <c r="N1333">
        <v>0</v>
      </c>
      <c r="O1333" s="17" t="s">
        <v>1473</v>
      </c>
      <c r="Q1333">
        <f>33-12.5</f>
        <v>20.5</v>
      </c>
      <c r="R1333" t="s">
        <v>63</v>
      </c>
      <c r="T1333">
        <v>17</v>
      </c>
      <c r="W1333">
        <v>12.7</v>
      </c>
      <c r="X1333">
        <v>27.15</v>
      </c>
      <c r="Z1333" t="s">
        <v>145</v>
      </c>
      <c r="AB1333" t="s">
        <v>582</v>
      </c>
      <c r="AC1333" t="s">
        <v>116</v>
      </c>
    </row>
    <row r="1334" spans="1:30" x14ac:dyDescent="0.2">
      <c r="A1334" s="3">
        <v>42605</v>
      </c>
      <c r="B1334" t="s">
        <v>23</v>
      </c>
      <c r="C1334">
        <v>703</v>
      </c>
      <c r="D1334">
        <v>2</v>
      </c>
      <c r="E1334">
        <v>2</v>
      </c>
      <c r="F1334" t="s">
        <v>24</v>
      </c>
      <c r="G1334" t="s">
        <v>25</v>
      </c>
      <c r="H1334" t="s">
        <v>26</v>
      </c>
      <c r="I1334" t="s">
        <v>52</v>
      </c>
      <c r="J1334" t="s">
        <v>28</v>
      </c>
      <c r="K1334" t="s">
        <v>29</v>
      </c>
      <c r="L1334" t="s">
        <v>30</v>
      </c>
      <c r="M1334">
        <v>0</v>
      </c>
      <c r="N1334">
        <v>0</v>
      </c>
      <c r="O1334" s="17" t="s">
        <v>1473</v>
      </c>
      <c r="Q1334">
        <f>34-13</f>
        <v>21</v>
      </c>
      <c r="R1334" t="s">
        <v>31</v>
      </c>
      <c r="S1334" t="s">
        <v>32</v>
      </c>
      <c r="T1334">
        <v>17</v>
      </c>
      <c r="W1334">
        <v>12.7</v>
      </c>
      <c r="X1334">
        <v>26.6</v>
      </c>
      <c r="Z1334" t="s">
        <v>145</v>
      </c>
      <c r="AB1334" t="s">
        <v>44</v>
      </c>
      <c r="AC1334" t="s">
        <v>59</v>
      </c>
    </row>
    <row r="1335" spans="1:30" x14ac:dyDescent="0.2">
      <c r="A1335" s="3">
        <v>42606</v>
      </c>
      <c r="B1335" t="s">
        <v>23</v>
      </c>
      <c r="C1335">
        <v>703</v>
      </c>
      <c r="D1335">
        <v>2</v>
      </c>
      <c r="E1335">
        <v>1</v>
      </c>
      <c r="F1335" t="s">
        <v>24</v>
      </c>
      <c r="G1335" t="s">
        <v>25</v>
      </c>
      <c r="H1335" t="s">
        <v>26</v>
      </c>
      <c r="I1335" t="s">
        <v>52</v>
      </c>
      <c r="J1335" t="s">
        <v>28</v>
      </c>
      <c r="K1335" t="s">
        <v>29</v>
      </c>
      <c r="L1335" t="s">
        <v>30</v>
      </c>
      <c r="M1335">
        <v>0</v>
      </c>
      <c r="N1335">
        <v>0</v>
      </c>
      <c r="O1335" s="17" t="s">
        <v>1473</v>
      </c>
      <c r="Q1335">
        <f>33-12.5</f>
        <v>20.5</v>
      </c>
      <c r="R1335" t="s">
        <v>31</v>
      </c>
      <c r="S1335" t="s">
        <v>32</v>
      </c>
      <c r="T1335">
        <v>17</v>
      </c>
      <c r="W1335">
        <v>12.7</v>
      </c>
      <c r="X1335">
        <v>26.1</v>
      </c>
      <c r="Z1335" t="s">
        <v>145</v>
      </c>
      <c r="AB1335" t="s">
        <v>44</v>
      </c>
      <c r="AC1335" t="s">
        <v>59</v>
      </c>
    </row>
    <row r="1336" spans="1:30" x14ac:dyDescent="0.2">
      <c r="A1336" s="3">
        <v>42593</v>
      </c>
      <c r="B1336" t="s">
        <v>23</v>
      </c>
      <c r="C1336">
        <v>703</v>
      </c>
      <c r="D1336">
        <v>8</v>
      </c>
      <c r="E1336">
        <v>2</v>
      </c>
      <c r="F1336" t="s">
        <v>64</v>
      </c>
      <c r="G1336" t="s">
        <v>25</v>
      </c>
      <c r="H1336" t="s">
        <v>26</v>
      </c>
      <c r="I1336" t="s">
        <v>52</v>
      </c>
      <c r="J1336" t="s">
        <v>34</v>
      </c>
      <c r="K1336" t="s">
        <v>29</v>
      </c>
      <c r="L1336" t="s">
        <v>30</v>
      </c>
      <c r="M1336">
        <v>0</v>
      </c>
      <c r="N1336">
        <v>1</v>
      </c>
      <c r="O1336" s="17" t="s">
        <v>1474</v>
      </c>
      <c r="Q1336">
        <f>34-14.5</f>
        <v>19.5</v>
      </c>
      <c r="R1336" t="s">
        <v>251</v>
      </c>
      <c r="S1336" t="s">
        <v>145</v>
      </c>
      <c r="T1336">
        <v>17</v>
      </c>
      <c r="W1336">
        <v>12.7</v>
      </c>
      <c r="X1336">
        <v>27.4</v>
      </c>
      <c r="Z1336" t="s">
        <v>145</v>
      </c>
      <c r="AA1336" t="s">
        <v>1475</v>
      </c>
      <c r="AB1336" t="s">
        <v>44</v>
      </c>
      <c r="AC1336" t="s">
        <v>122</v>
      </c>
    </row>
    <row r="1337" spans="1:30" x14ac:dyDescent="0.2">
      <c r="A1337" s="3">
        <v>42593</v>
      </c>
      <c r="B1337" t="s">
        <v>23</v>
      </c>
      <c r="C1337">
        <v>801</v>
      </c>
      <c r="D1337">
        <v>4</v>
      </c>
      <c r="E1337">
        <v>1</v>
      </c>
      <c r="F1337" t="s">
        <v>64</v>
      </c>
      <c r="G1337" t="s">
        <v>25</v>
      </c>
      <c r="H1337" t="s">
        <v>26</v>
      </c>
      <c r="I1337" t="s">
        <v>52</v>
      </c>
      <c r="J1337" t="s">
        <v>34</v>
      </c>
      <c r="K1337" t="s">
        <v>29</v>
      </c>
      <c r="L1337" t="s">
        <v>35</v>
      </c>
      <c r="M1337">
        <v>0</v>
      </c>
      <c r="N1337">
        <v>1</v>
      </c>
      <c r="O1337" s="17" t="s">
        <v>1506</v>
      </c>
      <c r="Q1337">
        <f>39-12</f>
        <v>27</v>
      </c>
      <c r="R1337" t="s">
        <v>39</v>
      </c>
      <c r="T1337">
        <v>18.5</v>
      </c>
      <c r="W1337">
        <v>12.9</v>
      </c>
      <c r="X1337">
        <v>27.6</v>
      </c>
      <c r="Z1337" t="s">
        <v>145</v>
      </c>
      <c r="AA1337" t="s">
        <v>260</v>
      </c>
      <c r="AB1337" t="s">
        <v>44</v>
      </c>
      <c r="AC1337" t="s">
        <v>122</v>
      </c>
      <c r="AD1337" t="s">
        <v>1509</v>
      </c>
    </row>
    <row r="1338" spans="1:30" x14ac:dyDescent="0.2">
      <c r="A1338" s="3">
        <v>42598</v>
      </c>
      <c r="B1338" t="s">
        <v>23</v>
      </c>
      <c r="C1338">
        <v>203</v>
      </c>
      <c r="D1338">
        <v>5</v>
      </c>
      <c r="E1338">
        <v>1</v>
      </c>
      <c r="F1338" t="s">
        <v>64</v>
      </c>
      <c r="G1338" t="s">
        <v>25</v>
      </c>
      <c r="H1338" t="s">
        <v>26</v>
      </c>
      <c r="I1338" t="s">
        <v>52</v>
      </c>
      <c r="J1338" t="s">
        <v>34</v>
      </c>
      <c r="K1338" t="s">
        <v>123</v>
      </c>
      <c r="L1338" t="s">
        <v>30</v>
      </c>
      <c r="M1338">
        <v>0</v>
      </c>
      <c r="N1338">
        <v>1</v>
      </c>
      <c r="O1338" s="17" t="s">
        <v>1555</v>
      </c>
      <c r="Q1338">
        <f>27.5-13</f>
        <v>14.5</v>
      </c>
      <c r="R1338" t="s">
        <v>31</v>
      </c>
      <c r="S1338" t="s">
        <v>32</v>
      </c>
      <c r="Z1338" t="s">
        <v>145</v>
      </c>
      <c r="AA1338" t="s">
        <v>260</v>
      </c>
      <c r="AB1338" t="s">
        <v>121</v>
      </c>
      <c r="AC1338" t="s">
        <v>122</v>
      </c>
      <c r="AD1338" t="s">
        <v>1556</v>
      </c>
    </row>
    <row r="1339" spans="1:30" x14ac:dyDescent="0.2">
      <c r="A1339" s="3">
        <v>42598</v>
      </c>
      <c r="B1339" t="s">
        <v>23</v>
      </c>
      <c r="C1339">
        <v>402</v>
      </c>
      <c r="D1339">
        <v>2</v>
      </c>
      <c r="E1339">
        <v>1</v>
      </c>
      <c r="F1339" t="s">
        <v>24</v>
      </c>
      <c r="G1339" t="s">
        <v>25</v>
      </c>
      <c r="H1339" t="s">
        <v>26</v>
      </c>
      <c r="I1339" t="s">
        <v>52</v>
      </c>
      <c r="J1339" t="s">
        <v>28</v>
      </c>
      <c r="K1339" t="s">
        <v>29</v>
      </c>
      <c r="L1339" t="s">
        <v>35</v>
      </c>
      <c r="M1339">
        <v>0</v>
      </c>
      <c r="N1339">
        <v>0</v>
      </c>
      <c r="O1339" s="17" t="s">
        <v>1807</v>
      </c>
      <c r="Q1339">
        <f>42-15.5</f>
        <v>26.5</v>
      </c>
      <c r="R1339" t="s">
        <v>39</v>
      </c>
      <c r="T1339">
        <v>15.5</v>
      </c>
      <c r="W1339">
        <v>13.4</v>
      </c>
      <c r="X1339">
        <v>25.8</v>
      </c>
      <c r="Z1339" t="s">
        <v>145</v>
      </c>
      <c r="AA1339" t="s">
        <v>1808</v>
      </c>
      <c r="AB1339" t="s">
        <v>1589</v>
      </c>
      <c r="AC1339" t="s">
        <v>122</v>
      </c>
    </row>
    <row r="1340" spans="1:30" x14ac:dyDescent="0.2">
      <c r="A1340" s="3">
        <v>42589</v>
      </c>
      <c r="B1340" t="s">
        <v>23</v>
      </c>
      <c r="C1340">
        <v>402</v>
      </c>
      <c r="D1340">
        <v>1</v>
      </c>
      <c r="E1340">
        <v>1</v>
      </c>
      <c r="F1340" t="s">
        <v>24</v>
      </c>
      <c r="G1340" t="s">
        <v>25</v>
      </c>
      <c r="H1340" t="s">
        <v>26</v>
      </c>
      <c r="I1340" t="s">
        <v>52</v>
      </c>
      <c r="J1340" t="s">
        <v>28</v>
      </c>
      <c r="K1340" t="s">
        <v>29</v>
      </c>
      <c r="L1340" t="s">
        <v>35</v>
      </c>
      <c r="M1340">
        <v>0</v>
      </c>
      <c r="N1340">
        <v>0</v>
      </c>
      <c r="O1340" s="17" t="s">
        <v>1082</v>
      </c>
      <c r="Q1340">
        <f>36-14.5</f>
        <v>21.5</v>
      </c>
      <c r="R1340" t="s">
        <v>39</v>
      </c>
      <c r="S1340" t="s">
        <v>32</v>
      </c>
      <c r="T1340">
        <v>15</v>
      </c>
      <c r="W1340">
        <v>12.7</v>
      </c>
      <c r="X1340">
        <v>22.7</v>
      </c>
      <c r="Z1340" t="s">
        <v>145</v>
      </c>
      <c r="AA1340" t="s">
        <v>1083</v>
      </c>
      <c r="AB1340" t="s">
        <v>121</v>
      </c>
      <c r="AC1340" t="s">
        <v>59</v>
      </c>
    </row>
    <row r="1341" spans="1:30" x14ac:dyDescent="0.2">
      <c r="A1341" s="3">
        <v>42587</v>
      </c>
      <c r="B1341" t="s">
        <v>23</v>
      </c>
      <c r="C1341">
        <v>402</v>
      </c>
      <c r="D1341">
        <v>1</v>
      </c>
      <c r="E1341">
        <v>2</v>
      </c>
      <c r="F1341" t="s">
        <v>64</v>
      </c>
      <c r="G1341" t="s">
        <v>25</v>
      </c>
      <c r="H1341" t="s">
        <v>26</v>
      </c>
      <c r="I1341" t="s">
        <v>52</v>
      </c>
      <c r="J1341" t="s">
        <v>28</v>
      </c>
      <c r="K1341" t="s">
        <v>29</v>
      </c>
      <c r="L1341" t="s">
        <v>35</v>
      </c>
      <c r="M1341">
        <v>0</v>
      </c>
      <c r="N1341">
        <v>0</v>
      </c>
      <c r="O1341" s="17" t="s">
        <v>1183</v>
      </c>
      <c r="Q1341">
        <f>37-16.5</f>
        <v>20.5</v>
      </c>
      <c r="R1341" t="s">
        <v>39</v>
      </c>
      <c r="T1341">
        <v>17.5</v>
      </c>
      <c r="W1341">
        <v>12.8</v>
      </c>
      <c r="X1341">
        <v>27.4</v>
      </c>
      <c r="Z1341" t="s">
        <v>145</v>
      </c>
      <c r="AA1341" t="s">
        <v>260</v>
      </c>
      <c r="AB1341" t="s">
        <v>53</v>
      </c>
      <c r="AC1341" t="s">
        <v>254</v>
      </c>
    </row>
    <row r="1342" spans="1:30" x14ac:dyDescent="0.2">
      <c r="A1342" s="3">
        <v>42599</v>
      </c>
      <c r="B1342" t="s">
        <v>23</v>
      </c>
      <c r="C1342">
        <v>402</v>
      </c>
      <c r="D1342">
        <v>1</v>
      </c>
      <c r="E1342">
        <v>1</v>
      </c>
      <c r="F1342" t="s">
        <v>24</v>
      </c>
      <c r="G1342" t="s">
        <v>25</v>
      </c>
      <c r="H1342" t="s">
        <v>26</v>
      </c>
      <c r="I1342" t="s">
        <v>52</v>
      </c>
      <c r="J1342" t="s">
        <v>28</v>
      </c>
      <c r="K1342" t="s">
        <v>29</v>
      </c>
      <c r="L1342" t="s">
        <v>35</v>
      </c>
      <c r="M1342">
        <v>0</v>
      </c>
      <c r="N1342">
        <v>0</v>
      </c>
      <c r="O1342" s="17" t="s">
        <v>1183</v>
      </c>
      <c r="Q1342">
        <f>34-13.5</f>
        <v>20.5</v>
      </c>
      <c r="R1342" t="s">
        <v>63</v>
      </c>
      <c r="T1342">
        <v>17</v>
      </c>
      <c r="W1342">
        <v>12.4</v>
      </c>
      <c r="X1342">
        <v>26.2</v>
      </c>
      <c r="Z1342" t="s">
        <v>145</v>
      </c>
      <c r="AB1342" t="s">
        <v>121</v>
      </c>
      <c r="AC1342" t="s">
        <v>59</v>
      </c>
    </row>
    <row r="1343" spans="1:30" x14ac:dyDescent="0.2">
      <c r="A1343" s="3">
        <v>42591</v>
      </c>
      <c r="B1343" t="s">
        <v>23</v>
      </c>
      <c r="C1343">
        <v>303</v>
      </c>
      <c r="D1343">
        <v>2</v>
      </c>
      <c r="E1343">
        <v>2</v>
      </c>
      <c r="F1343" t="s">
        <v>24</v>
      </c>
      <c r="G1343" t="s">
        <v>25</v>
      </c>
      <c r="H1343" t="s">
        <v>26</v>
      </c>
      <c r="I1343" t="s">
        <v>52</v>
      </c>
      <c r="J1343" t="s">
        <v>28</v>
      </c>
      <c r="K1343" t="s">
        <v>29</v>
      </c>
      <c r="L1343" t="s">
        <v>30</v>
      </c>
      <c r="M1343">
        <v>0</v>
      </c>
      <c r="N1343">
        <v>0</v>
      </c>
      <c r="O1343" s="17" t="s">
        <v>1131</v>
      </c>
      <c r="Q1343">
        <f>41.5-14</f>
        <v>27.5</v>
      </c>
      <c r="R1343" t="s">
        <v>167</v>
      </c>
      <c r="S1343" t="s">
        <v>32</v>
      </c>
      <c r="T1343">
        <v>18</v>
      </c>
      <c r="W1343">
        <v>13</v>
      </c>
      <c r="X1343">
        <v>25.8</v>
      </c>
      <c r="Z1343" t="s">
        <v>145</v>
      </c>
      <c r="AB1343" t="s">
        <v>44</v>
      </c>
      <c r="AC1343" t="s">
        <v>59</v>
      </c>
    </row>
    <row r="1344" spans="1:30" x14ac:dyDescent="0.2">
      <c r="A1344" s="3">
        <v>42593</v>
      </c>
      <c r="B1344" t="s">
        <v>23</v>
      </c>
      <c r="C1344">
        <v>303</v>
      </c>
      <c r="D1344">
        <v>3</v>
      </c>
      <c r="E1344">
        <v>2</v>
      </c>
      <c r="F1344" t="s">
        <v>24</v>
      </c>
      <c r="G1344" t="s">
        <v>25</v>
      </c>
      <c r="H1344" t="s">
        <v>26</v>
      </c>
      <c r="I1344" t="s">
        <v>52</v>
      </c>
      <c r="J1344" t="s">
        <v>28</v>
      </c>
      <c r="K1344" t="s">
        <v>29</v>
      </c>
      <c r="L1344" t="s">
        <v>30</v>
      </c>
      <c r="M1344">
        <v>0</v>
      </c>
      <c r="N1344">
        <v>0</v>
      </c>
      <c r="O1344" s="17" t="s">
        <v>1131</v>
      </c>
      <c r="Q1344">
        <f>43.5-15</f>
        <v>28.5</v>
      </c>
      <c r="R1344" t="s">
        <v>94</v>
      </c>
      <c r="S1344" t="s">
        <v>32</v>
      </c>
      <c r="T1344">
        <v>17</v>
      </c>
      <c r="W1344">
        <v>12.9</v>
      </c>
      <c r="X1344">
        <v>27.5</v>
      </c>
      <c r="Z1344" t="s">
        <v>145</v>
      </c>
      <c r="AB1344" t="s">
        <v>44</v>
      </c>
      <c r="AC1344" t="s">
        <v>122</v>
      </c>
    </row>
    <row r="1345" spans="1:30" x14ac:dyDescent="0.2">
      <c r="A1345" s="3">
        <v>42604</v>
      </c>
      <c r="B1345" t="s">
        <v>23</v>
      </c>
      <c r="C1345">
        <v>303</v>
      </c>
      <c r="D1345">
        <v>3</v>
      </c>
      <c r="E1345">
        <v>2</v>
      </c>
      <c r="F1345" t="s">
        <v>64</v>
      </c>
      <c r="G1345" t="s">
        <v>25</v>
      </c>
      <c r="H1345" t="s">
        <v>26</v>
      </c>
      <c r="I1345" t="s">
        <v>52</v>
      </c>
      <c r="J1345" t="s">
        <v>56</v>
      </c>
      <c r="O1345" s="17" t="s">
        <v>1131</v>
      </c>
      <c r="Z1345" t="s">
        <v>145</v>
      </c>
      <c r="AA1345" t="s">
        <v>260</v>
      </c>
    </row>
    <row r="1346" spans="1:30" x14ac:dyDescent="0.2">
      <c r="A1346" s="3">
        <v>42584</v>
      </c>
      <c r="B1346" t="s">
        <v>23</v>
      </c>
      <c r="C1346">
        <v>402</v>
      </c>
      <c r="D1346">
        <v>5</v>
      </c>
      <c r="E1346">
        <v>1</v>
      </c>
      <c r="F1346" t="s">
        <v>33</v>
      </c>
      <c r="G1346" t="s">
        <v>25</v>
      </c>
      <c r="H1346" t="s">
        <v>26</v>
      </c>
      <c r="I1346" t="s">
        <v>52</v>
      </c>
      <c r="J1346" t="s">
        <v>34</v>
      </c>
      <c r="K1346" t="s">
        <v>29</v>
      </c>
      <c r="L1346" t="s">
        <v>35</v>
      </c>
      <c r="M1346">
        <v>0</v>
      </c>
      <c r="N1346">
        <v>1</v>
      </c>
      <c r="O1346" s="17">
        <v>16350</v>
      </c>
      <c r="Q1346">
        <f>40-13</f>
        <v>27</v>
      </c>
      <c r="R1346" t="s">
        <v>192</v>
      </c>
      <c r="S1346" t="s">
        <v>32</v>
      </c>
      <c r="T1346">
        <v>18</v>
      </c>
      <c r="W1346">
        <v>12.9</v>
      </c>
      <c r="X1346">
        <v>28.5</v>
      </c>
      <c r="Z1346" t="s">
        <v>145</v>
      </c>
      <c r="AA1346" t="s">
        <v>260</v>
      </c>
      <c r="AB1346" t="s">
        <v>121</v>
      </c>
      <c r="AC1346" t="s">
        <v>59</v>
      </c>
    </row>
    <row r="1347" spans="1:30" x14ac:dyDescent="0.2">
      <c r="A1347" s="3">
        <v>42587</v>
      </c>
      <c r="B1347" t="s">
        <v>23</v>
      </c>
      <c r="C1347">
        <v>402</v>
      </c>
      <c r="D1347">
        <v>6</v>
      </c>
      <c r="E1347">
        <v>1</v>
      </c>
      <c r="F1347" t="s">
        <v>64</v>
      </c>
      <c r="G1347" t="s">
        <v>25</v>
      </c>
      <c r="H1347" t="s">
        <v>26</v>
      </c>
      <c r="I1347" t="s">
        <v>52</v>
      </c>
      <c r="J1347" t="s">
        <v>28</v>
      </c>
      <c r="K1347" t="s">
        <v>29</v>
      </c>
      <c r="L1347" t="s">
        <v>35</v>
      </c>
      <c r="M1347">
        <v>0</v>
      </c>
      <c r="N1347">
        <v>0</v>
      </c>
      <c r="O1347" s="17" t="s">
        <v>1189</v>
      </c>
      <c r="Q1347">
        <f>41-16</f>
        <v>25</v>
      </c>
      <c r="R1347" t="s">
        <v>39</v>
      </c>
      <c r="T1347">
        <v>18</v>
      </c>
      <c r="W1347">
        <v>13.1</v>
      </c>
      <c r="Z1347" t="s">
        <v>145</v>
      </c>
      <c r="AA1347" t="s">
        <v>260</v>
      </c>
      <c r="AB1347" t="s">
        <v>53</v>
      </c>
      <c r="AC1347" t="s">
        <v>254</v>
      </c>
    </row>
    <row r="1348" spans="1:30" x14ac:dyDescent="0.2">
      <c r="A1348" s="3">
        <v>42588</v>
      </c>
      <c r="B1348" t="s">
        <v>23</v>
      </c>
      <c r="C1348">
        <v>304</v>
      </c>
      <c r="D1348">
        <v>2</v>
      </c>
      <c r="E1348">
        <v>1</v>
      </c>
      <c r="F1348" t="s">
        <v>64</v>
      </c>
      <c r="G1348" t="s">
        <v>25</v>
      </c>
      <c r="H1348" t="s">
        <v>26</v>
      </c>
      <c r="I1348" t="s">
        <v>52</v>
      </c>
      <c r="J1348" t="s">
        <v>28</v>
      </c>
      <c r="K1348" t="s">
        <v>29</v>
      </c>
      <c r="L1348" t="s">
        <v>35</v>
      </c>
      <c r="M1348">
        <v>0</v>
      </c>
      <c r="N1348">
        <v>0</v>
      </c>
      <c r="O1348" s="17" t="s">
        <v>1189</v>
      </c>
      <c r="Q1348">
        <f>39-14.5</f>
        <v>24.5</v>
      </c>
      <c r="R1348" t="s">
        <v>39</v>
      </c>
      <c r="T1348">
        <v>17</v>
      </c>
      <c r="W1348">
        <v>13.2</v>
      </c>
      <c r="X1348">
        <v>26.9</v>
      </c>
      <c r="Z1348" t="s">
        <v>145</v>
      </c>
      <c r="AA1348" t="s">
        <v>260</v>
      </c>
      <c r="AB1348" t="s">
        <v>121</v>
      </c>
      <c r="AC1348" t="s">
        <v>59</v>
      </c>
    </row>
    <row r="1349" spans="1:30" x14ac:dyDescent="0.2">
      <c r="A1349" s="3">
        <v>42599</v>
      </c>
      <c r="B1349" t="s">
        <v>23</v>
      </c>
      <c r="C1349">
        <v>402</v>
      </c>
      <c r="D1349">
        <v>5</v>
      </c>
      <c r="E1349">
        <v>1</v>
      </c>
      <c r="F1349" t="s">
        <v>24</v>
      </c>
      <c r="G1349" t="s">
        <v>25</v>
      </c>
      <c r="H1349" t="s">
        <v>26</v>
      </c>
      <c r="I1349" t="s">
        <v>52</v>
      </c>
      <c r="J1349" t="s">
        <v>28</v>
      </c>
      <c r="K1349" t="s">
        <v>29</v>
      </c>
      <c r="L1349" t="s">
        <v>35</v>
      </c>
      <c r="M1349">
        <v>0</v>
      </c>
      <c r="N1349">
        <v>0</v>
      </c>
      <c r="O1349" s="17" t="s">
        <v>1189</v>
      </c>
      <c r="Q1349">
        <f>40-14</f>
        <v>26</v>
      </c>
      <c r="R1349" t="s">
        <v>39</v>
      </c>
      <c r="T1349">
        <v>17</v>
      </c>
      <c r="W1349">
        <v>13.5</v>
      </c>
      <c r="X1349">
        <v>27</v>
      </c>
      <c r="Z1349" t="s">
        <v>145</v>
      </c>
      <c r="AB1349" t="s">
        <v>121</v>
      </c>
      <c r="AC1349" t="s">
        <v>59</v>
      </c>
    </row>
    <row r="1350" spans="1:30" x14ac:dyDescent="0.2">
      <c r="A1350" s="3">
        <v>42600</v>
      </c>
      <c r="B1350" t="s">
        <v>23</v>
      </c>
      <c r="C1350">
        <v>402</v>
      </c>
      <c r="D1350">
        <v>1</v>
      </c>
      <c r="E1350">
        <v>2</v>
      </c>
      <c r="F1350" t="s">
        <v>66</v>
      </c>
      <c r="G1350" t="s">
        <v>25</v>
      </c>
      <c r="H1350" t="s">
        <v>26</v>
      </c>
      <c r="I1350" t="s">
        <v>52</v>
      </c>
      <c r="J1350" t="s">
        <v>28</v>
      </c>
      <c r="K1350" t="s">
        <v>29</v>
      </c>
      <c r="L1350" t="s">
        <v>35</v>
      </c>
      <c r="M1350">
        <v>0</v>
      </c>
      <c r="N1350">
        <v>0</v>
      </c>
      <c r="O1350" s="17" t="s">
        <v>1189</v>
      </c>
      <c r="Q1350">
        <v>26.5</v>
      </c>
      <c r="R1350" t="s">
        <v>39</v>
      </c>
      <c r="T1350">
        <v>18</v>
      </c>
      <c r="W1350">
        <v>16.600000000000001</v>
      </c>
      <c r="X1350">
        <v>31.6</v>
      </c>
      <c r="Z1350" t="s">
        <v>145</v>
      </c>
    </row>
    <row r="1351" spans="1:30" x14ac:dyDescent="0.2">
      <c r="A1351" s="3">
        <v>42591</v>
      </c>
      <c r="B1351" t="s">
        <v>23</v>
      </c>
      <c r="C1351">
        <v>703</v>
      </c>
      <c r="D1351">
        <v>6</v>
      </c>
      <c r="E1351">
        <v>2</v>
      </c>
      <c r="F1351" t="s">
        <v>64</v>
      </c>
      <c r="G1351" t="s">
        <v>25</v>
      </c>
      <c r="H1351" t="s">
        <v>26</v>
      </c>
      <c r="I1351" t="s">
        <v>52</v>
      </c>
      <c r="J1351" t="s">
        <v>34</v>
      </c>
      <c r="K1351" t="s">
        <v>188</v>
      </c>
      <c r="L1351" t="s">
        <v>35</v>
      </c>
      <c r="M1351">
        <v>0</v>
      </c>
      <c r="N1351">
        <v>1</v>
      </c>
      <c r="O1351" s="17" t="s">
        <v>1343</v>
      </c>
      <c r="Q1351">
        <f>32-13</f>
        <v>19</v>
      </c>
      <c r="R1351" t="s">
        <v>63</v>
      </c>
      <c r="T1351">
        <v>16</v>
      </c>
      <c r="W1351">
        <v>13.3</v>
      </c>
      <c r="X1351">
        <v>26.8</v>
      </c>
      <c r="Z1351" t="s">
        <v>145</v>
      </c>
      <c r="AA1351" t="s">
        <v>1344</v>
      </c>
      <c r="AB1351" t="s">
        <v>44</v>
      </c>
      <c r="AC1351" t="s">
        <v>59</v>
      </c>
    </row>
    <row r="1352" spans="1:30" x14ac:dyDescent="0.2">
      <c r="A1352" s="3">
        <v>42593</v>
      </c>
      <c r="B1352" t="s">
        <v>23</v>
      </c>
      <c r="C1352">
        <v>703</v>
      </c>
      <c r="D1352">
        <v>5</v>
      </c>
      <c r="E1352">
        <v>1</v>
      </c>
      <c r="F1352" t="s">
        <v>64</v>
      </c>
      <c r="G1352" t="s">
        <v>25</v>
      </c>
      <c r="H1352" t="s">
        <v>26</v>
      </c>
      <c r="I1352" t="s">
        <v>52</v>
      </c>
      <c r="J1352" t="s">
        <v>28</v>
      </c>
      <c r="K1352" t="s">
        <v>188</v>
      </c>
      <c r="L1352" t="s">
        <v>30</v>
      </c>
      <c r="M1352">
        <v>0</v>
      </c>
      <c r="N1352">
        <v>0</v>
      </c>
      <c r="O1352" s="17" t="s">
        <v>1343</v>
      </c>
      <c r="Q1352">
        <f>32-13</f>
        <v>19</v>
      </c>
      <c r="R1352" t="s">
        <v>31</v>
      </c>
      <c r="S1352" t="s">
        <v>32</v>
      </c>
      <c r="T1352">
        <v>17.5</v>
      </c>
      <c r="W1352">
        <v>12.8</v>
      </c>
      <c r="X1352">
        <v>26.6</v>
      </c>
      <c r="Z1352" t="s">
        <v>145</v>
      </c>
      <c r="AA1352" t="s">
        <v>260</v>
      </c>
      <c r="AB1352" t="s">
        <v>44</v>
      </c>
      <c r="AC1352" t="s">
        <v>122</v>
      </c>
    </row>
    <row r="1353" spans="1:30" x14ac:dyDescent="0.2">
      <c r="A1353" s="3">
        <v>42604</v>
      </c>
      <c r="B1353" t="s">
        <v>23</v>
      </c>
      <c r="C1353">
        <v>703</v>
      </c>
      <c r="D1353">
        <v>7</v>
      </c>
      <c r="E1353">
        <v>2</v>
      </c>
      <c r="F1353" t="s">
        <v>24</v>
      </c>
      <c r="G1353" t="s">
        <v>25</v>
      </c>
      <c r="H1353" t="s">
        <v>26</v>
      </c>
      <c r="I1353" t="s">
        <v>52</v>
      </c>
      <c r="J1353" t="s">
        <v>28</v>
      </c>
      <c r="K1353" t="s">
        <v>188</v>
      </c>
      <c r="L1353" t="s">
        <v>30</v>
      </c>
      <c r="M1353">
        <v>0</v>
      </c>
      <c r="N1353">
        <v>0</v>
      </c>
      <c r="O1353" s="17" t="s">
        <v>1343</v>
      </c>
      <c r="Q1353">
        <f>32.5-13</f>
        <v>19.5</v>
      </c>
      <c r="R1353" t="s">
        <v>31</v>
      </c>
      <c r="S1353" t="s">
        <v>32</v>
      </c>
      <c r="T1353">
        <v>17</v>
      </c>
      <c r="W1353">
        <v>12.5</v>
      </c>
      <c r="X1353">
        <v>25</v>
      </c>
      <c r="Z1353" t="s">
        <v>145</v>
      </c>
      <c r="AB1353" t="s">
        <v>582</v>
      </c>
      <c r="AC1353" t="s">
        <v>116</v>
      </c>
    </row>
    <row r="1354" spans="1:30" x14ac:dyDescent="0.2">
      <c r="A1354" s="3">
        <v>42606</v>
      </c>
      <c r="B1354" t="s">
        <v>23</v>
      </c>
      <c r="C1354">
        <v>703</v>
      </c>
      <c r="D1354">
        <v>6</v>
      </c>
      <c r="E1354">
        <v>1</v>
      </c>
      <c r="F1354" t="s">
        <v>24</v>
      </c>
      <c r="G1354" t="s">
        <v>25</v>
      </c>
      <c r="H1354" t="s">
        <v>26</v>
      </c>
      <c r="I1354" t="s">
        <v>52</v>
      </c>
      <c r="J1354" t="s">
        <v>28</v>
      </c>
      <c r="K1354" t="s">
        <v>188</v>
      </c>
      <c r="L1354" t="s">
        <v>30</v>
      </c>
      <c r="M1354">
        <v>0</v>
      </c>
      <c r="N1354">
        <v>0</v>
      </c>
      <c r="O1354" s="17" t="s">
        <v>1343</v>
      </c>
      <c r="Q1354">
        <f>31.5-12.5</f>
        <v>19</v>
      </c>
      <c r="R1354" t="s">
        <v>91</v>
      </c>
      <c r="S1354" t="s">
        <v>32</v>
      </c>
      <c r="T1354">
        <v>16</v>
      </c>
      <c r="W1354">
        <v>12.5</v>
      </c>
      <c r="X1354">
        <v>25.9</v>
      </c>
      <c r="Z1354" t="s">
        <v>145</v>
      </c>
      <c r="AB1354" t="s">
        <v>44</v>
      </c>
      <c r="AC1354" t="s">
        <v>59</v>
      </c>
    </row>
    <row r="1355" spans="1:30" x14ac:dyDescent="0.2">
      <c r="A1355" s="3">
        <v>42592</v>
      </c>
      <c r="B1355" t="s">
        <v>23</v>
      </c>
      <c r="C1355">
        <v>703</v>
      </c>
      <c r="D1355">
        <v>8</v>
      </c>
      <c r="E1355">
        <v>2</v>
      </c>
      <c r="F1355" t="s">
        <v>64</v>
      </c>
      <c r="G1355" t="s">
        <v>25</v>
      </c>
      <c r="H1355" t="s">
        <v>26</v>
      </c>
      <c r="I1355" t="s">
        <v>52</v>
      </c>
      <c r="J1355" t="s">
        <v>34</v>
      </c>
      <c r="K1355" t="s">
        <v>188</v>
      </c>
      <c r="L1355" t="s">
        <v>30</v>
      </c>
      <c r="M1355">
        <v>0</v>
      </c>
      <c r="N1355">
        <v>1</v>
      </c>
      <c r="O1355" s="17" t="s">
        <v>1396</v>
      </c>
      <c r="Q1355">
        <f>30-13</f>
        <v>17</v>
      </c>
      <c r="R1355" t="s">
        <v>31</v>
      </c>
      <c r="S1355" t="s">
        <v>32</v>
      </c>
      <c r="T1355">
        <v>18.5</v>
      </c>
      <c r="W1355">
        <v>12.6</v>
      </c>
      <c r="X1355">
        <v>26.6</v>
      </c>
      <c r="Z1355" t="s">
        <v>145</v>
      </c>
      <c r="AA1355" t="s">
        <v>1397</v>
      </c>
      <c r="AB1355" t="s">
        <v>53</v>
      </c>
      <c r="AC1355" t="s">
        <v>59</v>
      </c>
    </row>
    <row r="1356" spans="1:30" x14ac:dyDescent="0.2">
      <c r="A1356" s="3">
        <v>42604</v>
      </c>
      <c r="B1356" t="s">
        <v>23</v>
      </c>
      <c r="C1356">
        <v>703</v>
      </c>
      <c r="D1356">
        <v>8</v>
      </c>
      <c r="E1356">
        <v>2</v>
      </c>
      <c r="F1356" t="s">
        <v>24</v>
      </c>
      <c r="G1356" t="s">
        <v>25</v>
      </c>
      <c r="H1356" t="s">
        <v>26</v>
      </c>
      <c r="I1356" t="s">
        <v>52</v>
      </c>
      <c r="J1356" t="s">
        <v>28</v>
      </c>
      <c r="K1356" t="s">
        <v>188</v>
      </c>
      <c r="L1356" t="s">
        <v>30</v>
      </c>
      <c r="M1356">
        <v>0</v>
      </c>
      <c r="N1356">
        <v>0</v>
      </c>
      <c r="O1356" s="17" t="s">
        <v>1396</v>
      </c>
      <c r="Q1356">
        <f>28-13</f>
        <v>15</v>
      </c>
      <c r="R1356" t="s">
        <v>31</v>
      </c>
      <c r="S1356" t="s">
        <v>32</v>
      </c>
      <c r="T1356">
        <v>16</v>
      </c>
      <c r="W1356">
        <v>12.8</v>
      </c>
      <c r="X1356">
        <v>24.2</v>
      </c>
      <c r="Z1356" t="s">
        <v>145</v>
      </c>
      <c r="AB1356" t="s">
        <v>582</v>
      </c>
      <c r="AC1356" t="s">
        <v>116</v>
      </c>
    </row>
    <row r="1357" spans="1:30" x14ac:dyDescent="0.2">
      <c r="A1357" s="3">
        <v>42605</v>
      </c>
      <c r="B1357" t="s">
        <v>23</v>
      </c>
      <c r="C1357">
        <v>703</v>
      </c>
      <c r="D1357">
        <v>10</v>
      </c>
      <c r="E1357">
        <v>2</v>
      </c>
      <c r="F1357" t="s">
        <v>24</v>
      </c>
      <c r="G1357" t="s">
        <v>25</v>
      </c>
      <c r="H1357" t="s">
        <v>26</v>
      </c>
      <c r="I1357" t="s">
        <v>52</v>
      </c>
      <c r="J1357" t="s">
        <v>28</v>
      </c>
      <c r="K1357" t="s">
        <v>188</v>
      </c>
      <c r="L1357" t="s">
        <v>30</v>
      </c>
      <c r="M1357">
        <v>0</v>
      </c>
      <c r="N1357">
        <v>0</v>
      </c>
      <c r="O1357" s="17" t="s">
        <v>1396</v>
      </c>
      <c r="Q1357">
        <f>30.5-13</f>
        <v>17.5</v>
      </c>
      <c r="R1357" t="s">
        <v>31</v>
      </c>
      <c r="S1357" t="s">
        <v>32</v>
      </c>
      <c r="T1357">
        <v>17.5</v>
      </c>
      <c r="W1357">
        <v>12.7</v>
      </c>
      <c r="X1357">
        <v>26.3</v>
      </c>
      <c r="Z1357" t="s">
        <v>145</v>
      </c>
      <c r="AB1357" t="s">
        <v>44</v>
      </c>
      <c r="AC1357" t="s">
        <v>59</v>
      </c>
    </row>
    <row r="1358" spans="1:30" x14ac:dyDescent="0.2">
      <c r="A1358" s="3">
        <v>42606</v>
      </c>
      <c r="B1358" t="s">
        <v>23</v>
      </c>
      <c r="C1358">
        <v>703</v>
      </c>
      <c r="D1358">
        <v>7</v>
      </c>
      <c r="E1358">
        <v>1</v>
      </c>
      <c r="F1358" t="s">
        <v>24</v>
      </c>
      <c r="G1358" t="s">
        <v>25</v>
      </c>
      <c r="H1358" t="s">
        <v>26</v>
      </c>
      <c r="I1358" t="s">
        <v>52</v>
      </c>
      <c r="J1358" t="s">
        <v>28</v>
      </c>
      <c r="K1358" t="s">
        <v>188</v>
      </c>
      <c r="L1358" t="s">
        <v>30</v>
      </c>
      <c r="M1358">
        <v>0</v>
      </c>
      <c r="N1358">
        <v>0</v>
      </c>
      <c r="O1358" s="17" t="s">
        <v>1396</v>
      </c>
      <c r="Q1358">
        <f>29-13</f>
        <v>16</v>
      </c>
      <c r="R1358" t="s">
        <v>63</v>
      </c>
      <c r="T1358">
        <v>17</v>
      </c>
      <c r="W1358">
        <v>12.6</v>
      </c>
      <c r="X1358">
        <v>27.9</v>
      </c>
      <c r="Z1358" t="s">
        <v>145</v>
      </c>
      <c r="AB1358" t="s">
        <v>44</v>
      </c>
      <c r="AC1358" t="s">
        <v>59</v>
      </c>
    </row>
    <row r="1359" spans="1:30" x14ac:dyDescent="0.2">
      <c r="A1359" s="3">
        <v>42598</v>
      </c>
      <c r="B1359" t="s">
        <v>23</v>
      </c>
      <c r="C1359">
        <v>201</v>
      </c>
      <c r="D1359">
        <v>7</v>
      </c>
      <c r="E1359">
        <v>2</v>
      </c>
      <c r="F1359" t="s">
        <v>64</v>
      </c>
      <c r="G1359" t="s">
        <v>25</v>
      </c>
      <c r="H1359" t="s">
        <v>26</v>
      </c>
      <c r="I1359" t="s">
        <v>52</v>
      </c>
      <c r="J1359" t="s">
        <v>34</v>
      </c>
      <c r="K1359" t="s">
        <v>29</v>
      </c>
      <c r="L1359" t="s">
        <v>30</v>
      </c>
      <c r="M1359">
        <v>0</v>
      </c>
      <c r="N1359">
        <v>1</v>
      </c>
      <c r="O1359" s="17" t="s">
        <v>1541</v>
      </c>
      <c r="Q1359">
        <f>38-14</f>
        <v>24</v>
      </c>
      <c r="R1359" t="s">
        <v>251</v>
      </c>
      <c r="S1359" t="s">
        <v>145</v>
      </c>
      <c r="T1359">
        <v>17</v>
      </c>
      <c r="W1359">
        <v>13.2</v>
      </c>
      <c r="X1359">
        <v>28.2</v>
      </c>
      <c r="Z1359" t="s">
        <v>145</v>
      </c>
      <c r="AA1359" t="s">
        <v>260</v>
      </c>
      <c r="AB1359" t="s">
        <v>121</v>
      </c>
      <c r="AC1359" t="s">
        <v>122</v>
      </c>
      <c r="AD1359" t="s">
        <v>1542</v>
      </c>
    </row>
    <row r="1360" spans="1:30" x14ac:dyDescent="0.2">
      <c r="A1360" s="3">
        <v>42599</v>
      </c>
      <c r="B1360" t="s">
        <v>23</v>
      </c>
      <c r="C1360">
        <v>201</v>
      </c>
      <c r="D1360">
        <v>6</v>
      </c>
      <c r="E1360">
        <v>2</v>
      </c>
      <c r="F1360" t="s">
        <v>64</v>
      </c>
      <c r="G1360" t="s">
        <v>25</v>
      </c>
      <c r="H1360" t="s">
        <v>26</v>
      </c>
      <c r="I1360" t="s">
        <v>52</v>
      </c>
      <c r="J1360" t="s">
        <v>28</v>
      </c>
      <c r="K1360" t="s">
        <v>29</v>
      </c>
      <c r="L1360" t="s">
        <v>30</v>
      </c>
      <c r="M1360">
        <v>0</v>
      </c>
      <c r="N1360">
        <v>0</v>
      </c>
      <c r="O1360" s="17" t="s">
        <v>1541</v>
      </c>
      <c r="Q1360">
        <f>39-16</f>
        <v>23</v>
      </c>
      <c r="R1360" t="s">
        <v>31</v>
      </c>
      <c r="S1360" t="s">
        <v>32</v>
      </c>
      <c r="Z1360" t="s">
        <v>145</v>
      </c>
      <c r="AA1360" t="s">
        <v>260</v>
      </c>
      <c r="AB1360" t="s">
        <v>121</v>
      </c>
      <c r="AC1360" t="s">
        <v>59</v>
      </c>
    </row>
    <row r="1361" spans="1:30" x14ac:dyDescent="0.2">
      <c r="A1361" s="3">
        <v>42600</v>
      </c>
      <c r="B1361" t="s">
        <v>23</v>
      </c>
      <c r="C1361">
        <v>201</v>
      </c>
      <c r="D1361">
        <v>5</v>
      </c>
      <c r="E1361">
        <v>1</v>
      </c>
      <c r="F1361" t="s">
        <v>64</v>
      </c>
      <c r="G1361" t="s">
        <v>25</v>
      </c>
      <c r="H1361" t="s">
        <v>26</v>
      </c>
      <c r="I1361" t="s">
        <v>52</v>
      </c>
      <c r="J1361" t="s">
        <v>28</v>
      </c>
      <c r="K1361" t="s">
        <v>29</v>
      </c>
      <c r="L1361" t="s">
        <v>30</v>
      </c>
      <c r="M1361">
        <v>0</v>
      </c>
      <c r="N1361">
        <v>0</v>
      </c>
      <c r="O1361" s="17" t="s">
        <v>1541</v>
      </c>
      <c r="Q1361">
        <f>39-14.5</f>
        <v>24.5</v>
      </c>
      <c r="R1361" t="s">
        <v>251</v>
      </c>
      <c r="S1361" t="s">
        <v>145</v>
      </c>
      <c r="T1361">
        <v>17</v>
      </c>
      <c r="W1361">
        <v>13.1</v>
      </c>
      <c r="X1361">
        <v>27.5</v>
      </c>
      <c r="Z1361" t="s">
        <v>145</v>
      </c>
      <c r="AA1361" t="s">
        <v>260</v>
      </c>
      <c r="AB1361" t="s">
        <v>121</v>
      </c>
      <c r="AC1361" t="s">
        <v>122</v>
      </c>
    </row>
    <row r="1362" spans="1:30" x14ac:dyDescent="0.2">
      <c r="A1362" s="3">
        <v>42593</v>
      </c>
      <c r="B1362" t="s">
        <v>23</v>
      </c>
      <c r="C1362">
        <v>503</v>
      </c>
      <c r="D1362">
        <v>10</v>
      </c>
      <c r="E1362">
        <v>2</v>
      </c>
      <c r="F1362" t="s">
        <v>24</v>
      </c>
      <c r="G1362" t="s">
        <v>25</v>
      </c>
      <c r="H1362" t="s">
        <v>26</v>
      </c>
      <c r="I1362" t="s">
        <v>52</v>
      </c>
      <c r="J1362" t="s">
        <v>45</v>
      </c>
      <c r="K1362" t="s">
        <v>29</v>
      </c>
      <c r="L1362" t="s">
        <v>30</v>
      </c>
      <c r="M1362">
        <v>1</v>
      </c>
      <c r="N1362">
        <v>0</v>
      </c>
      <c r="O1362" s="17" t="s">
        <v>1276</v>
      </c>
      <c r="Q1362">
        <f>37.5-12.5</f>
        <v>25</v>
      </c>
      <c r="R1362" t="s">
        <v>75</v>
      </c>
      <c r="S1362" t="s">
        <v>145</v>
      </c>
      <c r="T1362">
        <v>18</v>
      </c>
      <c r="W1362">
        <v>13.1</v>
      </c>
      <c r="X1362">
        <v>24.2</v>
      </c>
      <c r="Z1362" t="s">
        <v>145</v>
      </c>
      <c r="AB1362" t="s">
        <v>44</v>
      </c>
      <c r="AC1362" t="s">
        <v>122</v>
      </c>
    </row>
    <row r="1363" spans="1:30" x14ac:dyDescent="0.2">
      <c r="A1363" s="3">
        <v>42593</v>
      </c>
      <c r="B1363" t="s">
        <v>23</v>
      </c>
      <c r="C1363">
        <v>303</v>
      </c>
      <c r="D1363">
        <v>1</v>
      </c>
      <c r="E1363">
        <v>2</v>
      </c>
      <c r="F1363" t="s">
        <v>24</v>
      </c>
      <c r="G1363" t="s">
        <v>25</v>
      </c>
      <c r="H1363" t="s">
        <v>26</v>
      </c>
      <c r="I1363" t="s">
        <v>52</v>
      </c>
      <c r="J1363" t="s">
        <v>34</v>
      </c>
      <c r="K1363" t="s">
        <v>29</v>
      </c>
      <c r="L1363" t="s">
        <v>35</v>
      </c>
      <c r="M1363">
        <v>0</v>
      </c>
      <c r="N1363">
        <v>1</v>
      </c>
      <c r="O1363" s="17" t="s">
        <v>1277</v>
      </c>
      <c r="Q1363">
        <f>36-13.5</f>
        <v>22.5</v>
      </c>
      <c r="R1363" t="s">
        <v>63</v>
      </c>
      <c r="T1363">
        <v>16</v>
      </c>
      <c r="W1363">
        <v>12.85</v>
      </c>
      <c r="X1363">
        <v>26.5</v>
      </c>
      <c r="Z1363" t="s">
        <v>145</v>
      </c>
      <c r="AB1363" t="s">
        <v>44</v>
      </c>
      <c r="AC1363" t="s">
        <v>122</v>
      </c>
    </row>
    <row r="1364" spans="1:30" x14ac:dyDescent="0.2">
      <c r="A1364" s="3">
        <v>42592</v>
      </c>
      <c r="B1364" t="s">
        <v>23</v>
      </c>
      <c r="C1364">
        <v>401</v>
      </c>
      <c r="D1364">
        <v>6</v>
      </c>
      <c r="E1364">
        <v>1</v>
      </c>
      <c r="F1364" t="s">
        <v>24</v>
      </c>
      <c r="G1364" t="s">
        <v>25</v>
      </c>
      <c r="H1364" t="s">
        <v>26</v>
      </c>
      <c r="I1364" t="s">
        <v>52</v>
      </c>
      <c r="J1364" t="s">
        <v>34</v>
      </c>
      <c r="K1364" t="s">
        <v>29</v>
      </c>
      <c r="L1364" t="s">
        <v>35</v>
      </c>
      <c r="M1364">
        <v>0</v>
      </c>
      <c r="N1364">
        <v>0</v>
      </c>
      <c r="O1364" s="17" t="s">
        <v>1260</v>
      </c>
      <c r="Q1364">
        <f>39-14</f>
        <v>25</v>
      </c>
      <c r="R1364" t="s">
        <v>39</v>
      </c>
      <c r="T1364">
        <v>18</v>
      </c>
      <c r="W1364">
        <v>13.3</v>
      </c>
      <c r="X1364">
        <v>29.7</v>
      </c>
      <c r="Z1364" t="s">
        <v>145</v>
      </c>
      <c r="AB1364" t="s">
        <v>44</v>
      </c>
      <c r="AC1364" t="s">
        <v>59</v>
      </c>
    </row>
    <row r="1365" spans="1:30" x14ac:dyDescent="0.2">
      <c r="A1365" s="3">
        <v>42591</v>
      </c>
      <c r="B1365" t="s">
        <v>23</v>
      </c>
      <c r="C1365">
        <v>303</v>
      </c>
      <c r="D1365">
        <v>7</v>
      </c>
      <c r="E1365">
        <v>2</v>
      </c>
      <c r="F1365" t="s">
        <v>24</v>
      </c>
      <c r="G1365" t="s">
        <v>25</v>
      </c>
      <c r="H1365" t="s">
        <v>26</v>
      </c>
      <c r="I1365" t="s">
        <v>52</v>
      </c>
      <c r="J1365" t="s">
        <v>34</v>
      </c>
      <c r="K1365" t="s">
        <v>29</v>
      </c>
      <c r="L1365" t="s">
        <v>30</v>
      </c>
      <c r="M1365">
        <v>0</v>
      </c>
      <c r="N1365">
        <v>1</v>
      </c>
      <c r="O1365" s="17" t="s">
        <v>1133</v>
      </c>
      <c r="Q1365">
        <f>33-14</f>
        <v>19</v>
      </c>
      <c r="R1365" t="s">
        <v>31</v>
      </c>
      <c r="S1365" t="s">
        <v>32</v>
      </c>
      <c r="T1365">
        <v>17</v>
      </c>
      <c r="W1365">
        <v>12.9</v>
      </c>
      <c r="X1365">
        <v>24.2</v>
      </c>
      <c r="Z1365" t="s">
        <v>145</v>
      </c>
      <c r="AB1365" t="s">
        <v>44</v>
      </c>
      <c r="AC1365" t="s">
        <v>59</v>
      </c>
    </row>
    <row r="1366" spans="1:30" x14ac:dyDescent="0.2">
      <c r="A1366" s="3">
        <v>42591</v>
      </c>
      <c r="B1366" t="s">
        <v>23</v>
      </c>
      <c r="C1366">
        <v>303</v>
      </c>
      <c r="D1366">
        <v>6</v>
      </c>
      <c r="E1366">
        <v>1</v>
      </c>
      <c r="F1366" t="s">
        <v>24</v>
      </c>
      <c r="G1366" t="s">
        <v>25</v>
      </c>
      <c r="H1366" t="s">
        <v>26</v>
      </c>
      <c r="I1366" t="s">
        <v>52</v>
      </c>
      <c r="J1366" t="s">
        <v>34</v>
      </c>
      <c r="K1366" t="s">
        <v>29</v>
      </c>
      <c r="L1366" t="s">
        <v>30</v>
      </c>
      <c r="M1366">
        <v>0</v>
      </c>
      <c r="N1366">
        <v>1</v>
      </c>
      <c r="O1366" s="17" t="s">
        <v>1132</v>
      </c>
      <c r="Q1366">
        <f>37-13.5</f>
        <v>23.5</v>
      </c>
      <c r="R1366" t="s">
        <v>31</v>
      </c>
      <c r="S1366" t="s">
        <v>32</v>
      </c>
      <c r="T1366">
        <v>18</v>
      </c>
      <c r="W1366">
        <v>13</v>
      </c>
      <c r="X1366">
        <v>24</v>
      </c>
      <c r="Z1366" t="s">
        <v>145</v>
      </c>
      <c r="AB1366" t="s">
        <v>44</v>
      </c>
      <c r="AC1366" t="s">
        <v>59</v>
      </c>
    </row>
    <row r="1367" spans="1:30" x14ac:dyDescent="0.2">
      <c r="A1367" s="3">
        <v>42592</v>
      </c>
      <c r="B1367" t="s">
        <v>23</v>
      </c>
      <c r="C1367">
        <v>303</v>
      </c>
      <c r="D1367">
        <v>1</v>
      </c>
      <c r="E1367">
        <v>1</v>
      </c>
      <c r="F1367" t="s">
        <v>24</v>
      </c>
      <c r="G1367" t="s">
        <v>25</v>
      </c>
      <c r="H1367" t="s">
        <v>26</v>
      </c>
      <c r="I1367" t="s">
        <v>52</v>
      </c>
      <c r="J1367" t="s">
        <v>28</v>
      </c>
      <c r="K1367" t="s">
        <v>29</v>
      </c>
      <c r="L1367" t="s">
        <v>30</v>
      </c>
      <c r="M1367">
        <v>0</v>
      </c>
      <c r="N1367">
        <v>0</v>
      </c>
      <c r="O1367" s="17" t="s">
        <v>1132</v>
      </c>
      <c r="Q1367">
        <f>37-13.5</f>
        <v>23.5</v>
      </c>
      <c r="R1367" t="s">
        <v>31</v>
      </c>
      <c r="S1367" t="s">
        <v>32</v>
      </c>
      <c r="T1367">
        <v>18</v>
      </c>
      <c r="W1367">
        <v>13</v>
      </c>
      <c r="X1367">
        <v>24.1</v>
      </c>
      <c r="Z1367" t="s">
        <v>145</v>
      </c>
      <c r="AB1367" t="s">
        <v>44</v>
      </c>
      <c r="AC1367" t="s">
        <v>59</v>
      </c>
    </row>
    <row r="1368" spans="1:30" x14ac:dyDescent="0.2">
      <c r="A1368" s="3">
        <v>42593</v>
      </c>
      <c r="B1368" t="s">
        <v>23</v>
      </c>
      <c r="C1368">
        <v>303</v>
      </c>
      <c r="D1368">
        <v>2</v>
      </c>
      <c r="E1368">
        <v>1</v>
      </c>
      <c r="F1368" t="s">
        <v>24</v>
      </c>
      <c r="G1368" t="s">
        <v>25</v>
      </c>
      <c r="H1368" t="s">
        <v>26</v>
      </c>
      <c r="I1368" t="s">
        <v>52</v>
      </c>
      <c r="J1368" t="s">
        <v>28</v>
      </c>
      <c r="K1368" t="s">
        <v>29</v>
      </c>
      <c r="L1368" t="s">
        <v>30</v>
      </c>
      <c r="M1368">
        <v>0</v>
      </c>
      <c r="N1368">
        <v>0</v>
      </c>
      <c r="O1368" s="17" t="s">
        <v>1132</v>
      </c>
      <c r="Q1368">
        <f>38-14.5</f>
        <v>23.5</v>
      </c>
      <c r="R1368" t="s">
        <v>63</v>
      </c>
      <c r="T1368">
        <v>18</v>
      </c>
      <c r="W1368">
        <v>12.7</v>
      </c>
      <c r="X1368">
        <v>25.7</v>
      </c>
      <c r="Z1368" t="s">
        <v>145</v>
      </c>
      <c r="AB1368" t="s">
        <v>44</v>
      </c>
      <c r="AC1368" t="s">
        <v>122</v>
      </c>
    </row>
    <row r="1369" spans="1:30" x14ac:dyDescent="0.2">
      <c r="A1369" s="3">
        <v>42591</v>
      </c>
      <c r="B1369" t="s">
        <v>23</v>
      </c>
      <c r="C1369">
        <v>303</v>
      </c>
      <c r="D1369">
        <v>1</v>
      </c>
      <c r="E1369">
        <v>1</v>
      </c>
      <c r="F1369" t="s">
        <v>24</v>
      </c>
      <c r="G1369" t="s">
        <v>25</v>
      </c>
      <c r="H1369" t="s">
        <v>26</v>
      </c>
      <c r="I1369" t="s">
        <v>52</v>
      </c>
      <c r="J1369" t="s">
        <v>34</v>
      </c>
      <c r="K1369" t="s">
        <v>123</v>
      </c>
      <c r="L1369" t="s">
        <v>35</v>
      </c>
      <c r="M1369">
        <v>0</v>
      </c>
      <c r="N1369">
        <v>1</v>
      </c>
      <c r="O1369" s="17" t="s">
        <v>1130</v>
      </c>
      <c r="Q1369">
        <f>31-13</f>
        <v>18</v>
      </c>
      <c r="R1369" t="s">
        <v>63</v>
      </c>
      <c r="T1369">
        <v>16</v>
      </c>
      <c r="W1369">
        <v>12.4</v>
      </c>
      <c r="X1369">
        <v>25</v>
      </c>
      <c r="Z1369" t="s">
        <v>145</v>
      </c>
      <c r="AB1369" t="s">
        <v>44</v>
      </c>
      <c r="AC1369" t="s">
        <v>59</v>
      </c>
    </row>
    <row r="1370" spans="1:30" x14ac:dyDescent="0.2">
      <c r="A1370" s="3">
        <v>42593</v>
      </c>
      <c r="B1370" t="s">
        <v>23</v>
      </c>
      <c r="C1370">
        <v>303</v>
      </c>
      <c r="D1370">
        <v>2</v>
      </c>
      <c r="E1370">
        <v>2</v>
      </c>
      <c r="F1370" t="s">
        <v>24</v>
      </c>
      <c r="G1370" t="s">
        <v>25</v>
      </c>
      <c r="H1370" t="s">
        <v>26</v>
      </c>
      <c r="I1370" t="s">
        <v>52</v>
      </c>
      <c r="J1370" t="s">
        <v>28</v>
      </c>
      <c r="K1370" t="s">
        <v>123</v>
      </c>
      <c r="L1370" t="s">
        <v>35</v>
      </c>
      <c r="M1370">
        <v>0</v>
      </c>
      <c r="N1370">
        <v>0</v>
      </c>
      <c r="O1370" s="17" t="s">
        <v>1130</v>
      </c>
      <c r="Q1370">
        <f>34-17.5</f>
        <v>16.5</v>
      </c>
      <c r="R1370" t="s">
        <v>31</v>
      </c>
      <c r="S1370" t="s">
        <v>32</v>
      </c>
      <c r="T1370">
        <v>18</v>
      </c>
      <c r="W1370">
        <v>12.3</v>
      </c>
      <c r="X1370">
        <v>27.2</v>
      </c>
      <c r="Z1370" t="s">
        <v>145</v>
      </c>
      <c r="AB1370" t="s">
        <v>44</v>
      </c>
      <c r="AC1370" t="s">
        <v>122</v>
      </c>
    </row>
    <row r="1371" spans="1:30" x14ac:dyDescent="0.2">
      <c r="A1371" s="3">
        <v>42604</v>
      </c>
      <c r="B1371" t="s">
        <v>23</v>
      </c>
      <c r="C1371">
        <v>303</v>
      </c>
      <c r="D1371">
        <v>4</v>
      </c>
      <c r="E1371">
        <v>2</v>
      </c>
      <c r="F1371" t="s">
        <v>64</v>
      </c>
      <c r="G1371" t="s">
        <v>25</v>
      </c>
      <c r="H1371" t="s">
        <v>26</v>
      </c>
      <c r="I1371" t="s">
        <v>52</v>
      </c>
      <c r="J1371" t="s">
        <v>28</v>
      </c>
      <c r="K1371" t="s">
        <v>187</v>
      </c>
      <c r="L1371" t="s">
        <v>35</v>
      </c>
      <c r="M1371">
        <v>0</v>
      </c>
      <c r="N1371">
        <v>0</v>
      </c>
      <c r="O1371" s="17" t="s">
        <v>1130</v>
      </c>
      <c r="Q1371">
        <f>30-14.5</f>
        <v>15.5</v>
      </c>
      <c r="R1371" t="s">
        <v>63</v>
      </c>
      <c r="T1371">
        <v>17</v>
      </c>
      <c r="W1371">
        <v>12.6</v>
      </c>
      <c r="X1371">
        <v>26.6</v>
      </c>
      <c r="Z1371" t="s">
        <v>145</v>
      </c>
      <c r="AA1371" t="s">
        <v>260</v>
      </c>
      <c r="AB1371" t="s">
        <v>121</v>
      </c>
      <c r="AC1371" t="s">
        <v>59</v>
      </c>
    </row>
    <row r="1372" spans="1:30" x14ac:dyDescent="0.2">
      <c r="A1372" s="3">
        <v>42605</v>
      </c>
      <c r="B1372" t="s">
        <v>23</v>
      </c>
      <c r="C1372">
        <v>303</v>
      </c>
      <c r="D1372">
        <v>2</v>
      </c>
      <c r="E1372">
        <v>1</v>
      </c>
      <c r="F1372" t="s">
        <v>64</v>
      </c>
      <c r="G1372" t="s">
        <v>25</v>
      </c>
      <c r="H1372" t="s">
        <v>26</v>
      </c>
      <c r="I1372" t="s">
        <v>52</v>
      </c>
      <c r="J1372" t="s">
        <v>28</v>
      </c>
      <c r="K1372" t="s">
        <v>29</v>
      </c>
      <c r="L1372" t="s">
        <v>35</v>
      </c>
      <c r="M1372">
        <v>0</v>
      </c>
      <c r="N1372">
        <v>0</v>
      </c>
      <c r="O1372" s="17" t="s">
        <v>1130</v>
      </c>
      <c r="Q1372">
        <f>36.5-18</f>
        <v>18.5</v>
      </c>
      <c r="R1372" t="s">
        <v>63</v>
      </c>
      <c r="W1372">
        <v>12.9</v>
      </c>
      <c r="X1372">
        <v>27.4</v>
      </c>
      <c r="Z1372" t="s">
        <v>145</v>
      </c>
      <c r="AA1372" t="s">
        <v>260</v>
      </c>
      <c r="AB1372" t="s">
        <v>121</v>
      </c>
      <c r="AC1372" t="s">
        <v>59</v>
      </c>
      <c r="AD1372" t="s">
        <v>1665</v>
      </c>
    </row>
    <row r="1373" spans="1:30" x14ac:dyDescent="0.2">
      <c r="A1373" s="3">
        <v>42606</v>
      </c>
      <c r="B1373" t="s">
        <v>23</v>
      </c>
      <c r="C1373">
        <v>303</v>
      </c>
      <c r="D1373">
        <v>3</v>
      </c>
      <c r="E1373">
        <v>1</v>
      </c>
      <c r="F1373" t="s">
        <v>64</v>
      </c>
      <c r="G1373" t="s">
        <v>25</v>
      </c>
      <c r="H1373" t="s">
        <v>26</v>
      </c>
      <c r="I1373" t="s">
        <v>52</v>
      </c>
      <c r="J1373" t="s">
        <v>28</v>
      </c>
      <c r="K1373" t="s">
        <v>29</v>
      </c>
      <c r="L1373" t="s">
        <v>35</v>
      </c>
      <c r="M1373">
        <v>0</v>
      </c>
      <c r="N1373">
        <v>0</v>
      </c>
      <c r="O1373" s="17" t="s">
        <v>1130</v>
      </c>
      <c r="Q1373">
        <f>32.5-15.5</f>
        <v>17</v>
      </c>
      <c r="R1373" t="s">
        <v>63</v>
      </c>
      <c r="T1373">
        <v>18</v>
      </c>
      <c r="W1373">
        <v>12.8</v>
      </c>
      <c r="X1373">
        <v>26.9</v>
      </c>
      <c r="Z1373" t="s">
        <v>145</v>
      </c>
      <c r="AA1373" t="s">
        <v>260</v>
      </c>
      <c r="AB1373" t="s">
        <v>53</v>
      </c>
      <c r="AC1373" t="s">
        <v>122</v>
      </c>
    </row>
    <row r="1374" spans="1:30" x14ac:dyDescent="0.2">
      <c r="A1374" s="3">
        <v>42500</v>
      </c>
      <c r="B1374" t="s">
        <v>23</v>
      </c>
      <c r="C1374">
        <v>501</v>
      </c>
      <c r="D1374">
        <v>8</v>
      </c>
      <c r="E1374">
        <v>1</v>
      </c>
      <c r="F1374" t="s">
        <v>24</v>
      </c>
      <c r="G1374" t="s">
        <v>25</v>
      </c>
      <c r="H1374" t="s">
        <v>26</v>
      </c>
      <c r="I1374" t="s">
        <v>52</v>
      </c>
      <c r="J1374" t="s">
        <v>34</v>
      </c>
      <c r="K1374" t="s">
        <v>29</v>
      </c>
      <c r="L1374" t="s">
        <v>35</v>
      </c>
      <c r="M1374">
        <v>0</v>
      </c>
      <c r="N1374">
        <v>1</v>
      </c>
      <c r="O1374" s="17">
        <v>26605</v>
      </c>
      <c r="Q1374">
        <v>23.5</v>
      </c>
      <c r="R1374" t="s">
        <v>63</v>
      </c>
      <c r="S1374" t="s">
        <v>32</v>
      </c>
      <c r="Z1374" t="s">
        <v>32</v>
      </c>
      <c r="AB1374" t="s">
        <v>44</v>
      </c>
      <c r="AC1374" t="s">
        <v>59</v>
      </c>
    </row>
    <row r="1375" spans="1:30" x14ac:dyDescent="0.2">
      <c r="A1375" s="3">
        <v>42507</v>
      </c>
      <c r="B1375" t="s">
        <v>23</v>
      </c>
      <c r="C1375">
        <v>304</v>
      </c>
      <c r="D1375">
        <v>9</v>
      </c>
      <c r="E1375">
        <v>1</v>
      </c>
      <c r="F1375" t="s">
        <v>24</v>
      </c>
      <c r="G1375" t="s">
        <v>25</v>
      </c>
      <c r="H1375" t="s">
        <v>26</v>
      </c>
      <c r="I1375" t="s">
        <v>52</v>
      </c>
      <c r="J1375" t="s">
        <v>34</v>
      </c>
      <c r="K1375" t="s">
        <v>29</v>
      </c>
      <c r="L1375" t="s">
        <v>35</v>
      </c>
      <c r="M1375">
        <v>0</v>
      </c>
      <c r="N1375">
        <v>1</v>
      </c>
      <c r="O1375" s="17">
        <v>26606</v>
      </c>
      <c r="Q1375">
        <v>25</v>
      </c>
      <c r="R1375" t="s">
        <v>39</v>
      </c>
      <c r="S1375" t="s">
        <v>32</v>
      </c>
      <c r="Z1375" t="s">
        <v>32</v>
      </c>
      <c r="AB1375" t="s">
        <v>44</v>
      </c>
      <c r="AC1375" t="s">
        <v>116</v>
      </c>
    </row>
    <row r="1376" spans="1:30" x14ac:dyDescent="0.2">
      <c r="A1376" s="3">
        <v>42495</v>
      </c>
      <c r="B1376" t="s">
        <v>23</v>
      </c>
      <c r="C1376">
        <v>304</v>
      </c>
      <c r="D1376">
        <v>2</v>
      </c>
      <c r="E1376">
        <v>1</v>
      </c>
      <c r="F1376" t="s">
        <v>24</v>
      </c>
      <c r="G1376" t="s">
        <v>25</v>
      </c>
      <c r="H1376" t="s">
        <v>26</v>
      </c>
      <c r="I1376" t="s">
        <v>52</v>
      </c>
      <c r="J1376" t="s">
        <v>34</v>
      </c>
      <c r="K1376" t="s">
        <v>29</v>
      </c>
      <c r="L1376" t="s">
        <v>35</v>
      </c>
      <c r="M1376">
        <v>0</v>
      </c>
      <c r="N1376">
        <v>1</v>
      </c>
      <c r="O1376" s="17">
        <v>26632</v>
      </c>
      <c r="Q1376">
        <v>30</v>
      </c>
      <c r="R1376" t="s">
        <v>63</v>
      </c>
      <c r="S1376" t="s">
        <v>32</v>
      </c>
      <c r="Z1376" t="s">
        <v>32</v>
      </c>
      <c r="AB1376" t="s">
        <v>53</v>
      </c>
      <c r="AC1376" t="s">
        <v>59</v>
      </c>
    </row>
    <row r="1377" spans="1:30" x14ac:dyDescent="0.2">
      <c r="A1377" s="3">
        <v>42502</v>
      </c>
      <c r="B1377" t="s">
        <v>23</v>
      </c>
      <c r="C1377">
        <v>503</v>
      </c>
      <c r="D1377">
        <v>5</v>
      </c>
      <c r="E1377">
        <v>1</v>
      </c>
      <c r="F1377" t="s">
        <v>24</v>
      </c>
      <c r="G1377" t="s">
        <v>25</v>
      </c>
      <c r="H1377" t="s">
        <v>26</v>
      </c>
      <c r="I1377" t="s">
        <v>52</v>
      </c>
      <c r="J1377" t="s">
        <v>34</v>
      </c>
      <c r="K1377" t="s">
        <v>29</v>
      </c>
      <c r="L1377" t="s">
        <v>35</v>
      </c>
      <c r="M1377">
        <v>0</v>
      </c>
      <c r="N1377">
        <v>1</v>
      </c>
      <c r="O1377" s="17">
        <v>26633</v>
      </c>
      <c r="Q1377">
        <f>37.5-9</f>
        <v>28.5</v>
      </c>
      <c r="R1377" t="s">
        <v>63</v>
      </c>
      <c r="S1377" t="s">
        <v>32</v>
      </c>
      <c r="Z1377" t="s">
        <v>32</v>
      </c>
      <c r="AB1377" t="s">
        <v>53</v>
      </c>
      <c r="AC1377" t="s">
        <v>59</v>
      </c>
    </row>
    <row r="1378" spans="1:30" x14ac:dyDescent="0.2">
      <c r="A1378" s="3">
        <v>42606</v>
      </c>
      <c r="B1378" t="s">
        <v>23</v>
      </c>
      <c r="C1378">
        <v>503</v>
      </c>
      <c r="D1378">
        <v>1</v>
      </c>
      <c r="E1378">
        <v>1</v>
      </c>
      <c r="F1378" t="s">
        <v>64</v>
      </c>
      <c r="G1378" t="s">
        <v>25</v>
      </c>
      <c r="H1378" t="s">
        <v>26</v>
      </c>
      <c r="I1378" t="s">
        <v>52</v>
      </c>
      <c r="J1378" t="s">
        <v>28</v>
      </c>
      <c r="K1378" t="s">
        <v>29</v>
      </c>
      <c r="L1378" t="s">
        <v>35</v>
      </c>
      <c r="M1378">
        <v>0</v>
      </c>
      <c r="N1378">
        <v>0</v>
      </c>
      <c r="O1378" s="17" t="s">
        <v>1761</v>
      </c>
      <c r="Q1378">
        <f>46-16</f>
        <v>30</v>
      </c>
      <c r="R1378" t="s">
        <v>39</v>
      </c>
      <c r="T1378">
        <v>16</v>
      </c>
      <c r="W1378">
        <v>13</v>
      </c>
      <c r="X1378">
        <v>26</v>
      </c>
      <c r="Z1378" t="s">
        <v>145</v>
      </c>
      <c r="AA1378" t="s">
        <v>260</v>
      </c>
      <c r="AB1378" t="s">
        <v>53</v>
      </c>
      <c r="AC1378" t="s">
        <v>122</v>
      </c>
      <c r="AD1378" t="s">
        <v>1762</v>
      </c>
    </row>
    <row r="1379" spans="1:30" x14ac:dyDescent="0.2">
      <c r="A1379" s="3">
        <v>42501</v>
      </c>
      <c r="B1379" t="s">
        <v>23</v>
      </c>
      <c r="C1379">
        <v>503</v>
      </c>
      <c r="D1379">
        <v>10</v>
      </c>
      <c r="E1379">
        <v>1</v>
      </c>
      <c r="F1379" t="s">
        <v>24</v>
      </c>
      <c r="G1379" t="s">
        <v>25</v>
      </c>
      <c r="H1379" t="s">
        <v>26</v>
      </c>
      <c r="I1379" t="s">
        <v>52</v>
      </c>
      <c r="J1379" t="s">
        <v>34</v>
      </c>
      <c r="K1379" t="s">
        <v>29</v>
      </c>
      <c r="L1379" t="s">
        <v>30</v>
      </c>
      <c r="M1379">
        <v>0</v>
      </c>
      <c r="N1379">
        <v>1</v>
      </c>
      <c r="O1379" s="17">
        <v>26637</v>
      </c>
      <c r="Q1379">
        <v>26</v>
      </c>
      <c r="R1379" t="s">
        <v>31</v>
      </c>
      <c r="S1379" t="s">
        <v>32</v>
      </c>
      <c r="Z1379" t="s">
        <v>32</v>
      </c>
    </row>
    <row r="1380" spans="1:30" x14ac:dyDescent="0.2">
      <c r="A1380" s="3">
        <v>42564</v>
      </c>
      <c r="B1380" t="s">
        <v>23</v>
      </c>
      <c r="C1380">
        <v>303</v>
      </c>
      <c r="D1380">
        <v>6</v>
      </c>
      <c r="E1380">
        <v>2</v>
      </c>
      <c r="F1380" t="s">
        <v>24</v>
      </c>
      <c r="G1380" t="s">
        <v>25</v>
      </c>
      <c r="H1380" t="s">
        <v>26</v>
      </c>
      <c r="I1380" t="s">
        <v>52</v>
      </c>
      <c r="J1380" t="s">
        <v>28</v>
      </c>
      <c r="K1380" t="s">
        <v>29</v>
      </c>
      <c r="L1380" t="s">
        <v>35</v>
      </c>
      <c r="M1380">
        <v>0</v>
      </c>
      <c r="N1380">
        <v>0</v>
      </c>
      <c r="O1380" s="17">
        <v>50137</v>
      </c>
      <c r="Q1380">
        <f>34-11</f>
        <v>23</v>
      </c>
      <c r="R1380" t="s">
        <v>39</v>
      </c>
      <c r="T1380">
        <v>17</v>
      </c>
      <c r="Z1380" t="s">
        <v>145</v>
      </c>
    </row>
    <row r="1381" spans="1:30" x14ac:dyDescent="0.2">
      <c r="A1381" s="3">
        <v>42495</v>
      </c>
      <c r="B1381" t="s">
        <v>23</v>
      </c>
      <c r="C1381">
        <v>304</v>
      </c>
      <c r="D1381">
        <v>6</v>
      </c>
      <c r="E1381">
        <v>1</v>
      </c>
      <c r="F1381" t="s">
        <v>33</v>
      </c>
      <c r="G1381" t="s">
        <v>25</v>
      </c>
      <c r="H1381" t="s">
        <v>26</v>
      </c>
      <c r="I1381" t="s">
        <v>52</v>
      </c>
      <c r="J1381" t="s">
        <v>34</v>
      </c>
      <c r="K1381" t="s">
        <v>29</v>
      </c>
      <c r="L1381" t="s">
        <v>35</v>
      </c>
      <c r="M1381">
        <v>0</v>
      </c>
      <c r="N1381">
        <v>1</v>
      </c>
      <c r="O1381" s="17">
        <v>50325</v>
      </c>
      <c r="R1381" t="s">
        <v>39</v>
      </c>
      <c r="S1381" t="s">
        <v>32</v>
      </c>
      <c r="Z1381" t="s">
        <v>32</v>
      </c>
      <c r="AB1381" t="s">
        <v>53</v>
      </c>
    </row>
    <row r="1382" spans="1:30" x14ac:dyDescent="0.2">
      <c r="A1382" s="3">
        <v>42572</v>
      </c>
      <c r="B1382" t="s">
        <v>23</v>
      </c>
      <c r="C1382">
        <v>304</v>
      </c>
      <c r="D1382">
        <v>2</v>
      </c>
      <c r="E1382">
        <v>1</v>
      </c>
      <c r="F1382" t="s">
        <v>33</v>
      </c>
      <c r="G1382" t="s">
        <v>25</v>
      </c>
      <c r="H1382" t="s">
        <v>26</v>
      </c>
      <c r="I1382" t="s">
        <v>52</v>
      </c>
      <c r="J1382" t="s">
        <v>34</v>
      </c>
      <c r="K1382" t="s">
        <v>29</v>
      </c>
      <c r="L1382" t="s">
        <v>35</v>
      </c>
      <c r="M1382">
        <v>0</v>
      </c>
      <c r="N1382">
        <v>1</v>
      </c>
      <c r="O1382" s="17">
        <v>50330</v>
      </c>
      <c r="Q1382">
        <f>39-11</f>
        <v>28</v>
      </c>
      <c r="R1382" t="s">
        <v>39</v>
      </c>
      <c r="T1382">
        <v>18</v>
      </c>
      <c r="W1382">
        <v>12.8</v>
      </c>
      <c r="X1382">
        <v>27.2</v>
      </c>
      <c r="Z1382" t="s">
        <v>32</v>
      </c>
      <c r="AB1382" t="s">
        <v>121</v>
      </c>
      <c r="AC1382" t="s">
        <v>59</v>
      </c>
    </row>
    <row r="1383" spans="1:30" x14ac:dyDescent="0.2">
      <c r="A1383" s="3">
        <v>42574</v>
      </c>
      <c r="B1383" t="s">
        <v>23</v>
      </c>
      <c r="C1383">
        <v>303</v>
      </c>
      <c r="D1383">
        <v>5</v>
      </c>
      <c r="E1383">
        <v>2</v>
      </c>
      <c r="F1383" t="s">
        <v>33</v>
      </c>
      <c r="G1383" t="s">
        <v>25</v>
      </c>
      <c r="H1383" t="s">
        <v>26</v>
      </c>
      <c r="I1383" t="s">
        <v>52</v>
      </c>
      <c r="J1383" t="s">
        <v>34</v>
      </c>
      <c r="K1383" t="s">
        <v>29</v>
      </c>
      <c r="L1383" t="s">
        <v>35</v>
      </c>
      <c r="M1383">
        <v>0</v>
      </c>
      <c r="N1383">
        <v>1</v>
      </c>
      <c r="O1383" s="17">
        <v>50344</v>
      </c>
      <c r="Q1383">
        <f>33-10.5</f>
        <v>22.5</v>
      </c>
      <c r="R1383" t="s">
        <v>39</v>
      </c>
      <c r="T1383">
        <v>19</v>
      </c>
      <c r="W1383">
        <v>12.8</v>
      </c>
      <c r="X1383">
        <v>26.6</v>
      </c>
      <c r="Z1383" t="s">
        <v>145</v>
      </c>
      <c r="AA1383" t="s">
        <v>656</v>
      </c>
      <c r="AB1383" t="s">
        <v>122</v>
      </c>
      <c r="AC1383" t="s">
        <v>121</v>
      </c>
      <c r="AD1383" t="s">
        <v>657</v>
      </c>
    </row>
    <row r="1384" spans="1:30" x14ac:dyDescent="0.2">
      <c r="A1384" s="3">
        <v>42575</v>
      </c>
      <c r="B1384" t="s">
        <v>23</v>
      </c>
      <c r="C1384">
        <v>303</v>
      </c>
      <c r="D1384">
        <v>2</v>
      </c>
      <c r="E1384">
        <v>1</v>
      </c>
      <c r="F1384" t="s">
        <v>33</v>
      </c>
      <c r="G1384" t="s">
        <v>25</v>
      </c>
      <c r="H1384" t="s">
        <v>26</v>
      </c>
      <c r="I1384" t="s">
        <v>52</v>
      </c>
      <c r="J1384" t="s">
        <v>28</v>
      </c>
      <c r="K1384" t="s">
        <v>29</v>
      </c>
      <c r="L1384" t="s">
        <v>35</v>
      </c>
      <c r="M1384">
        <v>0</v>
      </c>
      <c r="N1384">
        <v>0</v>
      </c>
      <c r="O1384" s="17">
        <v>50344</v>
      </c>
      <c r="Q1384">
        <v>24</v>
      </c>
      <c r="R1384" t="s">
        <v>39</v>
      </c>
      <c r="T1384">
        <v>17</v>
      </c>
      <c r="W1384">
        <v>12.8</v>
      </c>
      <c r="X1384">
        <v>26.8</v>
      </c>
      <c r="Z1384" t="s">
        <v>145</v>
      </c>
      <c r="AA1384" t="s">
        <v>715</v>
      </c>
      <c r="AB1384" t="s">
        <v>711</v>
      </c>
      <c r="AC1384" t="s">
        <v>59</v>
      </c>
    </row>
    <row r="1385" spans="1:30" x14ac:dyDescent="0.2">
      <c r="A1385" s="3">
        <v>42576</v>
      </c>
      <c r="B1385" t="s">
        <v>23</v>
      </c>
      <c r="C1385">
        <v>303</v>
      </c>
      <c r="D1385">
        <v>7</v>
      </c>
      <c r="E1385">
        <v>1</v>
      </c>
      <c r="F1385" t="s">
        <v>33</v>
      </c>
      <c r="G1385" t="s">
        <v>25</v>
      </c>
      <c r="H1385" t="s">
        <v>26</v>
      </c>
      <c r="I1385" t="s">
        <v>52</v>
      </c>
      <c r="J1385" t="s">
        <v>28</v>
      </c>
      <c r="K1385" t="s">
        <v>29</v>
      </c>
      <c r="L1385" t="s">
        <v>35</v>
      </c>
      <c r="M1385">
        <v>0</v>
      </c>
      <c r="N1385">
        <v>0</v>
      </c>
      <c r="O1385" s="17">
        <v>50344</v>
      </c>
      <c r="Q1385">
        <f>34-12</f>
        <v>22</v>
      </c>
      <c r="R1385" t="s">
        <v>39</v>
      </c>
      <c r="T1385">
        <v>17</v>
      </c>
      <c r="W1385">
        <v>12.7</v>
      </c>
      <c r="X1385">
        <v>26.9</v>
      </c>
      <c r="Z1385" t="s">
        <v>145</v>
      </c>
      <c r="AA1385" t="s">
        <v>260</v>
      </c>
      <c r="AB1385" t="s">
        <v>121</v>
      </c>
      <c r="AC1385" t="s">
        <v>122</v>
      </c>
      <c r="AD1385" t="s">
        <v>756</v>
      </c>
    </row>
    <row r="1386" spans="1:30" x14ac:dyDescent="0.2">
      <c r="A1386" s="3">
        <v>42575</v>
      </c>
      <c r="B1386" t="s">
        <v>23</v>
      </c>
      <c r="C1386">
        <v>303</v>
      </c>
      <c r="D1386">
        <v>1</v>
      </c>
      <c r="E1386">
        <v>1</v>
      </c>
      <c r="F1386" t="s">
        <v>33</v>
      </c>
      <c r="G1386" t="s">
        <v>25</v>
      </c>
      <c r="H1386" t="s">
        <v>26</v>
      </c>
      <c r="I1386" t="s">
        <v>52</v>
      </c>
      <c r="J1386" t="s">
        <v>34</v>
      </c>
      <c r="M1386">
        <v>0</v>
      </c>
      <c r="N1386">
        <v>1</v>
      </c>
      <c r="O1386" s="17">
        <v>50347</v>
      </c>
      <c r="Q1386">
        <f>30.5-11</f>
        <v>19.5</v>
      </c>
      <c r="Z1386" t="s">
        <v>145</v>
      </c>
      <c r="AA1386" t="s">
        <v>260</v>
      </c>
      <c r="AB1386" t="s">
        <v>711</v>
      </c>
      <c r="AC1386" t="s">
        <v>59</v>
      </c>
      <c r="AD1386" t="s">
        <v>714</v>
      </c>
    </row>
    <row r="1387" spans="1:30" x14ac:dyDescent="0.2">
      <c r="A1387" s="3">
        <v>42592</v>
      </c>
      <c r="B1387" t="s">
        <v>23</v>
      </c>
      <c r="C1387">
        <v>303</v>
      </c>
      <c r="D1387">
        <v>2</v>
      </c>
      <c r="E1387">
        <v>1</v>
      </c>
      <c r="F1387" t="s">
        <v>24</v>
      </c>
      <c r="G1387" t="s">
        <v>25</v>
      </c>
      <c r="H1387" t="s">
        <v>26</v>
      </c>
      <c r="I1387" t="s">
        <v>52</v>
      </c>
      <c r="J1387" t="s">
        <v>28</v>
      </c>
      <c r="K1387" t="s">
        <v>29</v>
      </c>
      <c r="L1387" t="s">
        <v>35</v>
      </c>
      <c r="M1387">
        <v>0</v>
      </c>
      <c r="N1387">
        <v>0</v>
      </c>
      <c r="O1387" s="17" t="s">
        <v>1254</v>
      </c>
      <c r="Q1387">
        <f>44-16</f>
        <v>28</v>
      </c>
      <c r="R1387" t="s">
        <v>63</v>
      </c>
      <c r="T1387">
        <v>18</v>
      </c>
      <c r="W1387">
        <v>13</v>
      </c>
      <c r="X1387">
        <v>29.5</v>
      </c>
      <c r="Z1387" t="s">
        <v>145</v>
      </c>
      <c r="AB1387" t="s">
        <v>44</v>
      </c>
      <c r="AC1387" t="s">
        <v>59</v>
      </c>
    </row>
    <row r="1388" spans="1:30" x14ac:dyDescent="0.2">
      <c r="A1388" s="3">
        <v>42516</v>
      </c>
      <c r="B1388" t="s">
        <v>23</v>
      </c>
      <c r="C1388">
        <v>801</v>
      </c>
      <c r="D1388">
        <v>4</v>
      </c>
      <c r="E1388">
        <v>1</v>
      </c>
      <c r="F1388" t="s">
        <v>24</v>
      </c>
      <c r="G1388" t="s">
        <v>25</v>
      </c>
      <c r="H1388" t="s">
        <v>26</v>
      </c>
      <c r="I1388" t="s">
        <v>52</v>
      </c>
      <c r="J1388" t="s">
        <v>34</v>
      </c>
      <c r="K1388" t="s">
        <v>29</v>
      </c>
      <c r="L1388" t="s">
        <v>30</v>
      </c>
      <c r="M1388">
        <v>0</v>
      </c>
      <c r="N1388">
        <v>1</v>
      </c>
      <c r="O1388" s="17">
        <v>50368</v>
      </c>
      <c r="Q1388">
        <f>42-14</f>
        <v>28</v>
      </c>
      <c r="R1388" t="s">
        <v>75</v>
      </c>
      <c r="S1388" t="s">
        <v>145</v>
      </c>
      <c r="T1388">
        <v>17</v>
      </c>
      <c r="W1388">
        <v>12.2</v>
      </c>
      <c r="X1388">
        <v>26.7</v>
      </c>
      <c r="Z1388" t="s">
        <v>32</v>
      </c>
      <c r="AB1388" t="s">
        <v>44</v>
      </c>
      <c r="AC1388" t="s">
        <v>59</v>
      </c>
    </row>
    <row r="1389" spans="1:30" x14ac:dyDescent="0.2">
      <c r="A1389" s="3">
        <v>42507</v>
      </c>
      <c r="B1389" t="s">
        <v>23</v>
      </c>
      <c r="C1389">
        <v>201</v>
      </c>
      <c r="D1389">
        <v>4</v>
      </c>
      <c r="E1389">
        <v>1</v>
      </c>
      <c r="F1389" t="s">
        <v>33</v>
      </c>
      <c r="G1389" t="s">
        <v>25</v>
      </c>
      <c r="H1389" t="s">
        <v>26</v>
      </c>
      <c r="I1389" t="s">
        <v>52</v>
      </c>
      <c r="J1389" t="s">
        <v>34</v>
      </c>
      <c r="K1389" t="s">
        <v>29</v>
      </c>
      <c r="L1389" t="s">
        <v>30</v>
      </c>
      <c r="M1389">
        <v>0</v>
      </c>
      <c r="N1389">
        <v>1</v>
      </c>
      <c r="O1389" s="17">
        <v>50376</v>
      </c>
      <c r="Q1389">
        <f>41-14</f>
        <v>27</v>
      </c>
      <c r="R1389" t="s">
        <v>31</v>
      </c>
      <c r="S1389" t="s">
        <v>32</v>
      </c>
      <c r="Z1389" t="s">
        <v>32</v>
      </c>
      <c r="AB1389" t="s">
        <v>44</v>
      </c>
      <c r="AC1389" t="s">
        <v>116</v>
      </c>
    </row>
    <row r="1390" spans="1:30" x14ac:dyDescent="0.2">
      <c r="A1390" s="3">
        <v>42495</v>
      </c>
      <c r="B1390" t="s">
        <v>23</v>
      </c>
      <c r="C1390">
        <v>201</v>
      </c>
      <c r="D1390">
        <v>8</v>
      </c>
      <c r="E1390">
        <v>1</v>
      </c>
      <c r="F1390" t="s">
        <v>33</v>
      </c>
      <c r="G1390" t="s">
        <v>25</v>
      </c>
      <c r="H1390" t="s">
        <v>26</v>
      </c>
      <c r="I1390" t="s">
        <v>52</v>
      </c>
      <c r="J1390" t="s">
        <v>34</v>
      </c>
      <c r="K1390" t="s">
        <v>29</v>
      </c>
      <c r="L1390" t="s">
        <v>35</v>
      </c>
      <c r="M1390">
        <v>0</v>
      </c>
      <c r="N1390">
        <v>1</v>
      </c>
      <c r="O1390" s="17">
        <v>50398</v>
      </c>
      <c r="R1390" t="s">
        <v>36</v>
      </c>
      <c r="S1390" t="s">
        <v>32</v>
      </c>
      <c r="Z1390" t="s">
        <v>32</v>
      </c>
      <c r="AB1390" t="s">
        <v>53</v>
      </c>
      <c r="AC1390" t="s">
        <v>59</v>
      </c>
    </row>
    <row r="1391" spans="1:30" x14ac:dyDescent="0.2">
      <c r="A1391" s="3">
        <v>42494</v>
      </c>
      <c r="B1391" t="s">
        <v>23</v>
      </c>
      <c r="C1391">
        <v>304</v>
      </c>
      <c r="D1391">
        <v>9</v>
      </c>
      <c r="E1391">
        <v>1</v>
      </c>
      <c r="F1391" t="s">
        <v>33</v>
      </c>
      <c r="G1391" t="s">
        <v>25</v>
      </c>
      <c r="H1391" t="s">
        <v>26</v>
      </c>
      <c r="I1391" t="s">
        <v>52</v>
      </c>
      <c r="J1391" t="s">
        <v>34</v>
      </c>
      <c r="K1391" t="s">
        <v>29</v>
      </c>
      <c r="L1391" t="s">
        <v>30</v>
      </c>
      <c r="M1391">
        <v>0</v>
      </c>
      <c r="N1391">
        <v>1</v>
      </c>
      <c r="O1391" s="17">
        <v>50399</v>
      </c>
      <c r="Q1391">
        <f>42-15</f>
        <v>27</v>
      </c>
      <c r="R1391" t="s">
        <v>31</v>
      </c>
      <c r="S1391" t="s">
        <v>32</v>
      </c>
      <c r="Z1391" t="s">
        <v>32</v>
      </c>
      <c r="AB1391" t="s">
        <v>60</v>
      </c>
      <c r="AC1391" t="s">
        <v>59</v>
      </c>
    </row>
    <row r="1392" spans="1:30" x14ac:dyDescent="0.2">
      <c r="A1392" s="3">
        <v>42494</v>
      </c>
      <c r="B1392" t="s">
        <v>23</v>
      </c>
      <c r="C1392">
        <v>304</v>
      </c>
      <c r="D1392">
        <v>7</v>
      </c>
      <c r="E1392">
        <v>1</v>
      </c>
      <c r="F1392" t="s">
        <v>33</v>
      </c>
      <c r="G1392" t="s">
        <v>25</v>
      </c>
      <c r="H1392" t="s">
        <v>26</v>
      </c>
      <c r="I1392" t="s">
        <v>52</v>
      </c>
      <c r="J1392" t="s">
        <v>34</v>
      </c>
      <c r="K1392" t="s">
        <v>29</v>
      </c>
      <c r="L1392" t="s">
        <v>30</v>
      </c>
      <c r="M1392">
        <v>0</v>
      </c>
      <c r="N1392">
        <v>1</v>
      </c>
      <c r="O1392" s="17">
        <v>50400</v>
      </c>
      <c r="Q1392">
        <f>35.5-12</f>
        <v>23.5</v>
      </c>
      <c r="R1392" t="s">
        <v>31</v>
      </c>
      <c r="S1392" t="s">
        <v>32</v>
      </c>
      <c r="Z1392" t="s">
        <v>32</v>
      </c>
      <c r="AB1392" t="s">
        <v>60</v>
      </c>
      <c r="AC1392" t="s">
        <v>59</v>
      </c>
    </row>
    <row r="1393" spans="1:29" x14ac:dyDescent="0.2">
      <c r="A1393" s="3">
        <v>42550</v>
      </c>
      <c r="B1393" t="s">
        <v>23</v>
      </c>
      <c r="C1393">
        <v>303</v>
      </c>
      <c r="D1393">
        <v>2</v>
      </c>
      <c r="E1393">
        <v>2</v>
      </c>
      <c r="F1393" t="s">
        <v>33</v>
      </c>
      <c r="G1393" t="s">
        <v>25</v>
      </c>
      <c r="H1393" t="s">
        <v>26</v>
      </c>
      <c r="I1393" t="s">
        <v>52</v>
      </c>
      <c r="J1393" t="s">
        <v>34</v>
      </c>
      <c r="K1393" t="s">
        <v>29</v>
      </c>
      <c r="L1393" t="s">
        <v>35</v>
      </c>
      <c r="M1393">
        <v>0</v>
      </c>
      <c r="N1393">
        <v>1</v>
      </c>
      <c r="O1393" s="17">
        <v>50437</v>
      </c>
      <c r="Q1393">
        <f>32-14</f>
        <v>18</v>
      </c>
      <c r="R1393" t="s">
        <v>39</v>
      </c>
      <c r="T1393">
        <v>17</v>
      </c>
      <c r="W1393">
        <v>12.6</v>
      </c>
      <c r="X1393">
        <v>27.8</v>
      </c>
      <c r="Z1393" t="s">
        <v>32</v>
      </c>
      <c r="AB1393" t="s">
        <v>121</v>
      </c>
      <c r="AC1393" t="s">
        <v>59</v>
      </c>
    </row>
    <row r="1394" spans="1:29" x14ac:dyDescent="0.2">
      <c r="A1394" s="3">
        <v>42563</v>
      </c>
      <c r="B1394" t="s">
        <v>23</v>
      </c>
      <c r="C1394">
        <v>303</v>
      </c>
      <c r="D1394">
        <v>6</v>
      </c>
      <c r="E1394">
        <v>1</v>
      </c>
      <c r="F1394" t="s">
        <v>24</v>
      </c>
      <c r="G1394" t="s">
        <v>25</v>
      </c>
      <c r="H1394" t="s">
        <v>26</v>
      </c>
      <c r="I1394" t="s">
        <v>52</v>
      </c>
      <c r="J1394" t="s">
        <v>28</v>
      </c>
      <c r="K1394" t="s">
        <v>29</v>
      </c>
      <c r="L1394" t="s">
        <v>35</v>
      </c>
      <c r="M1394">
        <v>0</v>
      </c>
      <c r="N1394">
        <v>0</v>
      </c>
      <c r="O1394" s="17">
        <v>50437</v>
      </c>
      <c r="Q1394">
        <v>22</v>
      </c>
      <c r="R1394" t="s">
        <v>63</v>
      </c>
      <c r="W1394">
        <v>13</v>
      </c>
      <c r="X1394">
        <v>25.9</v>
      </c>
      <c r="Z1394" t="s">
        <v>145</v>
      </c>
      <c r="AB1394" t="s">
        <v>53</v>
      </c>
      <c r="AC1394" t="s">
        <v>122</v>
      </c>
    </row>
    <row r="1395" spans="1:29" x14ac:dyDescent="0.2">
      <c r="A1395" s="3">
        <v>42565</v>
      </c>
      <c r="B1395" t="s">
        <v>23</v>
      </c>
      <c r="C1395">
        <v>303</v>
      </c>
      <c r="D1395">
        <v>10</v>
      </c>
      <c r="E1395">
        <v>2</v>
      </c>
      <c r="F1395" t="s">
        <v>24</v>
      </c>
      <c r="G1395" t="s">
        <v>25</v>
      </c>
      <c r="H1395" t="s">
        <v>26</v>
      </c>
      <c r="I1395" t="s">
        <v>52</v>
      </c>
      <c r="J1395" t="s">
        <v>28</v>
      </c>
      <c r="K1395" t="s">
        <v>29</v>
      </c>
      <c r="L1395" t="s">
        <v>35</v>
      </c>
      <c r="M1395">
        <v>0</v>
      </c>
      <c r="N1395">
        <v>0</v>
      </c>
      <c r="O1395" s="17">
        <v>50437</v>
      </c>
      <c r="Q1395">
        <f>33-12.5</f>
        <v>20.5</v>
      </c>
      <c r="R1395" t="s">
        <v>63</v>
      </c>
      <c r="T1395">
        <v>16.5</v>
      </c>
      <c r="W1395">
        <v>13</v>
      </c>
      <c r="X1395">
        <v>26.9</v>
      </c>
      <c r="Z1395" t="s">
        <v>145</v>
      </c>
      <c r="AB1395" t="s">
        <v>489</v>
      </c>
      <c r="AC1395" t="s">
        <v>254</v>
      </c>
    </row>
    <row r="1396" spans="1:29" x14ac:dyDescent="0.2">
      <c r="A1396" s="3">
        <v>42550</v>
      </c>
      <c r="B1396" t="s">
        <v>23</v>
      </c>
      <c r="C1396">
        <v>303</v>
      </c>
      <c r="D1396">
        <v>1</v>
      </c>
      <c r="E1396">
        <v>1</v>
      </c>
      <c r="F1396" t="s">
        <v>33</v>
      </c>
      <c r="G1396" t="s">
        <v>25</v>
      </c>
      <c r="H1396" t="s">
        <v>26</v>
      </c>
      <c r="I1396" t="s">
        <v>52</v>
      </c>
      <c r="J1396" t="s">
        <v>34</v>
      </c>
      <c r="K1396" t="s">
        <v>29</v>
      </c>
      <c r="L1396" t="s">
        <v>35</v>
      </c>
      <c r="M1396">
        <v>0</v>
      </c>
      <c r="N1396">
        <v>1</v>
      </c>
      <c r="O1396" s="17">
        <v>50439</v>
      </c>
      <c r="Q1396">
        <f>32-13</f>
        <v>19</v>
      </c>
      <c r="R1396" t="s">
        <v>39</v>
      </c>
      <c r="T1396">
        <v>19</v>
      </c>
      <c r="W1396">
        <v>13</v>
      </c>
      <c r="X1396">
        <v>28.5</v>
      </c>
      <c r="Z1396" t="s">
        <v>32</v>
      </c>
      <c r="AB1396" t="s">
        <v>121</v>
      </c>
      <c r="AC1396" t="s">
        <v>59</v>
      </c>
    </row>
    <row r="1397" spans="1:29" x14ac:dyDescent="0.2">
      <c r="A1397" s="3">
        <v>42564</v>
      </c>
      <c r="B1397" t="s">
        <v>23</v>
      </c>
      <c r="C1397">
        <v>303</v>
      </c>
      <c r="D1397">
        <v>10</v>
      </c>
      <c r="E1397">
        <v>2</v>
      </c>
      <c r="F1397" t="s">
        <v>24</v>
      </c>
      <c r="G1397" t="s">
        <v>25</v>
      </c>
      <c r="H1397" t="s">
        <v>26</v>
      </c>
      <c r="I1397" t="s">
        <v>52</v>
      </c>
      <c r="J1397" t="s">
        <v>28</v>
      </c>
      <c r="K1397" t="s">
        <v>29</v>
      </c>
      <c r="L1397" t="s">
        <v>35</v>
      </c>
      <c r="M1397">
        <v>0</v>
      </c>
      <c r="N1397">
        <v>0</v>
      </c>
      <c r="O1397" s="17">
        <v>50439</v>
      </c>
      <c r="Q1397">
        <v>21</v>
      </c>
      <c r="R1397" t="s">
        <v>39</v>
      </c>
      <c r="T1397">
        <v>18</v>
      </c>
      <c r="W1397">
        <v>13.5</v>
      </c>
      <c r="X1397">
        <v>27.7</v>
      </c>
      <c r="Z1397" t="s">
        <v>32</v>
      </c>
    </row>
    <row r="1398" spans="1:29" x14ac:dyDescent="0.2">
      <c r="A1398" s="3">
        <v>42565</v>
      </c>
      <c r="B1398" t="s">
        <v>23</v>
      </c>
      <c r="C1398">
        <v>303</v>
      </c>
      <c r="D1398">
        <v>2</v>
      </c>
      <c r="E1398">
        <v>2</v>
      </c>
      <c r="F1398" t="s">
        <v>24</v>
      </c>
      <c r="G1398" t="s">
        <v>25</v>
      </c>
      <c r="H1398" t="s">
        <v>26</v>
      </c>
      <c r="I1398" t="s">
        <v>52</v>
      </c>
      <c r="J1398" t="s">
        <v>28</v>
      </c>
      <c r="K1398" t="s">
        <v>29</v>
      </c>
      <c r="L1398" t="s">
        <v>35</v>
      </c>
      <c r="M1398">
        <v>0</v>
      </c>
      <c r="N1398">
        <v>0</v>
      </c>
      <c r="O1398" s="17">
        <v>50439</v>
      </c>
      <c r="Q1398">
        <f>32.5-11.5</f>
        <v>21</v>
      </c>
      <c r="R1398" t="s">
        <v>63</v>
      </c>
      <c r="T1398">
        <v>17</v>
      </c>
      <c r="W1398">
        <v>13</v>
      </c>
      <c r="X1398">
        <v>26</v>
      </c>
      <c r="Z1398" t="s">
        <v>145</v>
      </c>
      <c r="AB1398" t="s">
        <v>489</v>
      </c>
      <c r="AC1398" t="s">
        <v>254</v>
      </c>
    </row>
    <row r="1399" spans="1:29" x14ac:dyDescent="0.2">
      <c r="A1399" s="3">
        <v>42574</v>
      </c>
      <c r="B1399" t="s">
        <v>23</v>
      </c>
      <c r="C1399">
        <v>303</v>
      </c>
      <c r="D1399">
        <v>6</v>
      </c>
      <c r="E1399">
        <v>1</v>
      </c>
      <c r="F1399" t="s">
        <v>33</v>
      </c>
      <c r="G1399" t="s">
        <v>25</v>
      </c>
      <c r="H1399" t="s">
        <v>26</v>
      </c>
      <c r="I1399" t="s">
        <v>52</v>
      </c>
      <c r="J1399" t="s">
        <v>28</v>
      </c>
      <c r="K1399" t="s">
        <v>29</v>
      </c>
      <c r="L1399" t="s">
        <v>35</v>
      </c>
      <c r="M1399">
        <v>0</v>
      </c>
      <c r="N1399">
        <v>0</v>
      </c>
      <c r="O1399" s="17">
        <v>50439</v>
      </c>
      <c r="Q1399">
        <f>32.5-10.5</f>
        <v>22</v>
      </c>
      <c r="R1399" t="s">
        <v>39</v>
      </c>
      <c r="T1399">
        <v>19</v>
      </c>
      <c r="W1399">
        <v>12.9</v>
      </c>
      <c r="X1399">
        <v>27.4</v>
      </c>
      <c r="Z1399" t="s">
        <v>145</v>
      </c>
      <c r="AA1399" t="s">
        <v>260</v>
      </c>
      <c r="AB1399" t="s">
        <v>122</v>
      </c>
      <c r="AC1399" t="s">
        <v>121</v>
      </c>
    </row>
    <row r="1400" spans="1:29" x14ac:dyDescent="0.2">
      <c r="A1400" s="3">
        <v>42575</v>
      </c>
      <c r="B1400" t="s">
        <v>23</v>
      </c>
      <c r="C1400">
        <v>303</v>
      </c>
      <c r="D1400">
        <v>7</v>
      </c>
      <c r="E1400">
        <v>1</v>
      </c>
      <c r="F1400" t="s">
        <v>33</v>
      </c>
      <c r="G1400" t="s">
        <v>25</v>
      </c>
      <c r="H1400" t="s">
        <v>26</v>
      </c>
      <c r="I1400" t="s">
        <v>52</v>
      </c>
      <c r="J1400" t="s">
        <v>28</v>
      </c>
      <c r="K1400" t="s">
        <v>29</v>
      </c>
      <c r="L1400" t="s">
        <v>35</v>
      </c>
      <c r="M1400">
        <v>0</v>
      </c>
      <c r="N1400">
        <v>0</v>
      </c>
      <c r="O1400" s="17">
        <v>50439</v>
      </c>
      <c r="Q1400">
        <f>33-12</f>
        <v>21</v>
      </c>
      <c r="R1400" t="s">
        <v>39</v>
      </c>
      <c r="T1400">
        <v>18</v>
      </c>
      <c r="W1400">
        <v>12.9</v>
      </c>
      <c r="X1400">
        <v>26.8</v>
      </c>
      <c r="Z1400" t="s">
        <v>145</v>
      </c>
      <c r="AA1400" t="s">
        <v>260</v>
      </c>
      <c r="AB1400" t="s">
        <v>711</v>
      </c>
      <c r="AC1400" t="s">
        <v>59</v>
      </c>
    </row>
    <row r="1401" spans="1:29" x14ac:dyDescent="0.2">
      <c r="A1401" s="3">
        <v>42576</v>
      </c>
      <c r="B1401" t="s">
        <v>23</v>
      </c>
      <c r="C1401">
        <v>303</v>
      </c>
      <c r="D1401">
        <v>10</v>
      </c>
      <c r="E1401">
        <v>1</v>
      </c>
      <c r="F1401" t="s">
        <v>33</v>
      </c>
      <c r="G1401" t="s">
        <v>25</v>
      </c>
      <c r="H1401" t="s">
        <v>26</v>
      </c>
      <c r="I1401" t="s">
        <v>52</v>
      </c>
      <c r="J1401" t="s">
        <v>28</v>
      </c>
      <c r="K1401" t="s">
        <v>29</v>
      </c>
      <c r="L1401" t="s">
        <v>35</v>
      </c>
      <c r="M1401">
        <v>0</v>
      </c>
      <c r="N1401">
        <v>0</v>
      </c>
      <c r="O1401" s="17">
        <v>50439</v>
      </c>
      <c r="Q1401">
        <v>23</v>
      </c>
      <c r="R1401" t="s">
        <v>39</v>
      </c>
      <c r="T1401">
        <v>18.5</v>
      </c>
      <c r="W1401">
        <v>12.9</v>
      </c>
      <c r="X1401">
        <v>27.5</v>
      </c>
      <c r="Z1401" t="s">
        <v>145</v>
      </c>
      <c r="AA1401" t="s">
        <v>757</v>
      </c>
      <c r="AB1401" t="s">
        <v>121</v>
      </c>
      <c r="AC1401" t="s">
        <v>122</v>
      </c>
    </row>
    <row r="1402" spans="1:29" x14ac:dyDescent="0.2">
      <c r="A1402" s="3">
        <v>42549</v>
      </c>
      <c r="B1402" t="s">
        <v>23</v>
      </c>
      <c r="C1402">
        <v>303</v>
      </c>
      <c r="D1402">
        <v>9</v>
      </c>
      <c r="E1402">
        <v>1</v>
      </c>
      <c r="F1402" t="s">
        <v>33</v>
      </c>
      <c r="G1402" t="s">
        <v>25</v>
      </c>
      <c r="H1402" t="s">
        <v>26</v>
      </c>
      <c r="I1402" t="s">
        <v>52</v>
      </c>
      <c r="J1402" t="s">
        <v>34</v>
      </c>
      <c r="K1402" t="s">
        <v>29</v>
      </c>
      <c r="L1402" t="s">
        <v>35</v>
      </c>
      <c r="M1402">
        <v>0</v>
      </c>
      <c r="N1402">
        <v>1</v>
      </c>
      <c r="O1402" s="17">
        <v>50444</v>
      </c>
      <c r="Q1402">
        <f>32.5-11.5</f>
        <v>21</v>
      </c>
      <c r="R1402" t="s">
        <v>39</v>
      </c>
      <c r="T1402">
        <v>18</v>
      </c>
      <c r="W1402">
        <v>12.6</v>
      </c>
      <c r="X1402">
        <v>28</v>
      </c>
      <c r="Z1402" t="s">
        <v>32</v>
      </c>
      <c r="AB1402" t="s">
        <v>121</v>
      </c>
      <c r="AC1402" t="s">
        <v>122</v>
      </c>
    </row>
    <row r="1403" spans="1:29" x14ac:dyDescent="0.2">
      <c r="A1403" s="3">
        <v>42551</v>
      </c>
      <c r="B1403" t="s">
        <v>23</v>
      </c>
      <c r="C1403">
        <v>303</v>
      </c>
      <c r="D1403">
        <v>10</v>
      </c>
      <c r="E1403">
        <v>1</v>
      </c>
      <c r="F1403" t="s">
        <v>33</v>
      </c>
      <c r="G1403" t="s">
        <v>25</v>
      </c>
      <c r="H1403" t="s">
        <v>26</v>
      </c>
      <c r="I1403" t="s">
        <v>52</v>
      </c>
      <c r="J1403" t="s">
        <v>28</v>
      </c>
      <c r="K1403" t="s">
        <v>29</v>
      </c>
      <c r="L1403" t="s">
        <v>35</v>
      </c>
      <c r="M1403">
        <v>0</v>
      </c>
      <c r="N1403">
        <v>0</v>
      </c>
      <c r="O1403" s="17">
        <v>50444</v>
      </c>
      <c r="Q1403">
        <f>37-15.5</f>
        <v>21.5</v>
      </c>
      <c r="R1403" t="s">
        <v>39</v>
      </c>
      <c r="T1403">
        <v>18</v>
      </c>
      <c r="Z1403" t="s">
        <v>32</v>
      </c>
      <c r="AB1403" t="s">
        <v>44</v>
      </c>
      <c r="AC1403" t="s">
        <v>59</v>
      </c>
    </row>
    <row r="1404" spans="1:29" x14ac:dyDescent="0.2">
      <c r="A1404" s="3">
        <v>42550</v>
      </c>
      <c r="B1404" t="s">
        <v>23</v>
      </c>
      <c r="C1404">
        <v>303</v>
      </c>
      <c r="D1404">
        <v>10</v>
      </c>
      <c r="E1404">
        <v>1</v>
      </c>
      <c r="F1404" t="s">
        <v>33</v>
      </c>
      <c r="G1404" t="s">
        <v>25</v>
      </c>
      <c r="H1404" t="s">
        <v>26</v>
      </c>
      <c r="I1404" t="s">
        <v>52</v>
      </c>
      <c r="J1404" t="s">
        <v>34</v>
      </c>
      <c r="K1404" t="s">
        <v>29</v>
      </c>
      <c r="L1404" t="s">
        <v>35</v>
      </c>
      <c r="M1404">
        <v>0</v>
      </c>
      <c r="N1404">
        <v>1</v>
      </c>
      <c r="O1404" s="17">
        <v>50450</v>
      </c>
      <c r="R1404" t="s">
        <v>39</v>
      </c>
      <c r="T1404">
        <v>20</v>
      </c>
      <c r="W1404">
        <v>12.8</v>
      </c>
      <c r="X1404">
        <v>27.5</v>
      </c>
      <c r="Z1404" t="s">
        <v>32</v>
      </c>
      <c r="AB1404" t="s">
        <v>121</v>
      </c>
      <c r="AC1404" t="s">
        <v>59</v>
      </c>
    </row>
    <row r="1405" spans="1:29" x14ac:dyDescent="0.2">
      <c r="A1405" s="3">
        <v>42551</v>
      </c>
      <c r="B1405" t="s">
        <v>23</v>
      </c>
      <c r="C1405">
        <v>303</v>
      </c>
      <c r="D1405">
        <v>6</v>
      </c>
      <c r="E1405">
        <v>1</v>
      </c>
      <c r="F1405" t="s">
        <v>33</v>
      </c>
      <c r="G1405" t="s">
        <v>25</v>
      </c>
      <c r="H1405" t="s">
        <v>26</v>
      </c>
      <c r="I1405" t="s">
        <v>52</v>
      </c>
      <c r="J1405" t="s">
        <v>28</v>
      </c>
      <c r="K1405" t="s">
        <v>29</v>
      </c>
      <c r="L1405" t="s">
        <v>35</v>
      </c>
      <c r="M1405">
        <v>0</v>
      </c>
      <c r="N1405">
        <v>0</v>
      </c>
      <c r="O1405" s="17">
        <v>50450</v>
      </c>
      <c r="Q1405">
        <f>29-11.5</f>
        <v>17.5</v>
      </c>
      <c r="R1405" t="s">
        <v>39</v>
      </c>
      <c r="T1405">
        <v>18</v>
      </c>
      <c r="Z1405" t="s">
        <v>32</v>
      </c>
      <c r="AB1405" t="s">
        <v>44</v>
      </c>
      <c r="AC1405" t="s">
        <v>59</v>
      </c>
    </row>
    <row r="1406" spans="1:29" x14ac:dyDescent="0.2">
      <c r="A1406" s="3">
        <v>42537</v>
      </c>
      <c r="B1406" t="s">
        <v>23</v>
      </c>
      <c r="C1406">
        <v>701</v>
      </c>
      <c r="D1406">
        <v>1</v>
      </c>
      <c r="E1406">
        <v>1</v>
      </c>
      <c r="F1406" t="s">
        <v>33</v>
      </c>
      <c r="G1406" t="s">
        <v>25</v>
      </c>
      <c r="H1406" t="s">
        <v>26</v>
      </c>
      <c r="I1406" t="s">
        <v>52</v>
      </c>
      <c r="J1406" t="s">
        <v>34</v>
      </c>
      <c r="K1406" t="s">
        <v>187</v>
      </c>
      <c r="L1406" t="s">
        <v>35</v>
      </c>
      <c r="M1406">
        <v>0</v>
      </c>
      <c r="N1406">
        <v>1</v>
      </c>
      <c r="O1406" s="17">
        <v>50452</v>
      </c>
      <c r="Q1406">
        <f>19-3.5</f>
        <v>15.5</v>
      </c>
      <c r="R1406" t="s">
        <v>39</v>
      </c>
      <c r="T1406">
        <v>17</v>
      </c>
      <c r="W1406">
        <v>12.4</v>
      </c>
      <c r="X1406">
        <v>26.6</v>
      </c>
      <c r="Z1406" t="s">
        <v>32</v>
      </c>
      <c r="AB1406" t="s">
        <v>60</v>
      </c>
      <c r="AC1406" t="s">
        <v>122</v>
      </c>
    </row>
    <row r="1407" spans="1:29" x14ac:dyDescent="0.2">
      <c r="A1407" s="3">
        <v>42549</v>
      </c>
      <c r="B1407" t="s">
        <v>23</v>
      </c>
      <c r="C1407">
        <v>701</v>
      </c>
      <c r="D1407">
        <v>1</v>
      </c>
      <c r="E1407">
        <v>2</v>
      </c>
      <c r="F1407" t="s">
        <v>24</v>
      </c>
      <c r="G1407" t="s">
        <v>25</v>
      </c>
      <c r="H1407" t="s">
        <v>26</v>
      </c>
      <c r="I1407" t="s">
        <v>52</v>
      </c>
      <c r="J1407" t="s">
        <v>28</v>
      </c>
      <c r="K1407" t="s">
        <v>187</v>
      </c>
      <c r="L1407" t="s">
        <v>35</v>
      </c>
      <c r="M1407">
        <v>0</v>
      </c>
      <c r="N1407">
        <v>0</v>
      </c>
      <c r="O1407" s="17">
        <v>50452</v>
      </c>
      <c r="Q1407">
        <f>30-12</f>
        <v>18</v>
      </c>
      <c r="R1407" t="s">
        <v>63</v>
      </c>
      <c r="S1407" t="s">
        <v>32</v>
      </c>
      <c r="T1407">
        <v>18</v>
      </c>
      <c r="W1407">
        <v>12.8</v>
      </c>
      <c r="X1407">
        <v>25.6</v>
      </c>
      <c r="Z1407" t="s">
        <v>32</v>
      </c>
      <c r="AB1407" t="s">
        <v>121</v>
      </c>
      <c r="AC1407" t="s">
        <v>122</v>
      </c>
    </row>
    <row r="1408" spans="1:29" x14ac:dyDescent="0.2">
      <c r="A1408" s="3">
        <v>42550</v>
      </c>
      <c r="B1408" t="s">
        <v>23</v>
      </c>
      <c r="C1408">
        <v>701</v>
      </c>
      <c r="D1408">
        <v>7</v>
      </c>
      <c r="E1408">
        <v>2</v>
      </c>
      <c r="F1408" t="s">
        <v>24</v>
      </c>
      <c r="G1408" t="s">
        <v>25</v>
      </c>
      <c r="H1408" t="s">
        <v>26</v>
      </c>
      <c r="I1408" t="s">
        <v>52</v>
      </c>
      <c r="J1408" t="s">
        <v>28</v>
      </c>
      <c r="K1408" t="s">
        <v>29</v>
      </c>
      <c r="L1408" t="s">
        <v>35</v>
      </c>
      <c r="M1408">
        <v>0</v>
      </c>
      <c r="N1408">
        <v>0</v>
      </c>
      <c r="O1408" s="17">
        <v>50452</v>
      </c>
      <c r="Q1408">
        <f>30.5-13.5</f>
        <v>17</v>
      </c>
      <c r="R1408" t="s">
        <v>63</v>
      </c>
      <c r="T1408">
        <v>16</v>
      </c>
      <c r="W1408">
        <v>12.6</v>
      </c>
      <c r="X1408">
        <v>25.5</v>
      </c>
      <c r="Z1408" t="s">
        <v>32</v>
      </c>
      <c r="AB1408" t="s">
        <v>255</v>
      </c>
      <c r="AC1408" t="s">
        <v>59</v>
      </c>
    </row>
    <row r="1409" spans="1:30" x14ac:dyDescent="0.2">
      <c r="A1409" s="3">
        <v>42551</v>
      </c>
      <c r="B1409" t="s">
        <v>23</v>
      </c>
      <c r="C1409">
        <v>701</v>
      </c>
      <c r="D1409">
        <v>3</v>
      </c>
      <c r="E1409">
        <v>2</v>
      </c>
      <c r="F1409" t="s">
        <v>24</v>
      </c>
      <c r="G1409" t="s">
        <v>25</v>
      </c>
      <c r="H1409" t="s">
        <v>26</v>
      </c>
      <c r="I1409" t="s">
        <v>52</v>
      </c>
      <c r="K1409" t="s">
        <v>29</v>
      </c>
      <c r="L1409" t="s">
        <v>35</v>
      </c>
      <c r="M1409">
        <v>0</v>
      </c>
      <c r="N1409">
        <v>0</v>
      </c>
      <c r="O1409" s="17">
        <v>50452</v>
      </c>
      <c r="Q1409">
        <f>36-17.5</f>
        <v>18.5</v>
      </c>
      <c r="R1409" t="s">
        <v>63</v>
      </c>
      <c r="T1409">
        <v>18</v>
      </c>
      <c r="W1409">
        <v>12</v>
      </c>
      <c r="X1409">
        <v>24.8</v>
      </c>
      <c r="Z1409" t="s">
        <v>32</v>
      </c>
      <c r="AB1409" t="s">
        <v>44</v>
      </c>
      <c r="AC1409" t="s">
        <v>116</v>
      </c>
    </row>
    <row r="1410" spans="1:30" x14ac:dyDescent="0.2">
      <c r="A1410" s="3">
        <v>42537</v>
      </c>
      <c r="B1410" t="s">
        <v>23</v>
      </c>
      <c r="C1410">
        <v>703</v>
      </c>
      <c r="D1410">
        <v>2</v>
      </c>
      <c r="E1410">
        <v>1</v>
      </c>
      <c r="F1410" t="s">
        <v>33</v>
      </c>
      <c r="G1410" t="s">
        <v>25</v>
      </c>
      <c r="H1410" t="s">
        <v>26</v>
      </c>
      <c r="I1410" t="s">
        <v>52</v>
      </c>
      <c r="J1410" t="s">
        <v>34</v>
      </c>
      <c r="K1410" t="s">
        <v>187</v>
      </c>
      <c r="L1410" t="s">
        <v>35</v>
      </c>
      <c r="M1410">
        <v>0</v>
      </c>
      <c r="N1410">
        <v>1</v>
      </c>
      <c r="O1410" s="17">
        <v>50464</v>
      </c>
      <c r="Q1410">
        <f>28-11.5</f>
        <v>16.5</v>
      </c>
      <c r="R1410" t="s">
        <v>39</v>
      </c>
      <c r="T1410">
        <v>18</v>
      </c>
      <c r="W1410">
        <v>12.4</v>
      </c>
      <c r="X1410">
        <v>27.5</v>
      </c>
      <c r="Z1410" t="s">
        <v>32</v>
      </c>
      <c r="AB1410" t="s">
        <v>44</v>
      </c>
      <c r="AC1410" t="s">
        <v>122</v>
      </c>
    </row>
    <row r="1411" spans="1:30" x14ac:dyDescent="0.2">
      <c r="A1411" s="3">
        <v>42542</v>
      </c>
      <c r="B1411" t="s">
        <v>23</v>
      </c>
      <c r="C1411">
        <v>402</v>
      </c>
      <c r="D1411">
        <v>7</v>
      </c>
      <c r="E1411">
        <v>1</v>
      </c>
      <c r="F1411" t="s">
        <v>24</v>
      </c>
      <c r="G1411" t="s">
        <v>25</v>
      </c>
      <c r="H1411" t="s">
        <v>26</v>
      </c>
      <c r="I1411" t="s">
        <v>52</v>
      </c>
      <c r="J1411" t="s">
        <v>34</v>
      </c>
      <c r="K1411" t="s">
        <v>29</v>
      </c>
      <c r="L1411" t="s">
        <v>30</v>
      </c>
      <c r="M1411">
        <v>0</v>
      </c>
      <c r="N1411">
        <v>1</v>
      </c>
      <c r="O1411" s="17">
        <v>50483</v>
      </c>
      <c r="Q1411">
        <f>45.5-14.5</f>
        <v>31</v>
      </c>
      <c r="R1411" t="s">
        <v>279</v>
      </c>
      <c r="S1411" t="s">
        <v>145</v>
      </c>
      <c r="T1411">
        <v>16</v>
      </c>
      <c r="W1411">
        <v>12.8</v>
      </c>
      <c r="X1411">
        <v>27.1</v>
      </c>
      <c r="Z1411" t="s">
        <v>32</v>
      </c>
      <c r="AB1411" t="s">
        <v>44</v>
      </c>
      <c r="AC1411" t="s">
        <v>122</v>
      </c>
    </row>
    <row r="1412" spans="1:30" x14ac:dyDescent="0.2">
      <c r="A1412" s="3">
        <v>42543</v>
      </c>
      <c r="B1412" t="s">
        <v>23</v>
      </c>
      <c r="C1412">
        <v>402</v>
      </c>
      <c r="D1412">
        <v>6</v>
      </c>
      <c r="E1412">
        <v>1</v>
      </c>
      <c r="F1412" t="s">
        <v>24</v>
      </c>
      <c r="G1412" t="s">
        <v>25</v>
      </c>
      <c r="H1412" t="s">
        <v>26</v>
      </c>
      <c r="I1412" t="s">
        <v>52</v>
      </c>
      <c r="J1412" t="s">
        <v>28</v>
      </c>
      <c r="K1412" t="s">
        <v>29</v>
      </c>
      <c r="L1412" t="s">
        <v>30</v>
      </c>
      <c r="M1412">
        <v>0</v>
      </c>
      <c r="N1412">
        <v>0</v>
      </c>
      <c r="O1412" s="17">
        <v>50483</v>
      </c>
      <c r="Q1412">
        <f>45-15.5</f>
        <v>29.5</v>
      </c>
      <c r="R1412" t="s">
        <v>279</v>
      </c>
      <c r="S1412" t="s">
        <v>145</v>
      </c>
      <c r="T1412">
        <v>17</v>
      </c>
      <c r="W1412">
        <v>13</v>
      </c>
      <c r="X1412">
        <v>27.2</v>
      </c>
      <c r="Z1412" t="s">
        <v>32</v>
      </c>
      <c r="AB1412" t="s">
        <v>282</v>
      </c>
      <c r="AC1412" t="s">
        <v>59</v>
      </c>
    </row>
    <row r="1413" spans="1:30" x14ac:dyDescent="0.2">
      <c r="A1413" s="3">
        <v>42570</v>
      </c>
      <c r="B1413" t="s">
        <v>23</v>
      </c>
      <c r="C1413">
        <v>402</v>
      </c>
      <c r="D1413">
        <v>6</v>
      </c>
      <c r="E1413">
        <v>1</v>
      </c>
      <c r="F1413" t="s">
        <v>24</v>
      </c>
      <c r="G1413" t="s">
        <v>25</v>
      </c>
      <c r="H1413" t="s">
        <v>26</v>
      </c>
      <c r="I1413" t="s">
        <v>52</v>
      </c>
      <c r="J1413" t="s">
        <v>28</v>
      </c>
      <c r="K1413" t="s">
        <v>29</v>
      </c>
      <c r="L1413" t="s">
        <v>30</v>
      </c>
      <c r="M1413">
        <v>0</v>
      </c>
      <c r="N1413">
        <v>0</v>
      </c>
      <c r="O1413" s="17">
        <v>50483</v>
      </c>
      <c r="R1413" t="s">
        <v>75</v>
      </c>
      <c r="S1413" t="s">
        <v>145</v>
      </c>
      <c r="Z1413" t="s">
        <v>145</v>
      </c>
      <c r="AB1413" t="s">
        <v>582</v>
      </c>
      <c r="AC1413" t="s">
        <v>59</v>
      </c>
    </row>
    <row r="1414" spans="1:30" x14ac:dyDescent="0.2">
      <c r="A1414" s="3">
        <v>42564</v>
      </c>
      <c r="B1414" t="s">
        <v>23</v>
      </c>
      <c r="C1414">
        <v>701</v>
      </c>
      <c r="D1414">
        <v>4</v>
      </c>
      <c r="E1414">
        <v>2</v>
      </c>
      <c r="F1414" t="s">
        <v>33</v>
      </c>
      <c r="G1414" t="s">
        <v>25</v>
      </c>
      <c r="H1414" t="s">
        <v>26</v>
      </c>
      <c r="I1414" t="s">
        <v>52</v>
      </c>
      <c r="J1414" t="s">
        <v>213</v>
      </c>
      <c r="K1414" t="s">
        <v>29</v>
      </c>
      <c r="L1414" t="s">
        <v>35</v>
      </c>
      <c r="M1414">
        <v>0</v>
      </c>
      <c r="N1414">
        <v>1</v>
      </c>
      <c r="O1414" s="17">
        <v>50504</v>
      </c>
      <c r="R1414" t="s">
        <v>39</v>
      </c>
      <c r="T1414">
        <v>17</v>
      </c>
      <c r="W1414">
        <v>12.3</v>
      </c>
      <c r="X1414">
        <v>27.3</v>
      </c>
      <c r="Z1414" t="s">
        <v>145</v>
      </c>
      <c r="AA1414" t="s">
        <v>544</v>
      </c>
      <c r="AB1414" t="s">
        <v>121</v>
      </c>
      <c r="AC1414" t="s">
        <v>122</v>
      </c>
      <c r="AD1414" t="s">
        <v>545</v>
      </c>
    </row>
    <row r="1415" spans="1:30" x14ac:dyDescent="0.2">
      <c r="A1415" s="3">
        <v>42576</v>
      </c>
      <c r="B1415" t="s">
        <v>23</v>
      </c>
      <c r="C1415">
        <v>703</v>
      </c>
      <c r="D1415">
        <v>1</v>
      </c>
      <c r="E1415">
        <v>1</v>
      </c>
      <c r="F1415" t="s">
        <v>66</v>
      </c>
      <c r="G1415" t="s">
        <v>25</v>
      </c>
      <c r="H1415" t="s">
        <v>26</v>
      </c>
      <c r="I1415" t="s">
        <v>52</v>
      </c>
      <c r="J1415" t="s">
        <v>28</v>
      </c>
      <c r="K1415" t="s">
        <v>29</v>
      </c>
      <c r="L1415" t="s">
        <v>35</v>
      </c>
      <c r="M1415">
        <v>0</v>
      </c>
      <c r="N1415">
        <v>0</v>
      </c>
      <c r="O1415" s="17">
        <v>50505</v>
      </c>
      <c r="P1415" s="17" t="s">
        <v>333</v>
      </c>
      <c r="Q1415">
        <v>20</v>
      </c>
      <c r="R1415" t="s">
        <v>39</v>
      </c>
      <c r="T1415">
        <v>18</v>
      </c>
      <c r="W1415">
        <v>13.8</v>
      </c>
      <c r="X1415">
        <v>30.2</v>
      </c>
      <c r="Z1415" t="s">
        <v>32</v>
      </c>
      <c r="AB1415" t="s">
        <v>121</v>
      </c>
      <c r="AC1415" t="s">
        <v>122</v>
      </c>
    </row>
    <row r="1416" spans="1:30" x14ac:dyDescent="0.2">
      <c r="A1416" s="3">
        <v>42574</v>
      </c>
      <c r="B1416" t="s">
        <v>23</v>
      </c>
      <c r="C1416">
        <v>703</v>
      </c>
      <c r="D1416">
        <v>6</v>
      </c>
      <c r="E1416">
        <v>2</v>
      </c>
      <c r="F1416" t="s">
        <v>24</v>
      </c>
      <c r="G1416" t="s">
        <v>25</v>
      </c>
      <c r="H1416" t="s">
        <v>26</v>
      </c>
      <c r="I1416" t="s">
        <v>52</v>
      </c>
      <c r="J1416" t="s">
        <v>28</v>
      </c>
      <c r="K1416" t="s">
        <v>29</v>
      </c>
      <c r="L1416" t="s">
        <v>30</v>
      </c>
      <c r="M1416">
        <v>0</v>
      </c>
      <c r="N1416">
        <v>0</v>
      </c>
      <c r="O1416" s="17">
        <v>50508</v>
      </c>
      <c r="Q1416">
        <f>35.5-13</f>
        <v>22.5</v>
      </c>
      <c r="R1416" t="s">
        <v>703</v>
      </c>
      <c r="S1416" t="s">
        <v>32</v>
      </c>
      <c r="T1416">
        <v>16</v>
      </c>
      <c r="W1416">
        <v>12.4</v>
      </c>
      <c r="X1416">
        <v>24.6</v>
      </c>
      <c r="Z1416" t="s">
        <v>145</v>
      </c>
      <c r="AB1416" t="s">
        <v>582</v>
      </c>
      <c r="AC1416" t="s">
        <v>59</v>
      </c>
    </row>
    <row r="1417" spans="1:30" x14ac:dyDescent="0.2">
      <c r="A1417" s="3">
        <v>42564</v>
      </c>
      <c r="B1417" t="s">
        <v>23</v>
      </c>
      <c r="C1417">
        <v>703</v>
      </c>
      <c r="D1417">
        <v>6</v>
      </c>
      <c r="E1417">
        <v>1</v>
      </c>
      <c r="F1417" t="s">
        <v>33</v>
      </c>
      <c r="G1417" t="s">
        <v>25</v>
      </c>
      <c r="H1417" t="s">
        <v>26</v>
      </c>
      <c r="I1417" t="s">
        <v>52</v>
      </c>
      <c r="J1417" t="s">
        <v>34</v>
      </c>
      <c r="K1417" t="s">
        <v>123</v>
      </c>
      <c r="L1417" t="s">
        <v>30</v>
      </c>
      <c r="M1417">
        <v>0</v>
      </c>
      <c r="N1417">
        <v>1</v>
      </c>
      <c r="O1417" s="17">
        <v>50509</v>
      </c>
      <c r="Q1417">
        <f>23-9</f>
        <v>14</v>
      </c>
      <c r="R1417" t="s">
        <v>31</v>
      </c>
      <c r="S1417" t="s">
        <v>32</v>
      </c>
      <c r="T1417">
        <v>16.5</v>
      </c>
      <c r="W1417">
        <v>11.9</v>
      </c>
      <c r="X1417">
        <v>12.2</v>
      </c>
      <c r="Z1417" t="s">
        <v>145</v>
      </c>
      <c r="AA1417" t="s">
        <v>260</v>
      </c>
      <c r="AB1417" t="s">
        <v>121</v>
      </c>
      <c r="AC1417" t="s">
        <v>122</v>
      </c>
      <c r="AD1417" t="s">
        <v>541</v>
      </c>
    </row>
    <row r="1418" spans="1:30" x14ac:dyDescent="0.2">
      <c r="A1418" s="3">
        <v>42575</v>
      </c>
      <c r="B1418" t="s">
        <v>23</v>
      </c>
      <c r="C1418">
        <v>703</v>
      </c>
      <c r="D1418">
        <v>5</v>
      </c>
      <c r="E1418">
        <v>2</v>
      </c>
      <c r="F1418" t="s">
        <v>24</v>
      </c>
      <c r="G1418" t="s">
        <v>25</v>
      </c>
      <c r="H1418" t="s">
        <v>26</v>
      </c>
      <c r="I1418" t="s">
        <v>52</v>
      </c>
      <c r="J1418" t="s">
        <v>28</v>
      </c>
      <c r="K1418" t="s">
        <v>29</v>
      </c>
      <c r="L1418" t="s">
        <v>30</v>
      </c>
      <c r="M1418">
        <v>0</v>
      </c>
      <c r="N1418">
        <v>0</v>
      </c>
      <c r="O1418" s="17">
        <v>50509</v>
      </c>
      <c r="Q1418">
        <f>32-9.5</f>
        <v>22.5</v>
      </c>
      <c r="R1418" t="s">
        <v>91</v>
      </c>
      <c r="S1418" t="s">
        <v>32</v>
      </c>
      <c r="T1418">
        <v>15</v>
      </c>
      <c r="W1418">
        <v>12.4</v>
      </c>
      <c r="X1418">
        <v>25</v>
      </c>
      <c r="Z1418" t="s">
        <v>145</v>
      </c>
      <c r="AB1418" t="s">
        <v>582</v>
      </c>
      <c r="AC1418" t="s">
        <v>59</v>
      </c>
    </row>
    <row r="1419" spans="1:30" x14ac:dyDescent="0.2">
      <c r="A1419" s="3">
        <v>42563</v>
      </c>
      <c r="B1419" t="s">
        <v>23</v>
      </c>
      <c r="C1419">
        <v>801</v>
      </c>
      <c r="D1419">
        <v>5</v>
      </c>
      <c r="E1419">
        <v>2</v>
      </c>
      <c r="F1419" t="s">
        <v>33</v>
      </c>
      <c r="G1419" t="s">
        <v>25</v>
      </c>
      <c r="H1419" t="s">
        <v>26</v>
      </c>
      <c r="I1419" t="s">
        <v>52</v>
      </c>
      <c r="J1419" t="s">
        <v>34</v>
      </c>
      <c r="K1419" t="s">
        <v>29</v>
      </c>
      <c r="L1419" t="s">
        <v>30</v>
      </c>
      <c r="M1419">
        <v>0</v>
      </c>
      <c r="N1419">
        <v>1</v>
      </c>
      <c r="O1419" s="17">
        <v>50513</v>
      </c>
      <c r="Q1419">
        <f>34.5-9</f>
        <v>25.5</v>
      </c>
      <c r="R1419" t="s">
        <v>273</v>
      </c>
      <c r="S1419" t="s">
        <v>145</v>
      </c>
      <c r="T1419">
        <v>17</v>
      </c>
      <c r="W1419">
        <v>13.1</v>
      </c>
      <c r="X1419">
        <v>27.1</v>
      </c>
      <c r="Z1419" t="s">
        <v>32</v>
      </c>
      <c r="AB1419" t="s">
        <v>53</v>
      </c>
      <c r="AC1419" t="s">
        <v>122</v>
      </c>
    </row>
    <row r="1420" spans="1:30" x14ac:dyDescent="0.2">
      <c r="A1420" s="3">
        <v>42564</v>
      </c>
      <c r="B1420" t="s">
        <v>23</v>
      </c>
      <c r="C1420">
        <v>801</v>
      </c>
      <c r="D1420">
        <v>3</v>
      </c>
      <c r="E1420">
        <v>2</v>
      </c>
      <c r="F1420" t="s">
        <v>33</v>
      </c>
      <c r="G1420" t="s">
        <v>25</v>
      </c>
      <c r="H1420" t="s">
        <v>26</v>
      </c>
      <c r="I1420" t="s">
        <v>52</v>
      </c>
      <c r="J1420" t="s">
        <v>28</v>
      </c>
      <c r="K1420" t="s">
        <v>29</v>
      </c>
      <c r="L1420" t="s">
        <v>30</v>
      </c>
      <c r="M1420">
        <v>0</v>
      </c>
      <c r="N1420">
        <v>0</v>
      </c>
      <c r="O1420" s="17">
        <v>50513</v>
      </c>
      <c r="Q1420">
        <f>31-9</f>
        <v>22</v>
      </c>
      <c r="R1420" t="s">
        <v>273</v>
      </c>
      <c r="S1420" t="s">
        <v>145</v>
      </c>
      <c r="T1420">
        <v>17</v>
      </c>
      <c r="W1420">
        <v>12.2</v>
      </c>
      <c r="X1420">
        <v>27.4</v>
      </c>
      <c r="Z1420" t="s">
        <v>32</v>
      </c>
      <c r="AB1420" t="s">
        <v>121</v>
      </c>
      <c r="AC1420" t="s">
        <v>122</v>
      </c>
    </row>
    <row r="1421" spans="1:30" x14ac:dyDescent="0.2">
      <c r="A1421" s="3">
        <v>42565</v>
      </c>
      <c r="B1421" t="s">
        <v>23</v>
      </c>
      <c r="C1421">
        <v>801</v>
      </c>
      <c r="D1421">
        <v>2</v>
      </c>
      <c r="E1421">
        <v>2</v>
      </c>
      <c r="F1421" t="s">
        <v>33</v>
      </c>
      <c r="G1421" t="s">
        <v>25</v>
      </c>
      <c r="H1421" t="s">
        <v>26</v>
      </c>
      <c r="I1421" t="s">
        <v>52</v>
      </c>
      <c r="J1421" t="s">
        <v>28</v>
      </c>
      <c r="K1421" t="s">
        <v>29</v>
      </c>
      <c r="L1421" t="s">
        <v>30</v>
      </c>
      <c r="M1421">
        <v>0</v>
      </c>
      <c r="N1421">
        <v>0</v>
      </c>
      <c r="O1421" s="17">
        <v>50513</v>
      </c>
      <c r="Q1421">
        <v>22</v>
      </c>
      <c r="R1421" t="s">
        <v>273</v>
      </c>
      <c r="S1421" t="s">
        <v>145</v>
      </c>
      <c r="T1421">
        <v>17</v>
      </c>
      <c r="W1421">
        <v>12.8</v>
      </c>
      <c r="X1421">
        <v>28.7</v>
      </c>
      <c r="Z1421" t="s">
        <v>32</v>
      </c>
      <c r="AB1421" t="s">
        <v>121</v>
      </c>
      <c r="AC1421" t="s">
        <v>254</v>
      </c>
    </row>
    <row r="1422" spans="1:30" x14ac:dyDescent="0.2">
      <c r="A1422" s="3">
        <v>42563</v>
      </c>
      <c r="B1422" t="s">
        <v>23</v>
      </c>
      <c r="C1422">
        <v>801</v>
      </c>
      <c r="D1422">
        <v>3</v>
      </c>
      <c r="E1422">
        <v>2</v>
      </c>
      <c r="F1422" t="s">
        <v>33</v>
      </c>
      <c r="G1422" t="s">
        <v>25</v>
      </c>
      <c r="H1422" t="s">
        <v>26</v>
      </c>
      <c r="I1422" t="s">
        <v>52</v>
      </c>
      <c r="J1422" t="s">
        <v>34</v>
      </c>
      <c r="K1422" t="s">
        <v>29</v>
      </c>
      <c r="L1422" t="s">
        <v>35</v>
      </c>
      <c r="M1422">
        <v>0</v>
      </c>
      <c r="N1422">
        <v>1</v>
      </c>
      <c r="O1422" s="17">
        <v>50514</v>
      </c>
      <c r="Q1422">
        <f>24-9</f>
        <v>15</v>
      </c>
      <c r="R1422" t="s">
        <v>39</v>
      </c>
      <c r="Z1422" t="s">
        <v>32</v>
      </c>
      <c r="AB1422" t="s">
        <v>53</v>
      </c>
      <c r="AC1422" t="s">
        <v>122</v>
      </c>
    </row>
    <row r="1423" spans="1:30" x14ac:dyDescent="0.2">
      <c r="A1423" s="3">
        <v>42564</v>
      </c>
      <c r="B1423" t="s">
        <v>23</v>
      </c>
      <c r="C1423">
        <v>801</v>
      </c>
      <c r="D1423">
        <v>2</v>
      </c>
      <c r="E1423">
        <v>1</v>
      </c>
      <c r="F1423" t="s">
        <v>33</v>
      </c>
      <c r="G1423" t="s">
        <v>25</v>
      </c>
      <c r="H1423" t="s">
        <v>26</v>
      </c>
      <c r="I1423" t="s">
        <v>52</v>
      </c>
      <c r="J1423" t="s">
        <v>28</v>
      </c>
      <c r="K1423" t="s">
        <v>29</v>
      </c>
      <c r="L1423" t="s">
        <v>35</v>
      </c>
      <c r="M1423">
        <v>0</v>
      </c>
      <c r="N1423">
        <v>0</v>
      </c>
      <c r="O1423" s="17">
        <v>50514</v>
      </c>
      <c r="Q1423">
        <f>28-11</f>
        <v>17</v>
      </c>
      <c r="T1423">
        <v>17</v>
      </c>
      <c r="W1423">
        <v>11.1</v>
      </c>
      <c r="Z1423" t="s">
        <v>32</v>
      </c>
      <c r="AB1423" t="s">
        <v>121</v>
      </c>
      <c r="AC1423" t="s">
        <v>122</v>
      </c>
    </row>
    <row r="1424" spans="1:30" x14ac:dyDescent="0.2">
      <c r="A1424" s="3">
        <v>42565</v>
      </c>
      <c r="B1424" t="s">
        <v>23</v>
      </c>
      <c r="C1424">
        <v>801</v>
      </c>
      <c r="D1424">
        <v>3</v>
      </c>
      <c r="E1424">
        <v>2</v>
      </c>
      <c r="F1424" t="s">
        <v>33</v>
      </c>
      <c r="G1424" t="s">
        <v>25</v>
      </c>
      <c r="H1424" t="s">
        <v>26</v>
      </c>
      <c r="I1424" t="s">
        <v>52</v>
      </c>
      <c r="J1424" t="s">
        <v>28</v>
      </c>
      <c r="K1424" t="s">
        <v>29</v>
      </c>
      <c r="L1424" t="s">
        <v>35</v>
      </c>
      <c r="M1424">
        <v>0</v>
      </c>
      <c r="N1424">
        <v>0</v>
      </c>
      <c r="O1424" s="17">
        <v>50514</v>
      </c>
      <c r="Q1424">
        <f>28-11</f>
        <v>17</v>
      </c>
      <c r="R1424" t="s">
        <v>39</v>
      </c>
      <c r="T1424">
        <v>16</v>
      </c>
      <c r="W1424">
        <v>12.2</v>
      </c>
      <c r="X1424">
        <v>24.8</v>
      </c>
      <c r="Z1424" t="s">
        <v>32</v>
      </c>
      <c r="AB1424" t="s">
        <v>121</v>
      </c>
      <c r="AC1424" t="s">
        <v>254</v>
      </c>
    </row>
    <row r="1425" spans="1:30" x14ac:dyDescent="0.2">
      <c r="A1425" s="3">
        <v>42563</v>
      </c>
      <c r="B1425" t="s">
        <v>23</v>
      </c>
      <c r="C1425">
        <v>701</v>
      </c>
      <c r="D1425">
        <v>8</v>
      </c>
      <c r="E1425">
        <v>1</v>
      </c>
      <c r="F1425" t="s">
        <v>33</v>
      </c>
      <c r="G1425" t="s">
        <v>25</v>
      </c>
      <c r="H1425" t="s">
        <v>26</v>
      </c>
      <c r="I1425" t="s">
        <v>52</v>
      </c>
      <c r="J1425" t="s">
        <v>34</v>
      </c>
      <c r="K1425" t="s">
        <v>29</v>
      </c>
      <c r="L1425" t="s">
        <v>35</v>
      </c>
      <c r="M1425">
        <v>0</v>
      </c>
      <c r="N1425">
        <v>1</v>
      </c>
      <c r="O1425" s="17">
        <v>50515</v>
      </c>
      <c r="Q1425">
        <f>28-9</f>
        <v>19</v>
      </c>
      <c r="R1425" t="s">
        <v>39</v>
      </c>
      <c r="T1425">
        <v>18</v>
      </c>
      <c r="W1425">
        <v>12.8</v>
      </c>
      <c r="X1425">
        <v>28.8</v>
      </c>
      <c r="Z1425" t="s">
        <v>145</v>
      </c>
      <c r="AA1425" t="s">
        <v>514</v>
      </c>
      <c r="AB1425" t="s">
        <v>53</v>
      </c>
      <c r="AC1425" t="s">
        <v>122</v>
      </c>
    </row>
    <row r="1426" spans="1:30" x14ac:dyDescent="0.2">
      <c r="A1426" s="3">
        <v>42564</v>
      </c>
      <c r="B1426" t="s">
        <v>23</v>
      </c>
      <c r="C1426">
        <v>701</v>
      </c>
      <c r="D1426">
        <v>2</v>
      </c>
      <c r="E1426">
        <v>2</v>
      </c>
      <c r="F1426" t="s">
        <v>33</v>
      </c>
      <c r="G1426" t="s">
        <v>25</v>
      </c>
      <c r="H1426" t="s">
        <v>26</v>
      </c>
      <c r="I1426" t="s">
        <v>52</v>
      </c>
      <c r="J1426" t="s">
        <v>28</v>
      </c>
      <c r="K1426" t="s">
        <v>29</v>
      </c>
      <c r="L1426" t="s">
        <v>35</v>
      </c>
      <c r="M1426">
        <v>0</v>
      </c>
      <c r="N1426">
        <v>0</v>
      </c>
      <c r="O1426" s="17">
        <v>50515</v>
      </c>
      <c r="Q1426">
        <v>21</v>
      </c>
      <c r="R1426" t="s">
        <v>39</v>
      </c>
      <c r="T1426">
        <v>17.5</v>
      </c>
      <c r="W1426">
        <v>12.8</v>
      </c>
      <c r="X1426">
        <v>27.4</v>
      </c>
      <c r="Z1426" t="s">
        <v>145</v>
      </c>
      <c r="AA1426" t="s">
        <v>543</v>
      </c>
      <c r="AB1426" t="s">
        <v>121</v>
      </c>
      <c r="AC1426" t="s">
        <v>122</v>
      </c>
    </row>
    <row r="1427" spans="1:30" x14ac:dyDescent="0.2">
      <c r="A1427" s="3">
        <v>42565</v>
      </c>
      <c r="B1427" t="s">
        <v>23</v>
      </c>
      <c r="C1427">
        <v>701</v>
      </c>
      <c r="D1427">
        <v>2</v>
      </c>
      <c r="E1427">
        <v>1</v>
      </c>
      <c r="F1427" t="s">
        <v>33</v>
      </c>
      <c r="G1427" t="s">
        <v>25</v>
      </c>
      <c r="H1427" t="s">
        <v>26</v>
      </c>
      <c r="I1427" t="s">
        <v>52</v>
      </c>
      <c r="J1427" t="s">
        <v>28</v>
      </c>
      <c r="K1427" t="s">
        <v>29</v>
      </c>
      <c r="L1427" t="s">
        <v>35</v>
      </c>
      <c r="M1427">
        <v>0</v>
      </c>
      <c r="N1427">
        <v>0</v>
      </c>
      <c r="O1427" s="17">
        <v>50515</v>
      </c>
      <c r="Q1427">
        <f>30.5-10</f>
        <v>20.5</v>
      </c>
      <c r="R1427" t="s">
        <v>39</v>
      </c>
      <c r="T1427">
        <v>19</v>
      </c>
      <c r="W1427">
        <v>12.5</v>
      </c>
      <c r="X1427">
        <v>27.4</v>
      </c>
      <c r="Z1427" t="s">
        <v>145</v>
      </c>
      <c r="AA1427" t="s">
        <v>591</v>
      </c>
      <c r="AB1427" t="s">
        <v>121</v>
      </c>
      <c r="AC1427" t="s">
        <v>254</v>
      </c>
      <c r="AD1427" t="s">
        <v>592</v>
      </c>
    </row>
    <row r="1428" spans="1:30" x14ac:dyDescent="0.2">
      <c r="A1428" s="3">
        <v>42575</v>
      </c>
      <c r="B1428" t="s">
        <v>23</v>
      </c>
      <c r="C1428" s="4">
        <v>701</v>
      </c>
      <c r="D1428">
        <v>8</v>
      </c>
      <c r="E1428">
        <v>2</v>
      </c>
      <c r="F1428" t="s">
        <v>24</v>
      </c>
      <c r="G1428" t="s">
        <v>25</v>
      </c>
      <c r="H1428" t="s">
        <v>26</v>
      </c>
      <c r="I1428" t="s">
        <v>52</v>
      </c>
      <c r="J1428" t="s">
        <v>28</v>
      </c>
      <c r="K1428" t="s">
        <v>29</v>
      </c>
      <c r="L1428" t="s">
        <v>35</v>
      </c>
      <c r="M1428">
        <v>0</v>
      </c>
      <c r="N1428">
        <v>0</v>
      </c>
      <c r="O1428" s="17">
        <v>50515</v>
      </c>
      <c r="Q1428">
        <f>34-12</f>
        <v>22</v>
      </c>
      <c r="R1428" t="s">
        <v>39</v>
      </c>
      <c r="T1428">
        <v>17</v>
      </c>
      <c r="W1428">
        <v>12.8</v>
      </c>
      <c r="X1428">
        <v>26.2</v>
      </c>
      <c r="Z1428" t="s">
        <v>145</v>
      </c>
      <c r="AB1428" t="s">
        <v>582</v>
      </c>
      <c r="AC1428" t="s">
        <v>59</v>
      </c>
      <c r="AD1428" t="s">
        <v>741</v>
      </c>
    </row>
    <row r="1429" spans="1:30" x14ac:dyDescent="0.2">
      <c r="A1429" s="3">
        <v>42556</v>
      </c>
      <c r="B1429" t="s">
        <v>23</v>
      </c>
      <c r="C1429">
        <v>402</v>
      </c>
      <c r="D1429">
        <v>1</v>
      </c>
      <c r="E1429">
        <v>1</v>
      </c>
      <c r="F1429" t="s">
        <v>33</v>
      </c>
      <c r="G1429" t="s">
        <v>25</v>
      </c>
      <c r="H1429" t="s">
        <v>26</v>
      </c>
      <c r="I1429" t="s">
        <v>52</v>
      </c>
      <c r="J1429" t="s">
        <v>34</v>
      </c>
      <c r="K1429" t="s">
        <v>29</v>
      </c>
      <c r="L1429" t="s">
        <v>30</v>
      </c>
      <c r="M1429">
        <v>0</v>
      </c>
      <c r="N1429">
        <v>1</v>
      </c>
      <c r="O1429" s="17">
        <v>50526</v>
      </c>
      <c r="Q1429">
        <f>40-9</f>
        <v>31</v>
      </c>
      <c r="R1429" t="s">
        <v>192</v>
      </c>
      <c r="S1429" t="s">
        <v>32</v>
      </c>
      <c r="Z1429" t="s">
        <v>32</v>
      </c>
      <c r="AB1429" t="s">
        <v>53</v>
      </c>
      <c r="AC1429" t="s">
        <v>59</v>
      </c>
    </row>
    <row r="1430" spans="1:30" x14ac:dyDescent="0.2">
      <c r="A1430" s="3">
        <v>42557</v>
      </c>
      <c r="B1430" t="s">
        <v>23</v>
      </c>
      <c r="C1430">
        <v>402</v>
      </c>
      <c r="D1430">
        <v>2</v>
      </c>
      <c r="E1430">
        <v>1</v>
      </c>
      <c r="F1430" t="s">
        <v>33</v>
      </c>
      <c r="G1430" t="s">
        <v>25</v>
      </c>
      <c r="H1430" t="s">
        <v>26</v>
      </c>
      <c r="I1430" t="s">
        <v>52</v>
      </c>
      <c r="J1430" t="s">
        <v>28</v>
      </c>
      <c r="K1430" t="s">
        <v>29</v>
      </c>
      <c r="L1430" t="s">
        <v>30</v>
      </c>
      <c r="M1430">
        <v>0</v>
      </c>
      <c r="N1430">
        <v>0</v>
      </c>
      <c r="O1430" s="17">
        <v>50528</v>
      </c>
      <c r="Q1430">
        <v>29</v>
      </c>
      <c r="R1430" t="s">
        <v>192</v>
      </c>
      <c r="S1430" t="s">
        <v>32</v>
      </c>
      <c r="T1430">
        <v>18</v>
      </c>
      <c r="W1430">
        <v>12.6</v>
      </c>
      <c r="X1430">
        <v>29.1</v>
      </c>
      <c r="Z1430" t="s">
        <v>32</v>
      </c>
      <c r="AB1430" t="s">
        <v>44</v>
      </c>
      <c r="AC1430" t="s">
        <v>122</v>
      </c>
    </row>
    <row r="1431" spans="1:30" x14ac:dyDescent="0.2">
      <c r="A1431" s="3">
        <v>42551</v>
      </c>
      <c r="B1431" t="s">
        <v>23</v>
      </c>
      <c r="C1431">
        <v>303</v>
      </c>
      <c r="D1431">
        <v>5</v>
      </c>
      <c r="E1431">
        <v>2</v>
      </c>
      <c r="F1431" t="s">
        <v>33</v>
      </c>
      <c r="G1431" t="s">
        <v>25</v>
      </c>
      <c r="H1431" t="s">
        <v>26</v>
      </c>
      <c r="I1431" t="s">
        <v>52</v>
      </c>
      <c r="J1431" t="s">
        <v>34</v>
      </c>
      <c r="K1431" t="s">
        <v>29</v>
      </c>
      <c r="L1431" t="s">
        <v>35</v>
      </c>
      <c r="M1431">
        <v>0</v>
      </c>
      <c r="N1431">
        <v>1</v>
      </c>
      <c r="O1431" s="17">
        <v>50548</v>
      </c>
      <c r="Q1431">
        <f>39-11.5</f>
        <v>27.5</v>
      </c>
      <c r="R1431" t="s">
        <v>39</v>
      </c>
      <c r="T1431">
        <v>19</v>
      </c>
      <c r="Z1431" t="s">
        <v>32</v>
      </c>
      <c r="AB1431" t="s">
        <v>44</v>
      </c>
      <c r="AC1431" t="s">
        <v>59</v>
      </c>
    </row>
    <row r="1432" spans="1:30" x14ac:dyDescent="0.2">
      <c r="A1432" s="3">
        <v>42558</v>
      </c>
      <c r="B1432" t="s">
        <v>23</v>
      </c>
      <c r="C1432">
        <v>112</v>
      </c>
      <c r="D1432">
        <v>6</v>
      </c>
      <c r="E1432">
        <v>2</v>
      </c>
      <c r="F1432" t="s">
        <v>33</v>
      </c>
      <c r="G1432" t="s">
        <v>25</v>
      </c>
      <c r="H1432" t="s">
        <v>26</v>
      </c>
      <c r="I1432" t="s">
        <v>52</v>
      </c>
      <c r="J1432" t="s">
        <v>34</v>
      </c>
      <c r="K1432" t="s">
        <v>123</v>
      </c>
      <c r="L1432" t="s">
        <v>35</v>
      </c>
      <c r="M1432">
        <v>0</v>
      </c>
      <c r="N1432">
        <v>1</v>
      </c>
      <c r="O1432" s="17">
        <v>50575</v>
      </c>
      <c r="Q1432">
        <f>27-12</f>
        <v>15</v>
      </c>
      <c r="R1432" t="s">
        <v>63</v>
      </c>
      <c r="T1432">
        <v>18</v>
      </c>
      <c r="W1432">
        <v>12.3</v>
      </c>
      <c r="X1432">
        <v>27.3</v>
      </c>
      <c r="Z1432" t="s">
        <v>32</v>
      </c>
      <c r="AB1432" t="s">
        <v>121</v>
      </c>
      <c r="AC1432" t="s">
        <v>254</v>
      </c>
    </row>
    <row r="1433" spans="1:30" x14ac:dyDescent="0.2">
      <c r="A1433" s="3">
        <v>42565</v>
      </c>
      <c r="B1433" t="s">
        <v>23</v>
      </c>
      <c r="C1433">
        <v>503</v>
      </c>
      <c r="D1433">
        <v>6</v>
      </c>
      <c r="E1433">
        <v>1</v>
      </c>
      <c r="F1433" t="s">
        <v>24</v>
      </c>
      <c r="G1433" t="s">
        <v>25</v>
      </c>
      <c r="H1433" t="s">
        <v>26</v>
      </c>
      <c r="I1433" t="s">
        <v>52</v>
      </c>
      <c r="J1433" t="s">
        <v>28</v>
      </c>
      <c r="K1433" t="s">
        <v>29</v>
      </c>
      <c r="L1433" t="s">
        <v>35</v>
      </c>
      <c r="M1433">
        <v>0</v>
      </c>
      <c r="N1433">
        <v>0</v>
      </c>
      <c r="O1433" s="17">
        <v>50578</v>
      </c>
      <c r="Q1433">
        <v>28</v>
      </c>
      <c r="R1433" t="s">
        <v>63</v>
      </c>
      <c r="Z1433" t="s">
        <v>32</v>
      </c>
      <c r="AB1433" t="s">
        <v>489</v>
      </c>
      <c r="AC1433" t="s">
        <v>254</v>
      </c>
    </row>
    <row r="1434" spans="1:30" x14ac:dyDescent="0.2">
      <c r="A1434" s="3">
        <v>42535</v>
      </c>
      <c r="B1434" t="s">
        <v>23</v>
      </c>
      <c r="C1434">
        <v>503</v>
      </c>
      <c r="D1434">
        <v>7</v>
      </c>
      <c r="E1434">
        <v>1</v>
      </c>
      <c r="F1434" t="s">
        <v>24</v>
      </c>
      <c r="G1434" t="s">
        <v>25</v>
      </c>
      <c r="H1434" t="s">
        <v>26</v>
      </c>
      <c r="I1434" t="s">
        <v>52</v>
      </c>
      <c r="J1434" t="s">
        <v>34</v>
      </c>
      <c r="K1434" t="s">
        <v>187</v>
      </c>
      <c r="L1434" t="s">
        <v>35</v>
      </c>
      <c r="M1434">
        <v>0</v>
      </c>
      <c r="N1434">
        <v>1</v>
      </c>
      <c r="O1434" s="17">
        <v>50579</v>
      </c>
      <c r="Q1434">
        <f>44-16</f>
        <v>28</v>
      </c>
      <c r="R1434" t="s">
        <v>39</v>
      </c>
      <c r="S1434" t="s">
        <v>32</v>
      </c>
      <c r="T1434">
        <v>17</v>
      </c>
      <c r="W1434">
        <v>12.7</v>
      </c>
      <c r="X1434">
        <v>29.5</v>
      </c>
      <c r="Z1434" t="s">
        <v>32</v>
      </c>
      <c r="AB1434" t="s">
        <v>44</v>
      </c>
      <c r="AC1434" t="s">
        <v>116</v>
      </c>
    </row>
    <row r="1435" spans="1:30" x14ac:dyDescent="0.2">
      <c r="A1435" s="3">
        <v>42537</v>
      </c>
      <c r="B1435" t="s">
        <v>23</v>
      </c>
      <c r="C1435">
        <v>503</v>
      </c>
      <c r="D1435">
        <v>10</v>
      </c>
      <c r="E1435">
        <v>2</v>
      </c>
      <c r="F1435" t="s">
        <v>24</v>
      </c>
      <c r="G1435" t="s">
        <v>25</v>
      </c>
      <c r="H1435" t="s">
        <v>26</v>
      </c>
      <c r="I1435" t="s">
        <v>52</v>
      </c>
      <c r="J1435" t="s">
        <v>28</v>
      </c>
      <c r="K1435" t="s">
        <v>187</v>
      </c>
      <c r="L1435" t="s">
        <v>35</v>
      </c>
      <c r="M1435">
        <v>0</v>
      </c>
      <c r="N1435">
        <v>0</v>
      </c>
      <c r="O1435" s="17">
        <v>50579</v>
      </c>
      <c r="Q1435">
        <f>41-13</f>
        <v>28</v>
      </c>
      <c r="R1435" t="s">
        <v>39</v>
      </c>
      <c r="T1435">
        <v>15.5</v>
      </c>
      <c r="W1435">
        <v>12.6</v>
      </c>
      <c r="X1435">
        <v>28.7</v>
      </c>
      <c r="Z1435" t="s">
        <v>32</v>
      </c>
      <c r="AB1435" t="s">
        <v>44</v>
      </c>
      <c r="AC1435" t="s">
        <v>122</v>
      </c>
    </row>
    <row r="1436" spans="1:30" x14ac:dyDescent="0.2">
      <c r="A1436" s="3">
        <v>42550</v>
      </c>
      <c r="B1436" t="s">
        <v>23</v>
      </c>
      <c r="C1436">
        <v>503</v>
      </c>
      <c r="D1436">
        <v>7</v>
      </c>
      <c r="E1436">
        <v>1</v>
      </c>
      <c r="F1436" t="s">
        <v>33</v>
      </c>
      <c r="G1436" t="s">
        <v>25</v>
      </c>
      <c r="H1436" t="s">
        <v>26</v>
      </c>
      <c r="I1436" t="s">
        <v>52</v>
      </c>
      <c r="J1436" t="s">
        <v>28</v>
      </c>
      <c r="K1436" t="s">
        <v>29</v>
      </c>
      <c r="L1436" t="s">
        <v>35</v>
      </c>
      <c r="M1436">
        <v>0</v>
      </c>
      <c r="N1436">
        <v>0</v>
      </c>
      <c r="O1436" s="17">
        <v>50579</v>
      </c>
      <c r="Q1436">
        <f>40-12</f>
        <v>28</v>
      </c>
      <c r="R1436" t="s">
        <v>39</v>
      </c>
      <c r="T1436">
        <v>17</v>
      </c>
      <c r="Z1436" t="s">
        <v>32</v>
      </c>
      <c r="AB1436" t="s">
        <v>121</v>
      </c>
      <c r="AC1436" t="s">
        <v>59</v>
      </c>
    </row>
    <row r="1437" spans="1:30" x14ac:dyDescent="0.2">
      <c r="A1437" s="3">
        <v>42551</v>
      </c>
      <c r="B1437" t="s">
        <v>23</v>
      </c>
      <c r="C1437">
        <v>503</v>
      </c>
      <c r="D1437">
        <v>10</v>
      </c>
      <c r="E1437">
        <v>2</v>
      </c>
      <c r="F1437" t="s">
        <v>33</v>
      </c>
      <c r="G1437" t="s">
        <v>25</v>
      </c>
      <c r="H1437" t="s">
        <v>26</v>
      </c>
      <c r="I1437" t="s">
        <v>52</v>
      </c>
      <c r="J1437" t="s">
        <v>28</v>
      </c>
      <c r="K1437" t="s">
        <v>29</v>
      </c>
      <c r="L1437" t="s">
        <v>35</v>
      </c>
      <c r="M1437">
        <v>0</v>
      </c>
      <c r="N1437">
        <v>0</v>
      </c>
      <c r="O1437" s="17">
        <v>50579</v>
      </c>
      <c r="Q1437">
        <f>37-12</f>
        <v>25</v>
      </c>
      <c r="R1437" t="s">
        <v>39</v>
      </c>
      <c r="T1437">
        <v>17</v>
      </c>
      <c r="X1437">
        <v>27.2</v>
      </c>
      <c r="Z1437" t="s">
        <v>32</v>
      </c>
      <c r="AB1437" t="s">
        <v>44</v>
      </c>
      <c r="AC1437" t="s">
        <v>59</v>
      </c>
    </row>
    <row r="1438" spans="1:30" x14ac:dyDescent="0.2">
      <c r="A1438" s="3">
        <v>42563</v>
      </c>
      <c r="B1438" t="s">
        <v>23</v>
      </c>
      <c r="C1438">
        <v>503</v>
      </c>
      <c r="D1438">
        <v>10</v>
      </c>
      <c r="E1438">
        <v>2</v>
      </c>
      <c r="F1438" t="s">
        <v>24</v>
      </c>
      <c r="G1438" t="s">
        <v>25</v>
      </c>
      <c r="H1438" t="s">
        <v>26</v>
      </c>
      <c r="I1438" t="s">
        <v>52</v>
      </c>
      <c r="J1438" t="s">
        <v>28</v>
      </c>
      <c r="K1438" t="s">
        <v>29</v>
      </c>
      <c r="L1438" t="s">
        <v>35</v>
      </c>
      <c r="M1438">
        <v>0</v>
      </c>
      <c r="N1438">
        <v>0</v>
      </c>
      <c r="O1438" s="17">
        <v>50579</v>
      </c>
      <c r="Q1438">
        <f>40-11</f>
        <v>29</v>
      </c>
      <c r="R1438" t="s">
        <v>39</v>
      </c>
      <c r="T1438">
        <v>17</v>
      </c>
      <c r="W1438">
        <v>13.3</v>
      </c>
      <c r="X1438">
        <v>25.7</v>
      </c>
      <c r="Z1438" t="s">
        <v>32</v>
      </c>
      <c r="AB1438" t="s">
        <v>53</v>
      </c>
      <c r="AC1438" t="s">
        <v>122</v>
      </c>
    </row>
    <row r="1439" spans="1:30" x14ac:dyDescent="0.2">
      <c r="A1439" s="3">
        <v>42564</v>
      </c>
      <c r="B1439" t="s">
        <v>23</v>
      </c>
      <c r="C1439">
        <v>503</v>
      </c>
      <c r="D1439">
        <v>1</v>
      </c>
      <c r="E1439">
        <v>2</v>
      </c>
      <c r="F1439" t="s">
        <v>24</v>
      </c>
      <c r="G1439" t="s">
        <v>25</v>
      </c>
      <c r="H1439" t="s">
        <v>26</v>
      </c>
      <c r="I1439" t="s">
        <v>52</v>
      </c>
      <c r="J1439" t="s">
        <v>28</v>
      </c>
      <c r="K1439" t="s">
        <v>29</v>
      </c>
      <c r="L1439" t="s">
        <v>35</v>
      </c>
      <c r="M1439">
        <v>0</v>
      </c>
      <c r="N1439">
        <v>0</v>
      </c>
      <c r="O1439" s="17">
        <v>50579</v>
      </c>
      <c r="Q1439">
        <v>29</v>
      </c>
      <c r="R1439" t="s">
        <v>39</v>
      </c>
      <c r="Z1439" t="s">
        <v>32</v>
      </c>
    </row>
    <row r="1440" spans="1:30" x14ac:dyDescent="0.2">
      <c r="A1440" s="3">
        <v>42574</v>
      </c>
      <c r="B1440" t="s">
        <v>23</v>
      </c>
      <c r="C1440">
        <v>503</v>
      </c>
      <c r="D1440">
        <v>1</v>
      </c>
      <c r="E1440">
        <v>1</v>
      </c>
      <c r="F1440" t="s">
        <v>33</v>
      </c>
      <c r="G1440" t="s">
        <v>25</v>
      </c>
      <c r="H1440" t="s">
        <v>26</v>
      </c>
      <c r="I1440" t="s">
        <v>52</v>
      </c>
      <c r="J1440" t="s">
        <v>28</v>
      </c>
      <c r="K1440" t="s">
        <v>29</v>
      </c>
      <c r="L1440" t="s">
        <v>35</v>
      </c>
      <c r="M1440">
        <v>0</v>
      </c>
      <c r="N1440">
        <v>0</v>
      </c>
      <c r="O1440" s="17">
        <v>50579</v>
      </c>
      <c r="Q1440">
        <f>37.5-10</f>
        <v>27.5</v>
      </c>
      <c r="R1440" t="s">
        <v>39</v>
      </c>
      <c r="T1440">
        <v>17</v>
      </c>
      <c r="W1440">
        <v>12.9</v>
      </c>
      <c r="X1440">
        <v>27</v>
      </c>
      <c r="Z1440" t="s">
        <v>145</v>
      </c>
      <c r="AA1440" t="s">
        <v>655</v>
      </c>
      <c r="AB1440" t="s">
        <v>122</v>
      </c>
      <c r="AC1440" t="s">
        <v>121</v>
      </c>
    </row>
    <row r="1441" spans="1:30" x14ac:dyDescent="0.2">
      <c r="A1441" s="3">
        <v>42575</v>
      </c>
      <c r="B1441" t="s">
        <v>23</v>
      </c>
      <c r="C1441">
        <v>503</v>
      </c>
      <c r="D1441">
        <v>2</v>
      </c>
      <c r="E1441">
        <v>2</v>
      </c>
      <c r="F1441" t="s">
        <v>33</v>
      </c>
      <c r="G1441" t="s">
        <v>25</v>
      </c>
      <c r="H1441" t="s">
        <v>26</v>
      </c>
      <c r="I1441" t="s">
        <v>52</v>
      </c>
      <c r="J1441" t="s">
        <v>28</v>
      </c>
      <c r="K1441" t="s">
        <v>29</v>
      </c>
      <c r="L1441" t="s">
        <v>35</v>
      </c>
      <c r="M1441">
        <v>0</v>
      </c>
      <c r="N1441">
        <v>0</v>
      </c>
      <c r="O1441" s="17">
        <v>50579</v>
      </c>
      <c r="Q1441">
        <f>43-13.5</f>
        <v>29.5</v>
      </c>
      <c r="R1441" t="s">
        <v>39</v>
      </c>
      <c r="T1441">
        <v>17</v>
      </c>
      <c r="W1441">
        <v>12.9</v>
      </c>
      <c r="X1441">
        <v>27.1</v>
      </c>
      <c r="Z1441" t="s">
        <v>145</v>
      </c>
      <c r="AA1441" t="s">
        <v>260</v>
      </c>
      <c r="AB1441" t="s">
        <v>711</v>
      </c>
      <c r="AC1441" t="s">
        <v>59</v>
      </c>
    </row>
    <row r="1442" spans="1:30" x14ac:dyDescent="0.2">
      <c r="A1442" s="3">
        <v>42537</v>
      </c>
      <c r="B1442" t="s">
        <v>23</v>
      </c>
      <c r="C1442">
        <v>501</v>
      </c>
      <c r="D1442">
        <v>9</v>
      </c>
      <c r="E1442">
        <v>1</v>
      </c>
      <c r="F1442" t="s">
        <v>24</v>
      </c>
      <c r="G1442" t="s">
        <v>25</v>
      </c>
      <c r="H1442" t="s">
        <v>26</v>
      </c>
      <c r="I1442" t="s">
        <v>52</v>
      </c>
      <c r="J1442" t="s">
        <v>34</v>
      </c>
      <c r="K1442" t="s">
        <v>187</v>
      </c>
      <c r="L1442" t="s">
        <v>35</v>
      </c>
      <c r="M1442">
        <v>0</v>
      </c>
      <c r="N1442">
        <v>1</v>
      </c>
      <c r="O1442" s="17">
        <v>50586</v>
      </c>
      <c r="Q1442">
        <f>38-12</f>
        <v>26</v>
      </c>
      <c r="R1442" t="s">
        <v>39</v>
      </c>
      <c r="T1442">
        <v>16</v>
      </c>
      <c r="W1442">
        <v>13.1</v>
      </c>
      <c r="X1442">
        <v>27.6</v>
      </c>
      <c r="Z1442" t="s">
        <v>32</v>
      </c>
      <c r="AB1442" t="s">
        <v>44</v>
      </c>
      <c r="AC1442" t="s">
        <v>122</v>
      </c>
    </row>
    <row r="1443" spans="1:30" x14ac:dyDescent="0.2">
      <c r="A1443" s="3">
        <v>42551</v>
      </c>
      <c r="B1443" t="s">
        <v>23</v>
      </c>
      <c r="C1443">
        <v>703</v>
      </c>
      <c r="D1443">
        <v>6</v>
      </c>
      <c r="E1443">
        <v>1</v>
      </c>
      <c r="F1443" t="s">
        <v>24</v>
      </c>
      <c r="G1443" t="s">
        <v>25</v>
      </c>
      <c r="H1443" t="s">
        <v>26</v>
      </c>
      <c r="I1443" t="s">
        <v>52</v>
      </c>
      <c r="J1443" t="s">
        <v>28</v>
      </c>
      <c r="K1443" t="s">
        <v>29</v>
      </c>
      <c r="L1443" t="s">
        <v>35</v>
      </c>
      <c r="M1443">
        <v>0</v>
      </c>
      <c r="N1443">
        <v>0</v>
      </c>
      <c r="O1443" s="17">
        <v>50618</v>
      </c>
      <c r="Q1443">
        <f>32.5-12</f>
        <v>20.5</v>
      </c>
      <c r="R1443" t="s">
        <v>39</v>
      </c>
      <c r="T1443">
        <v>16</v>
      </c>
      <c r="W1443">
        <v>12.1</v>
      </c>
      <c r="X1443">
        <v>27.7</v>
      </c>
      <c r="Z1443" t="s">
        <v>32</v>
      </c>
      <c r="AB1443" t="s">
        <v>44</v>
      </c>
      <c r="AC1443" t="s">
        <v>116</v>
      </c>
    </row>
    <row r="1444" spans="1:30" x14ac:dyDescent="0.2">
      <c r="A1444" s="3">
        <v>42564</v>
      </c>
      <c r="B1444" t="s">
        <v>23</v>
      </c>
      <c r="C1444">
        <v>703</v>
      </c>
      <c r="D1444">
        <v>7</v>
      </c>
      <c r="E1444">
        <v>1</v>
      </c>
      <c r="F1444" t="s">
        <v>33</v>
      </c>
      <c r="G1444" t="s">
        <v>25</v>
      </c>
      <c r="H1444" t="s">
        <v>26</v>
      </c>
      <c r="I1444" t="s">
        <v>52</v>
      </c>
      <c r="J1444" t="s">
        <v>28</v>
      </c>
      <c r="K1444" t="s">
        <v>29</v>
      </c>
      <c r="L1444" t="s">
        <v>35</v>
      </c>
      <c r="M1444">
        <v>0</v>
      </c>
      <c r="N1444">
        <v>0</v>
      </c>
      <c r="O1444" s="17">
        <v>50618</v>
      </c>
      <c r="Q1444">
        <f>31-9.5</f>
        <v>21.5</v>
      </c>
      <c r="R1444" t="s">
        <v>39</v>
      </c>
      <c r="T1444">
        <v>16</v>
      </c>
      <c r="W1444">
        <v>12.2</v>
      </c>
      <c r="X1444">
        <v>27.6</v>
      </c>
      <c r="Z1444" t="s">
        <v>145</v>
      </c>
      <c r="AA1444" t="s">
        <v>542</v>
      </c>
      <c r="AB1444" t="s">
        <v>121</v>
      </c>
      <c r="AC1444" t="s">
        <v>122</v>
      </c>
    </row>
    <row r="1445" spans="1:30" x14ac:dyDescent="0.2">
      <c r="A1445" s="3">
        <v>42565</v>
      </c>
      <c r="B1445" t="s">
        <v>23</v>
      </c>
      <c r="C1445">
        <v>703</v>
      </c>
      <c r="D1445">
        <v>5</v>
      </c>
      <c r="E1445">
        <v>1</v>
      </c>
      <c r="F1445" t="s">
        <v>33</v>
      </c>
      <c r="G1445" t="s">
        <v>25</v>
      </c>
      <c r="H1445" t="s">
        <v>26</v>
      </c>
      <c r="I1445" t="s">
        <v>52</v>
      </c>
      <c r="J1445" t="s">
        <v>28</v>
      </c>
      <c r="K1445" t="s">
        <v>29</v>
      </c>
      <c r="L1445" t="s">
        <v>35</v>
      </c>
      <c r="M1445">
        <v>0</v>
      </c>
      <c r="N1445">
        <v>0</v>
      </c>
      <c r="O1445" s="17">
        <v>50618</v>
      </c>
      <c r="Q1445">
        <f>32-9</f>
        <v>23</v>
      </c>
      <c r="R1445" t="s">
        <v>39</v>
      </c>
      <c r="T1445">
        <v>17</v>
      </c>
      <c r="Z1445" t="s">
        <v>145</v>
      </c>
      <c r="AA1445" t="s">
        <v>260</v>
      </c>
      <c r="AB1445" t="s">
        <v>121</v>
      </c>
      <c r="AC1445" t="s">
        <v>254</v>
      </c>
    </row>
    <row r="1446" spans="1:30" x14ac:dyDescent="0.2">
      <c r="A1446" s="3">
        <v>42574</v>
      </c>
      <c r="B1446" t="s">
        <v>23</v>
      </c>
      <c r="C1446">
        <v>703</v>
      </c>
      <c r="D1446">
        <v>1</v>
      </c>
      <c r="E1446">
        <v>1</v>
      </c>
      <c r="F1446" t="s">
        <v>24</v>
      </c>
      <c r="G1446" t="s">
        <v>25</v>
      </c>
      <c r="H1446" t="s">
        <v>26</v>
      </c>
      <c r="I1446" t="s">
        <v>52</v>
      </c>
      <c r="J1446" t="s">
        <v>56</v>
      </c>
      <c r="M1446">
        <v>0</v>
      </c>
      <c r="N1446">
        <v>0</v>
      </c>
      <c r="O1446" s="17">
        <v>50618</v>
      </c>
      <c r="Z1446" t="s">
        <v>145</v>
      </c>
      <c r="AB1446" t="s">
        <v>582</v>
      </c>
      <c r="AC1446" t="s">
        <v>59</v>
      </c>
    </row>
    <row r="1447" spans="1:30" x14ac:dyDescent="0.2">
      <c r="A1447" s="3">
        <v>42550</v>
      </c>
      <c r="B1447" t="s">
        <v>23</v>
      </c>
      <c r="C1447">
        <v>703</v>
      </c>
      <c r="D1447">
        <v>6</v>
      </c>
      <c r="E1447">
        <v>2</v>
      </c>
      <c r="F1447" t="s">
        <v>24</v>
      </c>
      <c r="G1447" t="s">
        <v>25</v>
      </c>
      <c r="H1447" t="s">
        <v>26</v>
      </c>
      <c r="I1447" t="s">
        <v>52</v>
      </c>
      <c r="J1447" t="s">
        <v>45</v>
      </c>
      <c r="K1447" t="s">
        <v>29</v>
      </c>
      <c r="L1447" t="s">
        <v>35</v>
      </c>
      <c r="M1447">
        <v>1</v>
      </c>
      <c r="N1447">
        <v>0</v>
      </c>
      <c r="O1447" s="17">
        <v>50621</v>
      </c>
      <c r="Q1447">
        <f>38-13.5</f>
        <v>24.5</v>
      </c>
      <c r="R1447" t="s">
        <v>39</v>
      </c>
      <c r="T1447">
        <v>16</v>
      </c>
      <c r="W1447">
        <v>12.2</v>
      </c>
      <c r="X1447">
        <v>25</v>
      </c>
      <c r="Z1447" t="s">
        <v>32</v>
      </c>
      <c r="AB1447" t="s">
        <v>53</v>
      </c>
      <c r="AC1447" t="s">
        <v>70</v>
      </c>
    </row>
    <row r="1448" spans="1:30" x14ac:dyDescent="0.2">
      <c r="A1448" s="3">
        <v>42556</v>
      </c>
      <c r="B1448" t="s">
        <v>23</v>
      </c>
      <c r="C1448">
        <v>201</v>
      </c>
      <c r="D1448">
        <v>6</v>
      </c>
      <c r="E1448">
        <v>1</v>
      </c>
      <c r="F1448" t="s">
        <v>24</v>
      </c>
      <c r="G1448" t="s">
        <v>25</v>
      </c>
      <c r="H1448" t="s">
        <v>26</v>
      </c>
      <c r="I1448" t="s">
        <v>52</v>
      </c>
      <c r="J1448" t="s">
        <v>34</v>
      </c>
      <c r="K1448" t="s">
        <v>29</v>
      </c>
      <c r="L1448" t="s">
        <v>35</v>
      </c>
      <c r="M1448">
        <v>0</v>
      </c>
      <c r="N1448">
        <v>1</v>
      </c>
      <c r="O1448" s="17">
        <v>50629</v>
      </c>
      <c r="Q1448">
        <v>33</v>
      </c>
      <c r="R1448" t="s">
        <v>39</v>
      </c>
      <c r="T1448">
        <v>17</v>
      </c>
      <c r="W1448">
        <v>13.3</v>
      </c>
      <c r="X1448">
        <v>27.75</v>
      </c>
      <c r="Z1448" t="s">
        <v>32</v>
      </c>
      <c r="AB1448" t="s">
        <v>44</v>
      </c>
      <c r="AC1448" t="s">
        <v>59</v>
      </c>
    </row>
    <row r="1449" spans="1:30" x14ac:dyDescent="0.2">
      <c r="A1449" s="3">
        <v>42575</v>
      </c>
      <c r="B1449" t="s">
        <v>23</v>
      </c>
      <c r="C1449">
        <v>503</v>
      </c>
      <c r="D1449">
        <v>1</v>
      </c>
      <c r="E1449">
        <v>1</v>
      </c>
      <c r="F1449" t="s">
        <v>33</v>
      </c>
      <c r="G1449" t="s">
        <v>25</v>
      </c>
      <c r="H1449" t="s">
        <v>26</v>
      </c>
      <c r="I1449" t="s">
        <v>52</v>
      </c>
      <c r="J1449" t="s">
        <v>28</v>
      </c>
      <c r="K1449" t="s">
        <v>29</v>
      </c>
      <c r="L1449" t="s">
        <v>30</v>
      </c>
      <c r="M1449">
        <v>0</v>
      </c>
      <c r="N1449">
        <v>0</v>
      </c>
      <c r="O1449" s="17">
        <v>50633</v>
      </c>
      <c r="Q1449">
        <f>41.5-11.5</f>
        <v>30</v>
      </c>
      <c r="R1449" t="s">
        <v>192</v>
      </c>
      <c r="S1449" t="s">
        <v>32</v>
      </c>
      <c r="T1449">
        <v>16</v>
      </c>
      <c r="W1449">
        <v>12.9</v>
      </c>
      <c r="X1449">
        <v>27.9</v>
      </c>
      <c r="Z1449" t="s">
        <v>145</v>
      </c>
      <c r="AA1449" t="s">
        <v>260</v>
      </c>
      <c r="AB1449" t="s">
        <v>711</v>
      </c>
      <c r="AC1449" t="s">
        <v>59</v>
      </c>
    </row>
    <row r="1450" spans="1:30" x14ac:dyDescent="0.2">
      <c r="A1450" s="3">
        <v>42557</v>
      </c>
      <c r="B1450" t="s">
        <v>23</v>
      </c>
      <c r="C1450">
        <v>201</v>
      </c>
      <c r="D1450">
        <v>7</v>
      </c>
      <c r="E1450">
        <v>2</v>
      </c>
      <c r="F1450" t="s">
        <v>24</v>
      </c>
      <c r="G1450" t="s">
        <v>25</v>
      </c>
      <c r="H1450" t="s">
        <v>26</v>
      </c>
      <c r="I1450" t="s">
        <v>52</v>
      </c>
      <c r="J1450" t="s">
        <v>34</v>
      </c>
      <c r="K1450" t="s">
        <v>29</v>
      </c>
      <c r="L1450" t="s">
        <v>35</v>
      </c>
      <c r="M1450">
        <v>0</v>
      </c>
      <c r="N1450">
        <v>1</v>
      </c>
      <c r="O1450" s="17">
        <v>50672</v>
      </c>
      <c r="Q1450">
        <f>34-13</f>
        <v>21</v>
      </c>
      <c r="R1450" t="s">
        <v>39</v>
      </c>
      <c r="T1450">
        <v>17</v>
      </c>
      <c r="W1450">
        <v>12.7</v>
      </c>
      <c r="X1450">
        <v>25.9</v>
      </c>
      <c r="Z1450" t="s">
        <v>32</v>
      </c>
      <c r="AB1450" t="s">
        <v>44</v>
      </c>
      <c r="AC1450" t="s">
        <v>122</v>
      </c>
    </row>
    <row r="1451" spans="1:30" x14ac:dyDescent="0.2">
      <c r="A1451" s="3">
        <v>42586</v>
      </c>
      <c r="B1451" t="s">
        <v>23</v>
      </c>
      <c r="C1451">
        <v>201</v>
      </c>
      <c r="D1451">
        <v>8</v>
      </c>
      <c r="E1451">
        <v>2</v>
      </c>
      <c r="F1451" t="s">
        <v>24</v>
      </c>
      <c r="G1451" t="s">
        <v>25</v>
      </c>
      <c r="H1451" t="s">
        <v>26</v>
      </c>
      <c r="I1451" t="s">
        <v>52</v>
      </c>
      <c r="J1451" t="s">
        <v>28</v>
      </c>
      <c r="K1451" t="s">
        <v>29</v>
      </c>
      <c r="L1451" t="s">
        <v>35</v>
      </c>
      <c r="M1451">
        <v>0</v>
      </c>
      <c r="N1451">
        <v>0</v>
      </c>
      <c r="O1451" s="17">
        <v>50672</v>
      </c>
      <c r="Q1451">
        <f>34.5-12</f>
        <v>22.5</v>
      </c>
      <c r="R1451" t="s">
        <v>63</v>
      </c>
      <c r="T1451">
        <v>17</v>
      </c>
      <c r="W1451">
        <v>12.7</v>
      </c>
      <c r="X1451">
        <v>30.8</v>
      </c>
      <c r="Z1451" t="s">
        <v>145</v>
      </c>
      <c r="AB1451" t="s">
        <v>44</v>
      </c>
      <c r="AC1451" t="s">
        <v>59</v>
      </c>
    </row>
    <row r="1452" spans="1:30" x14ac:dyDescent="0.2">
      <c r="A1452" s="3">
        <v>42557</v>
      </c>
      <c r="B1452" t="s">
        <v>23</v>
      </c>
      <c r="C1452">
        <v>201</v>
      </c>
      <c r="D1452">
        <v>6</v>
      </c>
      <c r="E1452">
        <v>1</v>
      </c>
      <c r="F1452" t="s">
        <v>24</v>
      </c>
      <c r="G1452" t="s">
        <v>25</v>
      </c>
      <c r="H1452" t="s">
        <v>26</v>
      </c>
      <c r="I1452" t="s">
        <v>52</v>
      </c>
      <c r="J1452" t="s">
        <v>34</v>
      </c>
      <c r="K1452" t="s">
        <v>29</v>
      </c>
      <c r="L1452" t="s">
        <v>30</v>
      </c>
      <c r="M1452">
        <v>0</v>
      </c>
      <c r="N1452">
        <v>1</v>
      </c>
      <c r="O1452" s="17">
        <v>50673</v>
      </c>
      <c r="Q1452">
        <v>23</v>
      </c>
      <c r="R1452" t="s">
        <v>91</v>
      </c>
      <c r="S1452" t="s">
        <v>32</v>
      </c>
      <c r="T1452">
        <v>17</v>
      </c>
      <c r="W1452">
        <v>13.2</v>
      </c>
      <c r="X1452">
        <v>26.3</v>
      </c>
      <c r="Z1452" t="s">
        <v>32</v>
      </c>
      <c r="AB1452" t="s">
        <v>44</v>
      </c>
      <c r="AC1452" t="s">
        <v>122</v>
      </c>
    </row>
    <row r="1453" spans="1:30" x14ac:dyDescent="0.2">
      <c r="A1453" s="3">
        <v>42551</v>
      </c>
      <c r="B1453" t="s">
        <v>23</v>
      </c>
      <c r="C1453">
        <v>701</v>
      </c>
      <c r="D1453">
        <v>10</v>
      </c>
      <c r="E1453">
        <v>1</v>
      </c>
      <c r="F1453" t="s">
        <v>24</v>
      </c>
      <c r="G1453" t="s">
        <v>25</v>
      </c>
      <c r="H1453" t="s">
        <v>26</v>
      </c>
      <c r="I1453" t="s">
        <v>52</v>
      </c>
      <c r="J1453" t="s">
        <v>34</v>
      </c>
      <c r="K1453" t="s">
        <v>188</v>
      </c>
      <c r="L1453" t="s">
        <v>35</v>
      </c>
      <c r="M1453">
        <v>0</v>
      </c>
      <c r="N1453">
        <v>1</v>
      </c>
      <c r="O1453" s="17">
        <v>50687</v>
      </c>
      <c r="Q1453">
        <f>31-13</f>
        <v>18</v>
      </c>
      <c r="R1453" t="s">
        <v>63</v>
      </c>
      <c r="T1453">
        <v>18</v>
      </c>
      <c r="W1453">
        <v>12.05</v>
      </c>
      <c r="X1453">
        <v>25.7</v>
      </c>
      <c r="Z1453" t="s">
        <v>32</v>
      </c>
      <c r="AB1453" t="s">
        <v>44</v>
      </c>
      <c r="AC1453" t="s">
        <v>116</v>
      </c>
    </row>
    <row r="1454" spans="1:30" x14ac:dyDescent="0.2">
      <c r="A1454" s="3">
        <v>42551</v>
      </c>
      <c r="B1454" t="s">
        <v>23</v>
      </c>
      <c r="C1454">
        <v>701</v>
      </c>
      <c r="D1454">
        <v>1</v>
      </c>
      <c r="E1454">
        <v>1</v>
      </c>
      <c r="F1454" t="s">
        <v>24</v>
      </c>
      <c r="G1454" t="s">
        <v>25</v>
      </c>
      <c r="H1454" t="s">
        <v>26</v>
      </c>
      <c r="I1454" t="s">
        <v>52</v>
      </c>
      <c r="J1454" t="s">
        <v>34</v>
      </c>
      <c r="K1454" t="s">
        <v>29</v>
      </c>
      <c r="L1454" t="s">
        <v>30</v>
      </c>
      <c r="M1454">
        <v>0</v>
      </c>
      <c r="N1454">
        <v>1</v>
      </c>
      <c r="O1454" s="17">
        <v>50688</v>
      </c>
      <c r="Q1454">
        <f>34-12.5</f>
        <v>21.5</v>
      </c>
      <c r="R1454" t="s">
        <v>91</v>
      </c>
      <c r="S1454" t="s">
        <v>32</v>
      </c>
      <c r="T1454">
        <v>16</v>
      </c>
      <c r="W1454">
        <v>12.7</v>
      </c>
      <c r="X1454">
        <v>26.5</v>
      </c>
      <c r="Z1454" t="s">
        <v>32</v>
      </c>
      <c r="AB1454" t="s">
        <v>60</v>
      </c>
      <c r="AC1454" t="s">
        <v>116</v>
      </c>
    </row>
    <row r="1455" spans="1:30" x14ac:dyDescent="0.2">
      <c r="A1455" s="3">
        <v>42574</v>
      </c>
      <c r="B1455" t="s">
        <v>23</v>
      </c>
      <c r="C1455">
        <v>701</v>
      </c>
      <c r="D1455">
        <v>1</v>
      </c>
      <c r="E1455">
        <v>2</v>
      </c>
      <c r="F1455" t="s">
        <v>24</v>
      </c>
      <c r="G1455" t="s">
        <v>25</v>
      </c>
      <c r="H1455" t="s">
        <v>26</v>
      </c>
      <c r="I1455" t="s">
        <v>52</v>
      </c>
      <c r="J1455" t="s">
        <v>28</v>
      </c>
      <c r="K1455" t="s">
        <v>29</v>
      </c>
      <c r="L1455" t="s">
        <v>30</v>
      </c>
      <c r="M1455">
        <v>0</v>
      </c>
      <c r="N1455">
        <v>0</v>
      </c>
      <c r="O1455" s="17">
        <v>50688</v>
      </c>
      <c r="R1455" t="s">
        <v>75</v>
      </c>
      <c r="S1455" t="s">
        <v>145</v>
      </c>
      <c r="T1455">
        <v>16</v>
      </c>
      <c r="W1455">
        <v>12.65</v>
      </c>
      <c r="X1455">
        <v>26.2</v>
      </c>
      <c r="Z1455" t="s">
        <v>145</v>
      </c>
      <c r="AA1455" t="s">
        <v>706</v>
      </c>
      <c r="AB1455" t="s">
        <v>582</v>
      </c>
      <c r="AC1455" t="s">
        <v>59</v>
      </c>
      <c r="AD1455" t="s">
        <v>707</v>
      </c>
    </row>
    <row r="1456" spans="1:30" x14ac:dyDescent="0.2">
      <c r="A1456" s="3">
        <v>42550</v>
      </c>
      <c r="B1456" t="s">
        <v>23</v>
      </c>
      <c r="C1456">
        <v>701</v>
      </c>
      <c r="D1456">
        <v>7</v>
      </c>
      <c r="E1456">
        <v>1</v>
      </c>
      <c r="F1456" t="s">
        <v>24</v>
      </c>
      <c r="G1456" t="s">
        <v>25</v>
      </c>
      <c r="H1456" t="s">
        <v>26</v>
      </c>
      <c r="I1456" t="s">
        <v>52</v>
      </c>
      <c r="J1456" t="s">
        <v>34</v>
      </c>
      <c r="K1456" t="s">
        <v>29</v>
      </c>
      <c r="L1456" t="s">
        <v>35</v>
      </c>
      <c r="M1456">
        <v>0</v>
      </c>
      <c r="N1456">
        <v>1</v>
      </c>
      <c r="O1456" s="17">
        <v>50698</v>
      </c>
      <c r="Q1456">
        <f>34-13.5</f>
        <v>20.5</v>
      </c>
      <c r="R1456" t="s">
        <v>63</v>
      </c>
      <c r="T1456">
        <v>16</v>
      </c>
      <c r="W1456">
        <v>12.5</v>
      </c>
      <c r="X1456">
        <v>29.5</v>
      </c>
      <c r="Z1456" t="s">
        <v>32</v>
      </c>
      <c r="AB1456" t="s">
        <v>255</v>
      </c>
      <c r="AC1456" t="s">
        <v>59</v>
      </c>
    </row>
    <row r="1457" spans="1:30" x14ac:dyDescent="0.2">
      <c r="A1457" s="3">
        <v>42551</v>
      </c>
      <c r="B1457" t="s">
        <v>23</v>
      </c>
      <c r="C1457">
        <v>701</v>
      </c>
      <c r="D1457">
        <v>2</v>
      </c>
      <c r="E1457">
        <v>1</v>
      </c>
      <c r="F1457" t="s">
        <v>24</v>
      </c>
      <c r="G1457" t="s">
        <v>25</v>
      </c>
      <c r="H1457" t="s">
        <v>26</v>
      </c>
      <c r="I1457" t="s">
        <v>52</v>
      </c>
      <c r="J1457" t="s">
        <v>28</v>
      </c>
      <c r="K1457" t="s">
        <v>29</v>
      </c>
      <c r="L1457" t="s">
        <v>35</v>
      </c>
      <c r="M1457">
        <v>0</v>
      </c>
      <c r="N1457">
        <v>0</v>
      </c>
      <c r="O1457" s="17">
        <v>50698</v>
      </c>
      <c r="Q1457">
        <f>35-13</f>
        <v>22</v>
      </c>
      <c r="R1457" t="s">
        <v>63</v>
      </c>
      <c r="T1457">
        <v>18</v>
      </c>
      <c r="W1457">
        <v>12.6</v>
      </c>
      <c r="X1457">
        <v>26.7</v>
      </c>
      <c r="Z1457" t="s">
        <v>32</v>
      </c>
      <c r="AB1457" t="s">
        <v>44</v>
      </c>
      <c r="AC1457" t="s">
        <v>116</v>
      </c>
    </row>
    <row r="1458" spans="1:30" x14ac:dyDescent="0.2">
      <c r="A1458" s="3">
        <v>42570</v>
      </c>
      <c r="B1458" t="s">
        <v>23</v>
      </c>
      <c r="C1458">
        <v>112</v>
      </c>
      <c r="D1458">
        <v>8</v>
      </c>
      <c r="E1458">
        <v>2</v>
      </c>
      <c r="F1458" t="s">
        <v>24</v>
      </c>
      <c r="G1458" t="s">
        <v>25</v>
      </c>
      <c r="H1458" t="s">
        <v>26</v>
      </c>
      <c r="I1458" t="s">
        <v>52</v>
      </c>
      <c r="J1458" t="s">
        <v>34</v>
      </c>
      <c r="K1458" t="s">
        <v>29</v>
      </c>
      <c r="L1458" t="s">
        <v>30</v>
      </c>
      <c r="M1458">
        <v>0</v>
      </c>
      <c r="N1458">
        <v>1</v>
      </c>
      <c r="O1458" s="17">
        <v>50710</v>
      </c>
      <c r="Q1458">
        <f>47-9.5</f>
        <v>37.5</v>
      </c>
      <c r="R1458" t="s">
        <v>94</v>
      </c>
      <c r="S1458" t="s">
        <v>32</v>
      </c>
      <c r="T1458">
        <v>18</v>
      </c>
      <c r="W1458">
        <v>13.7</v>
      </c>
      <c r="X1458">
        <v>26.3</v>
      </c>
      <c r="Z1458" t="s">
        <v>32</v>
      </c>
      <c r="AB1458" t="s">
        <v>582</v>
      </c>
      <c r="AC1458" t="s">
        <v>59</v>
      </c>
    </row>
    <row r="1459" spans="1:30" x14ac:dyDescent="0.2">
      <c r="A1459" s="3">
        <v>42572</v>
      </c>
      <c r="B1459" t="s">
        <v>23</v>
      </c>
      <c r="C1459">
        <v>112</v>
      </c>
      <c r="D1459">
        <v>9</v>
      </c>
      <c r="E1459">
        <v>2</v>
      </c>
      <c r="F1459" t="s">
        <v>24</v>
      </c>
      <c r="G1459" t="s">
        <v>25</v>
      </c>
      <c r="H1459" t="s">
        <v>26</v>
      </c>
      <c r="I1459" t="s">
        <v>52</v>
      </c>
      <c r="J1459" t="s">
        <v>28</v>
      </c>
      <c r="K1459" t="s">
        <v>29</v>
      </c>
      <c r="L1459" t="s">
        <v>30</v>
      </c>
      <c r="M1459">
        <v>0</v>
      </c>
      <c r="N1459">
        <v>0</v>
      </c>
      <c r="O1459" s="17">
        <v>50710</v>
      </c>
      <c r="Q1459">
        <f>47-9.5</f>
        <v>37.5</v>
      </c>
      <c r="R1459" t="s">
        <v>94</v>
      </c>
      <c r="S1459" t="s">
        <v>32</v>
      </c>
      <c r="T1459">
        <v>18</v>
      </c>
      <c r="Z1459" t="s">
        <v>32</v>
      </c>
      <c r="AB1459" t="s">
        <v>121</v>
      </c>
      <c r="AC1459" t="s">
        <v>122</v>
      </c>
    </row>
    <row r="1460" spans="1:30" x14ac:dyDescent="0.2">
      <c r="A1460" s="3">
        <v>42570</v>
      </c>
      <c r="B1460" t="s">
        <v>23</v>
      </c>
      <c r="C1460">
        <v>402</v>
      </c>
      <c r="D1460">
        <v>1</v>
      </c>
      <c r="E1460">
        <v>2</v>
      </c>
      <c r="F1460" t="s">
        <v>24</v>
      </c>
      <c r="G1460" t="s">
        <v>25</v>
      </c>
      <c r="H1460" t="s">
        <v>26</v>
      </c>
      <c r="I1460" t="s">
        <v>52</v>
      </c>
      <c r="J1460" t="s">
        <v>34</v>
      </c>
      <c r="K1460" t="s">
        <v>123</v>
      </c>
      <c r="L1460" t="s">
        <v>35</v>
      </c>
      <c r="M1460">
        <v>0</v>
      </c>
      <c r="N1460">
        <v>1</v>
      </c>
      <c r="O1460" s="17">
        <v>50717</v>
      </c>
      <c r="Q1460">
        <f>31-13</f>
        <v>18</v>
      </c>
      <c r="R1460" t="s">
        <v>63</v>
      </c>
      <c r="T1460">
        <v>17</v>
      </c>
      <c r="W1460">
        <v>12.6</v>
      </c>
      <c r="X1460">
        <v>28</v>
      </c>
      <c r="Z1460" t="s">
        <v>145</v>
      </c>
      <c r="AA1460" t="s">
        <v>602</v>
      </c>
      <c r="AB1460" t="s">
        <v>582</v>
      </c>
      <c r="AC1460" t="s">
        <v>59</v>
      </c>
    </row>
    <row r="1461" spans="1:30" x14ac:dyDescent="0.2">
      <c r="A1461" s="3">
        <v>42599</v>
      </c>
      <c r="B1461" t="s">
        <v>23</v>
      </c>
      <c r="C1461">
        <v>304</v>
      </c>
      <c r="D1461">
        <v>9</v>
      </c>
      <c r="E1461">
        <v>1</v>
      </c>
      <c r="F1461" t="s">
        <v>64</v>
      </c>
      <c r="G1461" t="s">
        <v>25</v>
      </c>
      <c r="H1461" t="s">
        <v>26</v>
      </c>
      <c r="I1461" t="s">
        <v>52</v>
      </c>
      <c r="J1461" t="s">
        <v>28</v>
      </c>
      <c r="K1461" t="s">
        <v>29</v>
      </c>
      <c r="L1461" t="s">
        <v>30</v>
      </c>
      <c r="M1461">
        <v>0</v>
      </c>
      <c r="N1461">
        <v>0</v>
      </c>
      <c r="O1461" s="17" t="s">
        <v>1637</v>
      </c>
      <c r="Q1461">
        <f>45.5-15</f>
        <v>30.5</v>
      </c>
      <c r="R1461" t="s">
        <v>251</v>
      </c>
      <c r="S1461" t="s">
        <v>32</v>
      </c>
      <c r="T1461">
        <v>19</v>
      </c>
      <c r="W1461">
        <v>13.1</v>
      </c>
      <c r="X1461">
        <v>28</v>
      </c>
      <c r="Z1461" t="s">
        <v>145</v>
      </c>
      <c r="AA1461" t="s">
        <v>260</v>
      </c>
      <c r="AB1461" t="s">
        <v>121</v>
      </c>
      <c r="AC1461" t="s">
        <v>59</v>
      </c>
    </row>
    <row r="1462" spans="1:30" x14ac:dyDescent="0.2">
      <c r="A1462" s="3">
        <v>42563</v>
      </c>
      <c r="B1462" t="s">
        <v>23</v>
      </c>
      <c r="C1462">
        <v>303</v>
      </c>
      <c r="D1462">
        <v>7</v>
      </c>
      <c r="E1462">
        <v>1</v>
      </c>
      <c r="F1462" t="s">
        <v>24</v>
      </c>
      <c r="G1462" t="s">
        <v>25</v>
      </c>
      <c r="H1462" t="s">
        <v>26</v>
      </c>
      <c r="I1462" t="s">
        <v>52</v>
      </c>
      <c r="J1462" t="s">
        <v>34</v>
      </c>
      <c r="K1462" t="s">
        <v>29</v>
      </c>
      <c r="L1462" t="s">
        <v>35</v>
      </c>
      <c r="M1462">
        <v>0</v>
      </c>
      <c r="N1462">
        <v>1</v>
      </c>
      <c r="O1462" s="17">
        <v>50732</v>
      </c>
      <c r="Q1462">
        <v>25.5</v>
      </c>
      <c r="R1462" t="s">
        <v>39</v>
      </c>
      <c r="W1462">
        <v>13.7</v>
      </c>
      <c r="X1462">
        <v>25.6</v>
      </c>
      <c r="Z1462" t="s">
        <v>145</v>
      </c>
      <c r="AB1462" t="s">
        <v>53</v>
      </c>
      <c r="AC1462" t="s">
        <v>122</v>
      </c>
    </row>
    <row r="1463" spans="1:30" x14ac:dyDescent="0.2">
      <c r="A1463" s="3">
        <v>42564</v>
      </c>
      <c r="B1463" t="s">
        <v>23</v>
      </c>
      <c r="C1463">
        <v>303</v>
      </c>
      <c r="D1463">
        <v>9</v>
      </c>
      <c r="E1463">
        <v>1</v>
      </c>
      <c r="F1463" t="s">
        <v>24</v>
      </c>
      <c r="G1463" t="s">
        <v>25</v>
      </c>
      <c r="H1463" t="s">
        <v>26</v>
      </c>
      <c r="I1463" t="s">
        <v>52</v>
      </c>
      <c r="J1463" t="s">
        <v>28</v>
      </c>
      <c r="K1463" t="s">
        <v>29</v>
      </c>
      <c r="L1463" t="s">
        <v>35</v>
      </c>
      <c r="M1463">
        <v>0</v>
      </c>
      <c r="N1463">
        <v>0</v>
      </c>
      <c r="O1463" s="17">
        <v>50732</v>
      </c>
      <c r="Q1463">
        <f>38.5-13.5</f>
        <v>25</v>
      </c>
      <c r="R1463" t="s">
        <v>39</v>
      </c>
      <c r="T1463">
        <v>18</v>
      </c>
      <c r="W1463">
        <v>13.8</v>
      </c>
      <c r="X1463">
        <v>27.3</v>
      </c>
      <c r="Z1463" t="s">
        <v>145</v>
      </c>
      <c r="AA1463" t="s">
        <v>486</v>
      </c>
      <c r="AD1463" t="s">
        <v>487</v>
      </c>
    </row>
    <row r="1464" spans="1:30" x14ac:dyDescent="0.2">
      <c r="A1464" s="3">
        <v>42565</v>
      </c>
      <c r="B1464" t="s">
        <v>23</v>
      </c>
      <c r="C1464">
        <v>303</v>
      </c>
      <c r="D1464">
        <v>9</v>
      </c>
      <c r="E1464">
        <v>1</v>
      </c>
      <c r="F1464" t="s">
        <v>24</v>
      </c>
      <c r="G1464" t="s">
        <v>25</v>
      </c>
      <c r="H1464" t="s">
        <v>26</v>
      </c>
      <c r="I1464" t="s">
        <v>52</v>
      </c>
      <c r="J1464" t="s">
        <v>28</v>
      </c>
      <c r="K1464" t="s">
        <v>29</v>
      </c>
      <c r="L1464" t="s">
        <v>35</v>
      </c>
      <c r="M1464">
        <v>0</v>
      </c>
      <c r="N1464">
        <v>0</v>
      </c>
      <c r="O1464" s="17">
        <v>50732</v>
      </c>
      <c r="Q1464">
        <f>35-12</f>
        <v>23</v>
      </c>
      <c r="R1464" t="s">
        <v>63</v>
      </c>
      <c r="T1464">
        <v>16</v>
      </c>
      <c r="W1464">
        <v>13.5</v>
      </c>
      <c r="X1464">
        <v>26.4</v>
      </c>
      <c r="Z1464" t="s">
        <v>145</v>
      </c>
      <c r="AB1464" t="s">
        <v>489</v>
      </c>
      <c r="AC1464" t="s">
        <v>254</v>
      </c>
    </row>
    <row r="1465" spans="1:30" x14ac:dyDescent="0.2">
      <c r="A1465" s="3">
        <v>42564</v>
      </c>
      <c r="B1465" t="s">
        <v>23</v>
      </c>
      <c r="C1465">
        <v>503</v>
      </c>
      <c r="D1465">
        <v>10</v>
      </c>
      <c r="E1465">
        <v>1</v>
      </c>
      <c r="F1465" t="s">
        <v>24</v>
      </c>
      <c r="G1465" t="s">
        <v>25</v>
      </c>
      <c r="H1465" t="s">
        <v>26</v>
      </c>
      <c r="I1465" t="s">
        <v>52</v>
      </c>
      <c r="J1465" t="s">
        <v>34</v>
      </c>
      <c r="K1465" t="s">
        <v>29</v>
      </c>
      <c r="L1465" t="s">
        <v>30</v>
      </c>
      <c r="M1465">
        <v>0</v>
      </c>
      <c r="N1465">
        <v>1</v>
      </c>
      <c r="O1465" s="17">
        <v>50736</v>
      </c>
      <c r="Q1465">
        <f>33.5-9.5</f>
        <v>24</v>
      </c>
      <c r="R1465" t="s">
        <v>91</v>
      </c>
      <c r="S1465" t="s">
        <v>32</v>
      </c>
      <c r="T1465">
        <v>19</v>
      </c>
      <c r="Z1465" t="s">
        <v>32</v>
      </c>
    </row>
    <row r="1466" spans="1:30" x14ac:dyDescent="0.2">
      <c r="A1466" s="3">
        <v>42564</v>
      </c>
      <c r="B1466" t="s">
        <v>23</v>
      </c>
      <c r="C1466">
        <v>303</v>
      </c>
      <c r="D1466">
        <v>6</v>
      </c>
      <c r="E1466">
        <v>1</v>
      </c>
      <c r="F1466" t="s">
        <v>24</v>
      </c>
      <c r="G1466" t="s">
        <v>25</v>
      </c>
      <c r="H1466" t="s">
        <v>26</v>
      </c>
      <c r="I1466" t="s">
        <v>52</v>
      </c>
      <c r="J1466" t="s">
        <v>34</v>
      </c>
      <c r="K1466" t="s">
        <v>29</v>
      </c>
      <c r="L1466" t="s">
        <v>30</v>
      </c>
      <c r="M1466">
        <v>0</v>
      </c>
      <c r="N1466">
        <v>1</v>
      </c>
      <c r="O1466" s="17">
        <v>50738</v>
      </c>
      <c r="Q1466">
        <f>28-10.5</f>
        <v>17.5</v>
      </c>
      <c r="R1466" t="s">
        <v>91</v>
      </c>
      <c r="S1466" t="s">
        <v>32</v>
      </c>
      <c r="T1466">
        <v>16</v>
      </c>
      <c r="W1466">
        <v>12.6</v>
      </c>
      <c r="X1466">
        <v>27.9</v>
      </c>
      <c r="Z1466" t="s">
        <v>145</v>
      </c>
      <c r="AA1466" t="s">
        <v>485</v>
      </c>
    </row>
    <row r="1467" spans="1:30" x14ac:dyDescent="0.2">
      <c r="A1467" s="3">
        <v>42565</v>
      </c>
      <c r="B1467" t="s">
        <v>23</v>
      </c>
      <c r="C1467">
        <v>303</v>
      </c>
      <c r="D1467">
        <v>9</v>
      </c>
      <c r="E1467">
        <v>2</v>
      </c>
      <c r="F1467" t="s">
        <v>24</v>
      </c>
      <c r="G1467" t="s">
        <v>25</v>
      </c>
      <c r="H1467" t="s">
        <v>26</v>
      </c>
      <c r="I1467" t="s">
        <v>52</v>
      </c>
      <c r="J1467" t="s">
        <v>28</v>
      </c>
      <c r="K1467" t="s">
        <v>29</v>
      </c>
      <c r="L1467" t="s">
        <v>30</v>
      </c>
      <c r="M1467">
        <v>0</v>
      </c>
      <c r="N1467">
        <v>0</v>
      </c>
      <c r="O1467" s="17">
        <v>50738</v>
      </c>
      <c r="Q1467">
        <f>30.5-12</f>
        <v>18.5</v>
      </c>
      <c r="R1467" t="s">
        <v>91</v>
      </c>
      <c r="S1467" t="s">
        <v>32</v>
      </c>
      <c r="T1467">
        <v>15</v>
      </c>
      <c r="W1467">
        <v>12.8</v>
      </c>
      <c r="X1467">
        <v>23.4</v>
      </c>
      <c r="Z1467" t="s">
        <v>145</v>
      </c>
      <c r="AB1467" t="s">
        <v>489</v>
      </c>
      <c r="AC1467" t="s">
        <v>254</v>
      </c>
    </row>
    <row r="1468" spans="1:30" x14ac:dyDescent="0.2">
      <c r="A1468" s="3">
        <v>42574</v>
      </c>
      <c r="B1468" t="s">
        <v>23</v>
      </c>
      <c r="C1468">
        <v>303</v>
      </c>
      <c r="D1468">
        <v>7</v>
      </c>
      <c r="E1468">
        <v>1</v>
      </c>
      <c r="F1468" t="s">
        <v>33</v>
      </c>
      <c r="G1468" t="s">
        <v>25</v>
      </c>
      <c r="H1468" t="s">
        <v>26</v>
      </c>
      <c r="I1468" t="s">
        <v>52</v>
      </c>
      <c r="J1468" t="s">
        <v>28</v>
      </c>
      <c r="K1468" t="s">
        <v>29</v>
      </c>
      <c r="L1468" t="s">
        <v>30</v>
      </c>
      <c r="M1468">
        <v>0</v>
      </c>
      <c r="N1468">
        <v>0</v>
      </c>
      <c r="O1468" s="17">
        <v>50738</v>
      </c>
      <c r="Q1468">
        <f>31.5-10.5</f>
        <v>21</v>
      </c>
      <c r="R1468" t="s">
        <v>39</v>
      </c>
      <c r="T1468">
        <v>17</v>
      </c>
      <c r="W1468">
        <v>12.7</v>
      </c>
      <c r="X1468">
        <v>27.2</v>
      </c>
      <c r="Z1468" t="s">
        <v>145</v>
      </c>
      <c r="AA1468" t="s">
        <v>260</v>
      </c>
      <c r="AB1468" t="s">
        <v>122</v>
      </c>
      <c r="AC1468" t="s">
        <v>121</v>
      </c>
    </row>
    <row r="1469" spans="1:30" x14ac:dyDescent="0.2">
      <c r="A1469" s="3">
        <v>42575</v>
      </c>
      <c r="B1469" t="s">
        <v>23</v>
      </c>
      <c r="C1469">
        <v>303</v>
      </c>
      <c r="D1469">
        <v>10</v>
      </c>
      <c r="E1469">
        <v>1</v>
      </c>
      <c r="F1469" t="s">
        <v>33</v>
      </c>
      <c r="G1469" t="s">
        <v>25</v>
      </c>
      <c r="H1469" t="s">
        <v>26</v>
      </c>
      <c r="I1469" t="s">
        <v>52</v>
      </c>
      <c r="J1469" t="s">
        <v>28</v>
      </c>
      <c r="K1469" t="s">
        <v>29</v>
      </c>
      <c r="L1469" t="s">
        <v>30</v>
      </c>
      <c r="M1469">
        <v>0</v>
      </c>
      <c r="N1469">
        <v>0</v>
      </c>
      <c r="O1469" s="17">
        <v>50738</v>
      </c>
      <c r="Q1469">
        <f>33-11</f>
        <v>22</v>
      </c>
      <c r="R1469" t="s">
        <v>61</v>
      </c>
      <c r="S1469" t="s">
        <v>32</v>
      </c>
      <c r="T1469">
        <v>17</v>
      </c>
      <c r="W1469">
        <v>12.9</v>
      </c>
      <c r="X1469">
        <v>27.1</v>
      </c>
      <c r="Z1469" t="s">
        <v>145</v>
      </c>
      <c r="AA1469" t="s">
        <v>260</v>
      </c>
      <c r="AB1469" t="s">
        <v>711</v>
      </c>
      <c r="AC1469" t="s">
        <v>59</v>
      </c>
    </row>
    <row r="1470" spans="1:30" x14ac:dyDescent="0.2">
      <c r="A1470" s="3">
        <v>42591</v>
      </c>
      <c r="B1470" t="s">
        <v>23</v>
      </c>
      <c r="C1470">
        <v>303</v>
      </c>
      <c r="D1470">
        <v>10</v>
      </c>
      <c r="E1470">
        <v>2</v>
      </c>
      <c r="F1470" t="s">
        <v>24</v>
      </c>
      <c r="G1470" t="s">
        <v>25</v>
      </c>
      <c r="H1470" t="s">
        <v>26</v>
      </c>
      <c r="I1470" t="s">
        <v>52</v>
      </c>
      <c r="J1470" t="s">
        <v>28</v>
      </c>
      <c r="K1470" t="s">
        <v>29</v>
      </c>
      <c r="L1470" t="s">
        <v>30</v>
      </c>
      <c r="M1470">
        <v>0</v>
      </c>
      <c r="N1470">
        <v>0</v>
      </c>
      <c r="O1470" s="17" t="s">
        <v>1136</v>
      </c>
      <c r="Q1470">
        <f>39-13</f>
        <v>26</v>
      </c>
      <c r="R1470" t="s">
        <v>91</v>
      </c>
      <c r="S1470" t="s">
        <v>32</v>
      </c>
      <c r="T1470">
        <v>16</v>
      </c>
      <c r="W1470">
        <v>13.6</v>
      </c>
      <c r="X1470">
        <v>27.8</v>
      </c>
      <c r="Z1470" t="s">
        <v>145</v>
      </c>
      <c r="AB1470" t="s">
        <v>44</v>
      </c>
      <c r="AC1470" t="s">
        <v>59</v>
      </c>
    </row>
    <row r="1471" spans="1:30" x14ac:dyDescent="0.2">
      <c r="A1471" s="3">
        <v>42592</v>
      </c>
      <c r="B1471" t="s">
        <v>23</v>
      </c>
      <c r="C1471">
        <v>303</v>
      </c>
      <c r="D1471">
        <v>5</v>
      </c>
      <c r="E1471">
        <v>1</v>
      </c>
      <c r="F1471" t="s">
        <v>24</v>
      </c>
      <c r="G1471" t="s">
        <v>25</v>
      </c>
      <c r="H1471" t="s">
        <v>26</v>
      </c>
      <c r="I1471" t="s">
        <v>52</v>
      </c>
      <c r="J1471" t="s">
        <v>28</v>
      </c>
      <c r="K1471" t="s">
        <v>29</v>
      </c>
      <c r="L1471" t="s">
        <v>30</v>
      </c>
      <c r="M1471">
        <v>0</v>
      </c>
      <c r="N1471">
        <v>0</v>
      </c>
      <c r="O1471" s="17" t="s">
        <v>1136</v>
      </c>
      <c r="Q1471">
        <f>40-12.5</f>
        <v>27.5</v>
      </c>
      <c r="R1471" t="s">
        <v>91</v>
      </c>
      <c r="S1471" t="s">
        <v>32</v>
      </c>
      <c r="T1471">
        <v>17</v>
      </c>
      <c r="W1471">
        <v>13.6</v>
      </c>
      <c r="X1471">
        <v>27</v>
      </c>
      <c r="Z1471" t="s">
        <v>145</v>
      </c>
      <c r="AB1471" t="s">
        <v>44</v>
      </c>
      <c r="AC1471" t="s">
        <v>59</v>
      </c>
    </row>
    <row r="1472" spans="1:30" x14ac:dyDescent="0.2">
      <c r="A1472" s="3">
        <v>42593</v>
      </c>
      <c r="B1472" t="s">
        <v>23</v>
      </c>
      <c r="C1472">
        <v>303</v>
      </c>
      <c r="D1472">
        <v>4</v>
      </c>
      <c r="E1472">
        <v>1</v>
      </c>
      <c r="F1472" t="s">
        <v>24</v>
      </c>
      <c r="G1472" t="s">
        <v>25</v>
      </c>
      <c r="H1472" t="s">
        <v>26</v>
      </c>
      <c r="I1472" t="s">
        <v>52</v>
      </c>
      <c r="J1472" t="s">
        <v>28</v>
      </c>
      <c r="K1472" t="s">
        <v>29</v>
      </c>
      <c r="L1472" t="s">
        <v>30</v>
      </c>
      <c r="M1472">
        <v>0</v>
      </c>
      <c r="N1472">
        <v>0</v>
      </c>
      <c r="O1472" s="17" t="s">
        <v>1136</v>
      </c>
      <c r="Q1472">
        <f>39-13.5</f>
        <v>25.5</v>
      </c>
      <c r="R1472" t="s">
        <v>91</v>
      </c>
      <c r="S1472" t="s">
        <v>32</v>
      </c>
      <c r="T1472">
        <v>17</v>
      </c>
      <c r="W1472">
        <v>13.4</v>
      </c>
      <c r="X1472">
        <v>27</v>
      </c>
      <c r="Z1472" t="s">
        <v>145</v>
      </c>
      <c r="AB1472" t="s">
        <v>44</v>
      </c>
      <c r="AC1472" t="s">
        <v>122</v>
      </c>
    </row>
    <row r="1473" spans="1:30" x14ac:dyDescent="0.2">
      <c r="A1473" s="3">
        <v>42604</v>
      </c>
      <c r="B1473" t="s">
        <v>23</v>
      </c>
      <c r="C1473">
        <v>303</v>
      </c>
      <c r="D1473">
        <v>9</v>
      </c>
      <c r="E1473">
        <v>2</v>
      </c>
      <c r="F1473" t="s">
        <v>64</v>
      </c>
      <c r="G1473" t="s">
        <v>25</v>
      </c>
      <c r="H1473" t="s">
        <v>26</v>
      </c>
      <c r="I1473" t="s">
        <v>52</v>
      </c>
      <c r="J1473" t="s">
        <v>28</v>
      </c>
      <c r="K1473" t="s">
        <v>29</v>
      </c>
      <c r="L1473" t="s">
        <v>30</v>
      </c>
      <c r="M1473">
        <v>0</v>
      </c>
      <c r="N1473">
        <v>0</v>
      </c>
      <c r="O1473" s="17" t="s">
        <v>1136</v>
      </c>
      <c r="Q1473">
        <f>39-15</f>
        <v>24</v>
      </c>
      <c r="R1473" t="s">
        <v>251</v>
      </c>
      <c r="S1473" t="s">
        <v>145</v>
      </c>
      <c r="T1473">
        <v>17</v>
      </c>
      <c r="W1473">
        <v>13</v>
      </c>
      <c r="X1473">
        <v>28.4</v>
      </c>
      <c r="Z1473" t="s">
        <v>145</v>
      </c>
      <c r="AA1473" t="s">
        <v>260</v>
      </c>
      <c r="AB1473" t="s">
        <v>121</v>
      </c>
      <c r="AC1473" t="s">
        <v>59</v>
      </c>
    </row>
    <row r="1474" spans="1:30" x14ac:dyDescent="0.2">
      <c r="A1474" s="3">
        <v>42605</v>
      </c>
      <c r="B1474" t="s">
        <v>23</v>
      </c>
      <c r="C1474">
        <v>303</v>
      </c>
      <c r="D1474">
        <v>5</v>
      </c>
      <c r="E1474">
        <v>1</v>
      </c>
      <c r="F1474" t="s">
        <v>64</v>
      </c>
      <c r="G1474" t="s">
        <v>25</v>
      </c>
      <c r="H1474" t="s">
        <v>26</v>
      </c>
      <c r="I1474" t="s">
        <v>52</v>
      </c>
      <c r="J1474" t="s">
        <v>28</v>
      </c>
      <c r="K1474" t="s">
        <v>29</v>
      </c>
      <c r="L1474" t="s">
        <v>30</v>
      </c>
      <c r="M1474">
        <v>0</v>
      </c>
      <c r="N1474">
        <v>0</v>
      </c>
      <c r="O1474" s="17" t="s">
        <v>1136</v>
      </c>
      <c r="Q1474">
        <f>38-14</f>
        <v>24</v>
      </c>
      <c r="R1474" t="s">
        <v>31</v>
      </c>
      <c r="S1474" t="s">
        <v>32</v>
      </c>
      <c r="T1474">
        <v>16.5</v>
      </c>
      <c r="W1474">
        <v>13.1</v>
      </c>
      <c r="X1474">
        <v>27</v>
      </c>
      <c r="Z1474" t="s">
        <v>145</v>
      </c>
      <c r="AA1474" t="s">
        <v>260</v>
      </c>
      <c r="AB1474" t="s">
        <v>121</v>
      </c>
      <c r="AC1474" t="s">
        <v>59</v>
      </c>
      <c r="AD1474" t="s">
        <v>1519</v>
      </c>
    </row>
    <row r="1475" spans="1:30" x14ac:dyDescent="0.2">
      <c r="A1475" s="3">
        <v>42606</v>
      </c>
      <c r="B1475" t="s">
        <v>23</v>
      </c>
      <c r="C1475">
        <v>303</v>
      </c>
      <c r="D1475">
        <v>5</v>
      </c>
      <c r="E1475">
        <v>2</v>
      </c>
      <c r="F1475" t="s">
        <v>64</v>
      </c>
      <c r="G1475" t="s">
        <v>25</v>
      </c>
      <c r="H1475" t="s">
        <v>26</v>
      </c>
      <c r="I1475" t="s">
        <v>52</v>
      </c>
      <c r="J1475" t="s">
        <v>28</v>
      </c>
      <c r="K1475" t="s">
        <v>29</v>
      </c>
      <c r="L1475" t="s">
        <v>30</v>
      </c>
      <c r="M1475">
        <v>0</v>
      </c>
      <c r="N1475">
        <v>0</v>
      </c>
      <c r="O1475" s="17" t="s">
        <v>1136</v>
      </c>
      <c r="Q1475">
        <f>36-14</f>
        <v>22</v>
      </c>
      <c r="R1475" t="s">
        <v>31</v>
      </c>
      <c r="S1475" t="s">
        <v>32</v>
      </c>
      <c r="T1475">
        <v>17</v>
      </c>
      <c r="W1475">
        <v>13.1</v>
      </c>
      <c r="X1475">
        <v>27.1</v>
      </c>
      <c r="Z1475" t="s">
        <v>145</v>
      </c>
      <c r="AA1475" t="s">
        <v>260</v>
      </c>
      <c r="AB1475" t="s">
        <v>53</v>
      </c>
      <c r="AC1475" t="s">
        <v>122</v>
      </c>
    </row>
    <row r="1476" spans="1:30" x14ac:dyDescent="0.2">
      <c r="A1476" s="3">
        <v>42565</v>
      </c>
      <c r="B1476" t="s">
        <v>23</v>
      </c>
      <c r="C1476">
        <v>303</v>
      </c>
      <c r="D1476">
        <v>6</v>
      </c>
      <c r="E1476">
        <v>2</v>
      </c>
      <c r="F1476" t="s">
        <v>24</v>
      </c>
      <c r="G1476" t="s">
        <v>25</v>
      </c>
      <c r="H1476" t="s">
        <v>26</v>
      </c>
      <c r="I1476" t="s">
        <v>52</v>
      </c>
      <c r="J1476" t="s">
        <v>34</v>
      </c>
      <c r="K1476" t="s">
        <v>29</v>
      </c>
      <c r="L1476" t="s">
        <v>35</v>
      </c>
      <c r="M1476">
        <v>0</v>
      </c>
      <c r="N1476">
        <v>1</v>
      </c>
      <c r="O1476" s="17">
        <v>50747</v>
      </c>
      <c r="Q1476">
        <f>35.5-9</f>
        <v>26.5</v>
      </c>
      <c r="R1476" t="s">
        <v>39</v>
      </c>
      <c r="T1476">
        <v>18</v>
      </c>
      <c r="W1476">
        <v>13.05</v>
      </c>
      <c r="X1476">
        <v>29.9</v>
      </c>
      <c r="Z1476" t="s">
        <v>145</v>
      </c>
      <c r="AB1476" t="s">
        <v>489</v>
      </c>
      <c r="AC1476" t="s">
        <v>254</v>
      </c>
    </row>
    <row r="1477" spans="1:30" x14ac:dyDescent="0.2">
      <c r="A1477" s="3">
        <v>42565</v>
      </c>
      <c r="B1477" t="s">
        <v>23</v>
      </c>
      <c r="C1477">
        <v>303</v>
      </c>
      <c r="D1477">
        <v>7</v>
      </c>
      <c r="E1477">
        <v>1</v>
      </c>
      <c r="F1477" t="s">
        <v>24</v>
      </c>
      <c r="G1477" t="s">
        <v>25</v>
      </c>
      <c r="H1477" t="s">
        <v>26</v>
      </c>
      <c r="I1477" t="s">
        <v>52</v>
      </c>
      <c r="J1477" t="s">
        <v>34</v>
      </c>
      <c r="K1477" t="s">
        <v>29</v>
      </c>
      <c r="L1477" t="s">
        <v>35</v>
      </c>
      <c r="M1477">
        <v>0</v>
      </c>
      <c r="N1477">
        <v>1</v>
      </c>
      <c r="O1477" s="17">
        <v>50750</v>
      </c>
      <c r="Q1477">
        <v>22</v>
      </c>
      <c r="R1477" t="s">
        <v>63</v>
      </c>
      <c r="Z1477" t="s">
        <v>145</v>
      </c>
      <c r="AB1477" t="s">
        <v>489</v>
      </c>
      <c r="AC1477" t="s">
        <v>254</v>
      </c>
    </row>
    <row r="1478" spans="1:30" x14ac:dyDescent="0.2">
      <c r="A1478" s="3">
        <v>42565</v>
      </c>
      <c r="B1478" t="s">
        <v>23</v>
      </c>
      <c r="C1478">
        <v>801</v>
      </c>
      <c r="D1478">
        <v>6</v>
      </c>
      <c r="E1478">
        <v>2</v>
      </c>
      <c r="F1478" t="s">
        <v>33</v>
      </c>
      <c r="G1478" t="s">
        <v>25</v>
      </c>
      <c r="H1478" t="s">
        <v>26</v>
      </c>
      <c r="I1478" t="s">
        <v>52</v>
      </c>
      <c r="J1478" t="s">
        <v>34</v>
      </c>
      <c r="K1478" t="s">
        <v>29</v>
      </c>
      <c r="L1478" t="s">
        <v>35</v>
      </c>
      <c r="M1478">
        <v>0</v>
      </c>
      <c r="N1478">
        <v>1</v>
      </c>
      <c r="O1478" s="17">
        <v>50755</v>
      </c>
      <c r="Q1478">
        <v>20</v>
      </c>
      <c r="R1478" t="s">
        <v>39</v>
      </c>
      <c r="T1478">
        <v>18</v>
      </c>
      <c r="W1478">
        <v>12.8</v>
      </c>
      <c r="X1478">
        <v>27.6</v>
      </c>
      <c r="Z1478" t="s">
        <v>145</v>
      </c>
      <c r="AB1478" t="s">
        <v>121</v>
      </c>
      <c r="AC1478" t="s">
        <v>254</v>
      </c>
    </row>
    <row r="1479" spans="1:30" x14ac:dyDescent="0.2">
      <c r="A1479" s="3">
        <v>42565</v>
      </c>
      <c r="B1479" t="s">
        <v>23</v>
      </c>
      <c r="C1479">
        <v>801</v>
      </c>
      <c r="D1479">
        <v>4</v>
      </c>
      <c r="E1479">
        <v>2</v>
      </c>
      <c r="F1479" t="s">
        <v>33</v>
      </c>
      <c r="G1479" t="s">
        <v>25</v>
      </c>
      <c r="H1479" t="s">
        <v>26</v>
      </c>
      <c r="I1479" t="s">
        <v>52</v>
      </c>
      <c r="J1479" t="s">
        <v>34</v>
      </c>
      <c r="K1479" t="s">
        <v>29</v>
      </c>
      <c r="L1479" t="s">
        <v>30</v>
      </c>
      <c r="M1479">
        <v>0</v>
      </c>
      <c r="N1479">
        <v>1</v>
      </c>
      <c r="O1479" s="17">
        <v>50756</v>
      </c>
      <c r="Q1479">
        <f>44-11</f>
        <v>33</v>
      </c>
      <c r="R1479" t="s">
        <v>273</v>
      </c>
      <c r="S1479" t="s">
        <v>145</v>
      </c>
      <c r="T1479">
        <v>18</v>
      </c>
      <c r="W1479">
        <v>12.8</v>
      </c>
      <c r="X1479">
        <v>27.6</v>
      </c>
      <c r="Z1479" t="s">
        <v>32</v>
      </c>
      <c r="AB1479" t="s">
        <v>121</v>
      </c>
      <c r="AC1479" t="s">
        <v>254</v>
      </c>
      <c r="AD1479" t="s">
        <v>596</v>
      </c>
    </row>
    <row r="1480" spans="1:30" x14ac:dyDescent="0.2">
      <c r="A1480" s="3">
        <v>42574</v>
      </c>
      <c r="B1480" t="s">
        <v>23</v>
      </c>
      <c r="C1480">
        <v>801</v>
      </c>
      <c r="D1480">
        <v>4</v>
      </c>
      <c r="E1480">
        <v>1</v>
      </c>
      <c r="F1480" t="s">
        <v>24</v>
      </c>
      <c r="G1480" t="s">
        <v>25</v>
      </c>
      <c r="H1480" t="s">
        <v>26</v>
      </c>
      <c r="I1480" t="s">
        <v>52</v>
      </c>
      <c r="J1480" t="s">
        <v>28</v>
      </c>
      <c r="K1480" t="s">
        <v>29</v>
      </c>
      <c r="L1480" t="s">
        <v>30</v>
      </c>
      <c r="M1480">
        <v>0</v>
      </c>
      <c r="N1480">
        <v>0</v>
      </c>
      <c r="O1480" s="17">
        <v>50756</v>
      </c>
      <c r="Q1480">
        <v>31</v>
      </c>
      <c r="R1480" t="s">
        <v>279</v>
      </c>
      <c r="S1480" t="s">
        <v>145</v>
      </c>
      <c r="T1480">
        <v>18</v>
      </c>
      <c r="W1480">
        <v>13.5</v>
      </c>
      <c r="X1480">
        <v>22.7</v>
      </c>
      <c r="Z1480" t="s">
        <v>32</v>
      </c>
      <c r="AB1480" t="s">
        <v>582</v>
      </c>
      <c r="AC1480" t="s">
        <v>59</v>
      </c>
    </row>
    <row r="1481" spans="1:30" x14ac:dyDescent="0.2">
      <c r="A1481" s="3">
        <v>42575</v>
      </c>
      <c r="B1481" t="s">
        <v>23</v>
      </c>
      <c r="C1481">
        <v>801</v>
      </c>
      <c r="D1481">
        <v>6</v>
      </c>
      <c r="E1481">
        <v>2</v>
      </c>
      <c r="F1481" t="s">
        <v>24</v>
      </c>
      <c r="G1481" t="s">
        <v>25</v>
      </c>
      <c r="H1481" t="s">
        <v>26</v>
      </c>
      <c r="I1481" t="s">
        <v>52</v>
      </c>
      <c r="J1481" t="s">
        <v>28</v>
      </c>
      <c r="K1481" t="s">
        <v>29</v>
      </c>
      <c r="L1481" t="s">
        <v>30</v>
      </c>
      <c r="M1481">
        <v>0</v>
      </c>
      <c r="N1481">
        <v>0</v>
      </c>
      <c r="O1481" s="17">
        <v>50756</v>
      </c>
      <c r="Q1481">
        <f>41-11.5</f>
        <v>29.5</v>
      </c>
      <c r="R1481" t="s">
        <v>75</v>
      </c>
      <c r="S1481" t="s">
        <v>145</v>
      </c>
      <c r="T1481">
        <v>17</v>
      </c>
      <c r="W1481">
        <v>13.7</v>
      </c>
      <c r="X1481">
        <v>28.3</v>
      </c>
      <c r="Z1481" t="s">
        <v>32</v>
      </c>
      <c r="AB1481" t="s">
        <v>582</v>
      </c>
      <c r="AC1481" t="s">
        <v>59</v>
      </c>
    </row>
    <row r="1482" spans="1:30" x14ac:dyDescent="0.2">
      <c r="A1482" s="3">
        <v>42576</v>
      </c>
      <c r="B1482" t="s">
        <v>23</v>
      </c>
      <c r="C1482">
        <v>801</v>
      </c>
      <c r="D1482">
        <v>5</v>
      </c>
      <c r="E1482">
        <v>1</v>
      </c>
      <c r="F1482" t="s">
        <v>66</v>
      </c>
      <c r="G1482" t="s">
        <v>25</v>
      </c>
      <c r="H1482" t="s">
        <v>26</v>
      </c>
      <c r="I1482" t="s">
        <v>52</v>
      </c>
      <c r="J1482" t="s">
        <v>28</v>
      </c>
      <c r="K1482" t="s">
        <v>29</v>
      </c>
      <c r="L1482" t="s">
        <v>30</v>
      </c>
      <c r="M1482">
        <v>0</v>
      </c>
      <c r="N1482">
        <v>0</v>
      </c>
      <c r="O1482" s="17">
        <v>50756</v>
      </c>
      <c r="Q1482">
        <f>38-9.5</f>
        <v>28.5</v>
      </c>
      <c r="R1482" t="s">
        <v>75</v>
      </c>
      <c r="S1482" t="s">
        <v>145</v>
      </c>
      <c r="T1482">
        <v>17</v>
      </c>
      <c r="W1482">
        <v>13.5</v>
      </c>
      <c r="X1482">
        <v>30.8</v>
      </c>
      <c r="Z1482" t="s">
        <v>32</v>
      </c>
      <c r="AB1482" t="s">
        <v>121</v>
      </c>
      <c r="AC1482" t="s">
        <v>122</v>
      </c>
    </row>
    <row r="1483" spans="1:30" x14ac:dyDescent="0.2">
      <c r="A1483" s="3">
        <v>42591</v>
      </c>
      <c r="B1483" t="s">
        <v>23</v>
      </c>
      <c r="C1483">
        <v>801</v>
      </c>
      <c r="D1483">
        <v>9</v>
      </c>
      <c r="E1483">
        <v>2</v>
      </c>
      <c r="F1483" t="s">
        <v>64</v>
      </c>
      <c r="G1483" t="s">
        <v>25</v>
      </c>
      <c r="H1483" t="s">
        <v>26</v>
      </c>
      <c r="I1483" t="s">
        <v>52</v>
      </c>
      <c r="J1483" t="s">
        <v>28</v>
      </c>
      <c r="K1483" t="s">
        <v>29</v>
      </c>
      <c r="L1483" t="s">
        <v>30</v>
      </c>
      <c r="M1483">
        <v>0</v>
      </c>
      <c r="N1483">
        <v>0</v>
      </c>
      <c r="O1483" s="17" t="s">
        <v>1373</v>
      </c>
      <c r="Q1483">
        <f>49.5-16</f>
        <v>33.5</v>
      </c>
      <c r="R1483" t="s">
        <v>273</v>
      </c>
      <c r="S1483" t="s">
        <v>145</v>
      </c>
      <c r="Z1483" t="s">
        <v>145</v>
      </c>
      <c r="AA1483" t="s">
        <v>260</v>
      </c>
      <c r="AB1483" t="s">
        <v>44</v>
      </c>
      <c r="AC1483" t="s">
        <v>59</v>
      </c>
      <c r="AD1483" t="s">
        <v>1374</v>
      </c>
    </row>
    <row r="1484" spans="1:30" x14ac:dyDescent="0.2">
      <c r="A1484" s="3">
        <v>42592</v>
      </c>
      <c r="B1484" t="s">
        <v>23</v>
      </c>
      <c r="C1484">
        <v>801</v>
      </c>
      <c r="D1484">
        <v>5</v>
      </c>
      <c r="E1484">
        <v>1</v>
      </c>
      <c r="F1484" t="s">
        <v>64</v>
      </c>
      <c r="G1484" t="s">
        <v>25</v>
      </c>
      <c r="H1484" t="s">
        <v>26</v>
      </c>
      <c r="I1484" t="s">
        <v>52</v>
      </c>
      <c r="J1484" t="s">
        <v>28</v>
      </c>
      <c r="K1484" t="s">
        <v>29</v>
      </c>
      <c r="L1484" t="s">
        <v>30</v>
      </c>
      <c r="M1484">
        <v>0</v>
      </c>
      <c r="N1484">
        <v>0</v>
      </c>
      <c r="O1484" s="17" t="s">
        <v>1373</v>
      </c>
      <c r="Q1484">
        <f>49.5-16</f>
        <v>33.5</v>
      </c>
      <c r="R1484" t="s">
        <v>273</v>
      </c>
      <c r="S1484" t="s">
        <v>145</v>
      </c>
      <c r="T1484">
        <v>18.5</v>
      </c>
      <c r="W1484">
        <v>13</v>
      </c>
      <c r="X1484">
        <v>27.8</v>
      </c>
      <c r="Z1484" t="s">
        <v>145</v>
      </c>
      <c r="AA1484" t="s">
        <v>260</v>
      </c>
      <c r="AB1484" t="s">
        <v>53</v>
      </c>
      <c r="AC1484" t="s">
        <v>59</v>
      </c>
      <c r="AD1484" t="s">
        <v>1434</v>
      </c>
    </row>
    <row r="1485" spans="1:30" x14ac:dyDescent="0.2">
      <c r="A1485" s="3">
        <v>42604</v>
      </c>
      <c r="B1485" t="s">
        <v>23</v>
      </c>
      <c r="C1485">
        <v>801</v>
      </c>
      <c r="D1485">
        <v>9</v>
      </c>
      <c r="E1485">
        <v>2</v>
      </c>
      <c r="F1485" t="s">
        <v>24</v>
      </c>
      <c r="G1485" t="s">
        <v>25</v>
      </c>
      <c r="H1485" t="s">
        <v>26</v>
      </c>
      <c r="I1485" t="s">
        <v>52</v>
      </c>
      <c r="J1485" t="s">
        <v>28</v>
      </c>
      <c r="K1485" t="s">
        <v>29</v>
      </c>
      <c r="L1485" t="s">
        <v>30</v>
      </c>
      <c r="M1485">
        <v>0</v>
      </c>
      <c r="N1485">
        <v>0</v>
      </c>
      <c r="O1485" s="17" t="s">
        <v>1373</v>
      </c>
      <c r="R1485" t="s">
        <v>75</v>
      </c>
      <c r="S1485" t="s">
        <v>145</v>
      </c>
      <c r="T1485">
        <v>17</v>
      </c>
      <c r="W1485">
        <v>13.5</v>
      </c>
      <c r="X1485">
        <v>25.5</v>
      </c>
      <c r="AB1485" t="s">
        <v>582</v>
      </c>
      <c r="AC1485" t="s">
        <v>116</v>
      </c>
    </row>
    <row r="1486" spans="1:30" x14ac:dyDescent="0.2">
      <c r="A1486" s="3">
        <v>42605</v>
      </c>
      <c r="B1486" t="s">
        <v>23</v>
      </c>
      <c r="C1486">
        <v>801</v>
      </c>
      <c r="D1486">
        <v>8</v>
      </c>
      <c r="E1486">
        <v>2</v>
      </c>
      <c r="F1486" t="s">
        <v>24</v>
      </c>
      <c r="G1486" t="s">
        <v>25</v>
      </c>
      <c r="H1486" t="s">
        <v>26</v>
      </c>
      <c r="I1486" t="s">
        <v>52</v>
      </c>
      <c r="J1486" t="s">
        <v>28</v>
      </c>
      <c r="K1486" t="s">
        <v>29</v>
      </c>
      <c r="L1486" t="s">
        <v>30</v>
      </c>
      <c r="M1486">
        <v>0</v>
      </c>
      <c r="N1486">
        <v>0</v>
      </c>
      <c r="O1486" s="17" t="s">
        <v>1373</v>
      </c>
      <c r="Q1486">
        <f>44-14</f>
        <v>30</v>
      </c>
      <c r="R1486" t="s">
        <v>31</v>
      </c>
      <c r="S1486" t="s">
        <v>32</v>
      </c>
      <c r="T1486">
        <v>17</v>
      </c>
      <c r="W1486">
        <v>13.5</v>
      </c>
      <c r="X1486">
        <v>27.1</v>
      </c>
      <c r="AB1486" t="s">
        <v>44</v>
      </c>
      <c r="AC1486" t="s">
        <v>59</v>
      </c>
    </row>
    <row r="1487" spans="1:30" x14ac:dyDescent="0.2">
      <c r="A1487" s="3">
        <v>42606</v>
      </c>
      <c r="B1487" t="s">
        <v>23</v>
      </c>
      <c r="C1487">
        <v>801</v>
      </c>
      <c r="D1487">
        <v>6</v>
      </c>
      <c r="E1487">
        <v>1</v>
      </c>
      <c r="F1487" t="s">
        <v>24</v>
      </c>
      <c r="G1487" t="s">
        <v>25</v>
      </c>
      <c r="H1487" t="s">
        <v>26</v>
      </c>
      <c r="I1487" t="s">
        <v>52</v>
      </c>
      <c r="J1487" t="s">
        <v>28</v>
      </c>
      <c r="K1487" t="s">
        <v>29</v>
      </c>
      <c r="L1487" t="s">
        <v>30</v>
      </c>
      <c r="M1487">
        <v>0</v>
      </c>
      <c r="N1487">
        <v>0</v>
      </c>
      <c r="O1487" s="17" t="s">
        <v>1373</v>
      </c>
      <c r="Q1487">
        <f>44-14</f>
        <v>30</v>
      </c>
      <c r="R1487" t="s">
        <v>75</v>
      </c>
      <c r="S1487" t="s">
        <v>145</v>
      </c>
      <c r="T1487">
        <v>17</v>
      </c>
      <c r="W1487">
        <v>14</v>
      </c>
      <c r="X1487">
        <v>28</v>
      </c>
      <c r="AB1487" t="s">
        <v>44</v>
      </c>
      <c r="AC1487" t="s">
        <v>59</v>
      </c>
    </row>
    <row r="1488" spans="1:30" x14ac:dyDescent="0.2">
      <c r="A1488" s="3">
        <v>42574</v>
      </c>
      <c r="B1488" t="s">
        <v>23</v>
      </c>
      <c r="C1488">
        <v>701</v>
      </c>
      <c r="D1488">
        <v>7</v>
      </c>
      <c r="E1488">
        <v>2</v>
      </c>
      <c r="F1488" t="s">
        <v>24</v>
      </c>
      <c r="G1488" t="s">
        <v>25</v>
      </c>
      <c r="H1488" t="s">
        <v>26</v>
      </c>
      <c r="I1488" t="s">
        <v>52</v>
      </c>
      <c r="J1488" t="s">
        <v>28</v>
      </c>
      <c r="K1488" t="s">
        <v>29</v>
      </c>
      <c r="L1488" t="s">
        <v>30</v>
      </c>
      <c r="M1488">
        <v>0</v>
      </c>
      <c r="N1488">
        <v>0</v>
      </c>
      <c r="O1488" s="17">
        <v>50759</v>
      </c>
      <c r="Q1488">
        <f>39-13</f>
        <v>26</v>
      </c>
      <c r="R1488" t="s">
        <v>39</v>
      </c>
      <c r="T1488">
        <v>16.5</v>
      </c>
      <c r="W1488">
        <v>13.6</v>
      </c>
      <c r="X1488">
        <v>26.9</v>
      </c>
      <c r="Z1488" t="s">
        <v>145</v>
      </c>
      <c r="AA1488" t="s">
        <v>710</v>
      </c>
      <c r="AB1488" t="s">
        <v>582</v>
      </c>
      <c r="AC1488" t="s">
        <v>59</v>
      </c>
    </row>
    <row r="1489" spans="1:30" x14ac:dyDescent="0.2">
      <c r="A1489" s="3">
        <v>42575</v>
      </c>
      <c r="B1489" t="s">
        <v>23</v>
      </c>
      <c r="C1489">
        <v>701</v>
      </c>
      <c r="D1489">
        <v>4</v>
      </c>
      <c r="E1489">
        <v>1</v>
      </c>
      <c r="F1489" t="s">
        <v>24</v>
      </c>
      <c r="G1489" t="s">
        <v>25</v>
      </c>
      <c r="H1489" t="s">
        <v>26</v>
      </c>
      <c r="I1489" t="s">
        <v>52</v>
      </c>
      <c r="J1489" t="s">
        <v>28</v>
      </c>
      <c r="K1489" t="s">
        <v>29</v>
      </c>
      <c r="L1489" t="s">
        <v>30</v>
      </c>
      <c r="M1489">
        <v>0</v>
      </c>
      <c r="N1489">
        <v>0</v>
      </c>
      <c r="O1489" s="17">
        <v>50759</v>
      </c>
      <c r="Q1489">
        <f>35-8</f>
        <v>27</v>
      </c>
      <c r="R1489" t="s">
        <v>94</v>
      </c>
      <c r="S1489" t="s">
        <v>32</v>
      </c>
      <c r="T1489">
        <v>17</v>
      </c>
      <c r="W1489">
        <v>13.7</v>
      </c>
      <c r="X1489">
        <v>26.6</v>
      </c>
      <c r="Z1489" t="s">
        <v>145</v>
      </c>
      <c r="AB1489" t="s">
        <v>582</v>
      </c>
      <c r="AC1489" t="s">
        <v>59</v>
      </c>
    </row>
    <row r="1490" spans="1:30" x14ac:dyDescent="0.2">
      <c r="A1490" s="3">
        <v>42591</v>
      </c>
      <c r="B1490" t="s">
        <v>23</v>
      </c>
      <c r="C1490">
        <v>701</v>
      </c>
      <c r="D1490">
        <v>5</v>
      </c>
      <c r="E1490">
        <v>1</v>
      </c>
      <c r="F1490" t="s">
        <v>64</v>
      </c>
      <c r="G1490" t="s">
        <v>25</v>
      </c>
      <c r="H1490" t="s">
        <v>26</v>
      </c>
      <c r="I1490" t="s">
        <v>52</v>
      </c>
      <c r="J1490" t="s">
        <v>28</v>
      </c>
      <c r="K1490" t="s">
        <v>29</v>
      </c>
      <c r="L1490" t="s">
        <v>30</v>
      </c>
      <c r="M1490">
        <v>0</v>
      </c>
      <c r="N1490">
        <v>0</v>
      </c>
      <c r="O1490" s="17" t="s">
        <v>1367</v>
      </c>
      <c r="Q1490">
        <f>38.5-14</f>
        <v>24.5</v>
      </c>
      <c r="R1490" t="s">
        <v>251</v>
      </c>
      <c r="S1490" t="s">
        <v>145</v>
      </c>
      <c r="T1490">
        <v>19</v>
      </c>
      <c r="W1490">
        <v>13.3</v>
      </c>
      <c r="X1490">
        <v>28</v>
      </c>
      <c r="Z1490" t="s">
        <v>145</v>
      </c>
      <c r="AA1490" t="s">
        <v>1368</v>
      </c>
      <c r="AB1490" t="s">
        <v>44</v>
      </c>
      <c r="AC1490" t="s">
        <v>59</v>
      </c>
    </row>
    <row r="1491" spans="1:30" x14ac:dyDescent="0.2">
      <c r="A1491" s="3">
        <v>42565</v>
      </c>
      <c r="B1491" t="s">
        <v>23</v>
      </c>
      <c r="C1491">
        <v>701</v>
      </c>
      <c r="D1491">
        <v>4</v>
      </c>
      <c r="E1491">
        <v>2</v>
      </c>
      <c r="F1491" t="s">
        <v>33</v>
      </c>
      <c r="G1491" t="s">
        <v>25</v>
      </c>
      <c r="H1491" t="s">
        <v>26</v>
      </c>
      <c r="I1491" t="s">
        <v>52</v>
      </c>
      <c r="J1491" t="s">
        <v>34</v>
      </c>
      <c r="K1491" t="s">
        <v>29</v>
      </c>
      <c r="L1491" t="s">
        <v>35</v>
      </c>
      <c r="M1491">
        <v>0</v>
      </c>
      <c r="N1491">
        <v>1</v>
      </c>
      <c r="O1491" s="17">
        <v>50762</v>
      </c>
      <c r="R1491" t="s">
        <v>39</v>
      </c>
      <c r="T1491">
        <v>18</v>
      </c>
      <c r="W1491">
        <v>13</v>
      </c>
      <c r="X1491">
        <v>27.8</v>
      </c>
      <c r="Z1491" t="s">
        <v>145</v>
      </c>
      <c r="AA1491" t="s">
        <v>593</v>
      </c>
      <c r="AB1491" t="s">
        <v>121</v>
      </c>
      <c r="AC1491" t="s">
        <v>254</v>
      </c>
    </row>
    <row r="1492" spans="1:30" x14ac:dyDescent="0.2">
      <c r="A1492" s="3">
        <v>42565</v>
      </c>
      <c r="B1492" t="s">
        <v>23</v>
      </c>
      <c r="C1492">
        <v>703</v>
      </c>
      <c r="D1492">
        <v>7</v>
      </c>
      <c r="E1492">
        <v>2</v>
      </c>
      <c r="F1492" t="s">
        <v>33</v>
      </c>
      <c r="G1492" t="s">
        <v>25</v>
      </c>
      <c r="H1492" t="s">
        <v>26</v>
      </c>
      <c r="I1492" t="s">
        <v>52</v>
      </c>
      <c r="J1492" t="s">
        <v>34</v>
      </c>
      <c r="K1492" t="s">
        <v>29</v>
      </c>
      <c r="L1492" t="s">
        <v>35</v>
      </c>
      <c r="M1492">
        <v>0</v>
      </c>
      <c r="N1492">
        <v>1</v>
      </c>
      <c r="O1492" s="17">
        <v>50763</v>
      </c>
      <c r="Q1492">
        <f>29-9</f>
        <v>20</v>
      </c>
      <c r="R1492" t="s">
        <v>39</v>
      </c>
      <c r="T1492">
        <v>17</v>
      </c>
      <c r="W1492">
        <v>12.3</v>
      </c>
      <c r="X1492">
        <v>26.2</v>
      </c>
      <c r="Z1492" t="s">
        <v>145</v>
      </c>
      <c r="AA1492" t="s">
        <v>260</v>
      </c>
      <c r="AB1492" t="s">
        <v>121</v>
      </c>
      <c r="AC1492" t="s">
        <v>254</v>
      </c>
      <c r="AD1492" t="s">
        <v>590</v>
      </c>
    </row>
    <row r="1493" spans="1:30" x14ac:dyDescent="0.2">
      <c r="A1493" s="3">
        <v>42565</v>
      </c>
      <c r="B1493" t="s">
        <v>23</v>
      </c>
      <c r="C1493">
        <v>703</v>
      </c>
      <c r="D1493">
        <v>2</v>
      </c>
      <c r="E1493">
        <v>2</v>
      </c>
      <c r="F1493" t="s">
        <v>33</v>
      </c>
      <c r="G1493" t="s">
        <v>25</v>
      </c>
      <c r="H1493" t="s">
        <v>26</v>
      </c>
      <c r="I1493" t="s">
        <v>52</v>
      </c>
      <c r="J1493" t="s">
        <v>34</v>
      </c>
      <c r="K1493" t="s">
        <v>123</v>
      </c>
      <c r="L1493" t="s">
        <v>35</v>
      </c>
      <c r="M1493">
        <v>0</v>
      </c>
      <c r="N1493">
        <v>1</v>
      </c>
      <c r="O1493" s="17">
        <v>50764</v>
      </c>
      <c r="Q1493">
        <f>24-10</f>
        <v>14</v>
      </c>
      <c r="R1493" t="s">
        <v>39</v>
      </c>
      <c r="T1493">
        <v>17</v>
      </c>
      <c r="W1493">
        <v>12.2</v>
      </c>
      <c r="X1493">
        <v>25.6</v>
      </c>
      <c r="Z1493" t="s">
        <v>145</v>
      </c>
      <c r="AA1493" t="s">
        <v>260</v>
      </c>
      <c r="AB1493" t="s">
        <v>121</v>
      </c>
      <c r="AC1493" t="s">
        <v>254</v>
      </c>
    </row>
    <row r="1494" spans="1:30" x14ac:dyDescent="0.2">
      <c r="A1494" s="3">
        <v>42574</v>
      </c>
      <c r="B1494" t="s">
        <v>23</v>
      </c>
      <c r="C1494">
        <v>703</v>
      </c>
      <c r="D1494">
        <v>4</v>
      </c>
      <c r="E1494">
        <v>2</v>
      </c>
      <c r="F1494" t="s">
        <v>24</v>
      </c>
      <c r="G1494" t="s">
        <v>25</v>
      </c>
      <c r="H1494" t="s">
        <v>26</v>
      </c>
      <c r="I1494" t="s">
        <v>52</v>
      </c>
      <c r="J1494" t="s">
        <v>28</v>
      </c>
      <c r="K1494" t="s">
        <v>123</v>
      </c>
      <c r="L1494" t="s">
        <v>35</v>
      </c>
      <c r="M1494">
        <v>0</v>
      </c>
      <c r="N1494">
        <v>0</v>
      </c>
      <c r="O1494" s="17">
        <v>50764</v>
      </c>
      <c r="Q1494">
        <f>31.5-14</f>
        <v>17.5</v>
      </c>
      <c r="R1494" t="s">
        <v>63</v>
      </c>
      <c r="T1494">
        <v>15</v>
      </c>
      <c r="W1494">
        <v>12.5</v>
      </c>
      <c r="X1494">
        <v>26.7</v>
      </c>
      <c r="Z1494" t="s">
        <v>145</v>
      </c>
      <c r="AB1494" t="s">
        <v>582</v>
      </c>
      <c r="AC1494" t="s">
        <v>59</v>
      </c>
    </row>
    <row r="1495" spans="1:30" x14ac:dyDescent="0.2">
      <c r="A1495" s="3">
        <v>42575</v>
      </c>
      <c r="B1495" t="s">
        <v>23</v>
      </c>
      <c r="C1495">
        <v>703</v>
      </c>
      <c r="D1495">
        <v>7</v>
      </c>
      <c r="E1495">
        <v>2</v>
      </c>
      <c r="F1495" t="s">
        <v>24</v>
      </c>
      <c r="G1495" t="s">
        <v>25</v>
      </c>
      <c r="H1495" t="s">
        <v>26</v>
      </c>
      <c r="I1495" t="s">
        <v>52</v>
      </c>
      <c r="J1495" t="s">
        <v>28</v>
      </c>
      <c r="K1495" t="s">
        <v>123</v>
      </c>
      <c r="L1495" t="s">
        <v>35</v>
      </c>
      <c r="M1495">
        <v>0</v>
      </c>
      <c r="N1495">
        <v>0</v>
      </c>
      <c r="O1495" s="17">
        <v>50764</v>
      </c>
      <c r="Q1495">
        <f>28.5-11</f>
        <v>17.5</v>
      </c>
      <c r="R1495" t="s">
        <v>31</v>
      </c>
      <c r="S1495" t="s">
        <v>32</v>
      </c>
      <c r="T1495">
        <v>17</v>
      </c>
      <c r="W1495">
        <v>12.65</v>
      </c>
      <c r="X1495">
        <v>23.8</v>
      </c>
      <c r="Z1495" t="s">
        <v>145</v>
      </c>
      <c r="AB1495" t="s">
        <v>582</v>
      </c>
      <c r="AC1495" t="s">
        <v>59</v>
      </c>
    </row>
    <row r="1496" spans="1:30" x14ac:dyDescent="0.2">
      <c r="A1496" s="3">
        <v>42592</v>
      </c>
      <c r="B1496" t="s">
        <v>23</v>
      </c>
      <c r="C1496">
        <v>703</v>
      </c>
      <c r="D1496">
        <v>5</v>
      </c>
      <c r="E1496">
        <v>2</v>
      </c>
      <c r="F1496" t="s">
        <v>64</v>
      </c>
      <c r="G1496" t="s">
        <v>25</v>
      </c>
      <c r="H1496" t="s">
        <v>26</v>
      </c>
      <c r="I1496" t="s">
        <v>52</v>
      </c>
      <c r="J1496" t="s">
        <v>28</v>
      </c>
      <c r="K1496" t="s">
        <v>188</v>
      </c>
      <c r="L1496" t="s">
        <v>35</v>
      </c>
      <c r="M1496">
        <v>0</v>
      </c>
      <c r="N1496">
        <v>0</v>
      </c>
      <c r="O1496" s="17" t="s">
        <v>1393</v>
      </c>
      <c r="Q1496">
        <f>33-15.5</f>
        <v>17.5</v>
      </c>
      <c r="R1496" t="s">
        <v>39</v>
      </c>
      <c r="T1496">
        <v>16</v>
      </c>
      <c r="Z1496" t="s">
        <v>145</v>
      </c>
      <c r="AA1496" t="s">
        <v>260</v>
      </c>
      <c r="AB1496" t="s">
        <v>53</v>
      </c>
      <c r="AC1496" t="s">
        <v>59</v>
      </c>
    </row>
    <row r="1497" spans="1:30" x14ac:dyDescent="0.2">
      <c r="A1497" s="3">
        <v>42604</v>
      </c>
      <c r="B1497" t="s">
        <v>23</v>
      </c>
      <c r="C1497">
        <v>703</v>
      </c>
      <c r="D1497">
        <v>2</v>
      </c>
      <c r="E1497">
        <v>2</v>
      </c>
      <c r="F1497" t="s">
        <v>24</v>
      </c>
      <c r="G1497" t="s">
        <v>25</v>
      </c>
      <c r="H1497" t="s">
        <v>26</v>
      </c>
      <c r="I1497" t="s">
        <v>52</v>
      </c>
      <c r="J1497" t="s">
        <v>28</v>
      </c>
      <c r="K1497" t="s">
        <v>29</v>
      </c>
      <c r="L1497" t="s">
        <v>35</v>
      </c>
      <c r="M1497">
        <v>0</v>
      </c>
      <c r="N1497">
        <v>0</v>
      </c>
      <c r="O1497" s="17" t="s">
        <v>1393</v>
      </c>
      <c r="Q1497">
        <f>31-13</f>
        <v>18</v>
      </c>
      <c r="R1497" t="s">
        <v>63</v>
      </c>
      <c r="T1497">
        <v>16.5</v>
      </c>
      <c r="W1497">
        <v>12.5</v>
      </c>
      <c r="Z1497" t="s">
        <v>145</v>
      </c>
      <c r="AB1497" t="s">
        <v>582</v>
      </c>
      <c r="AC1497" t="s">
        <v>116</v>
      </c>
    </row>
    <row r="1498" spans="1:30" x14ac:dyDescent="0.2">
      <c r="A1498" s="3">
        <v>42565</v>
      </c>
      <c r="B1498" t="s">
        <v>23</v>
      </c>
      <c r="C1498">
        <v>701</v>
      </c>
      <c r="D1498">
        <v>7</v>
      </c>
      <c r="E1498">
        <v>2</v>
      </c>
      <c r="F1498" t="s">
        <v>33</v>
      </c>
      <c r="G1498" t="s">
        <v>25</v>
      </c>
      <c r="H1498" t="s">
        <v>26</v>
      </c>
      <c r="I1498" t="s">
        <v>52</v>
      </c>
      <c r="J1498" t="s">
        <v>34</v>
      </c>
      <c r="K1498" t="s">
        <v>29</v>
      </c>
      <c r="L1498" t="s">
        <v>30</v>
      </c>
      <c r="M1498">
        <v>0</v>
      </c>
      <c r="N1498">
        <v>1</v>
      </c>
      <c r="O1498" s="17">
        <v>50769</v>
      </c>
      <c r="Q1498">
        <f>33.5-9</f>
        <v>24.5</v>
      </c>
      <c r="R1498" t="s">
        <v>273</v>
      </c>
      <c r="S1498" t="s">
        <v>145</v>
      </c>
      <c r="T1498">
        <v>17</v>
      </c>
      <c r="W1498">
        <v>12.9</v>
      </c>
      <c r="Z1498" t="s">
        <v>145</v>
      </c>
      <c r="AA1498" t="s">
        <v>594</v>
      </c>
      <c r="AB1498" t="s">
        <v>121</v>
      </c>
      <c r="AC1498" t="s">
        <v>254</v>
      </c>
    </row>
    <row r="1499" spans="1:30" x14ac:dyDescent="0.2">
      <c r="A1499" s="3">
        <v>42584</v>
      </c>
      <c r="B1499" t="s">
        <v>23</v>
      </c>
      <c r="C1499">
        <v>402</v>
      </c>
      <c r="D1499">
        <v>1</v>
      </c>
      <c r="E1499">
        <v>2</v>
      </c>
      <c r="F1499" t="s">
        <v>33</v>
      </c>
      <c r="G1499" t="s">
        <v>25</v>
      </c>
      <c r="H1499" t="s">
        <v>26</v>
      </c>
      <c r="I1499" t="s">
        <v>52</v>
      </c>
      <c r="J1499" t="s">
        <v>34</v>
      </c>
      <c r="K1499" t="s">
        <v>29</v>
      </c>
      <c r="L1499" t="s">
        <v>35</v>
      </c>
      <c r="M1499">
        <v>0</v>
      </c>
      <c r="N1499">
        <v>1</v>
      </c>
      <c r="O1499" s="17">
        <v>50776</v>
      </c>
      <c r="Q1499">
        <f>44-15</f>
        <v>29</v>
      </c>
      <c r="R1499" t="s">
        <v>39</v>
      </c>
      <c r="T1499">
        <v>18</v>
      </c>
      <c r="W1499">
        <v>13.1</v>
      </c>
      <c r="X1499">
        <v>28.7</v>
      </c>
      <c r="Z1499" t="s">
        <v>145</v>
      </c>
      <c r="AA1499" t="s">
        <v>834</v>
      </c>
      <c r="AB1499" t="s">
        <v>121</v>
      </c>
      <c r="AC1499" t="s">
        <v>59</v>
      </c>
      <c r="AD1499" t="s">
        <v>840</v>
      </c>
    </row>
    <row r="1500" spans="1:30" x14ac:dyDescent="0.2">
      <c r="A1500" s="3">
        <v>42570</v>
      </c>
      <c r="B1500" t="s">
        <v>23</v>
      </c>
      <c r="C1500">
        <v>304</v>
      </c>
      <c r="D1500">
        <v>9</v>
      </c>
      <c r="E1500">
        <v>1</v>
      </c>
      <c r="F1500" t="s">
        <v>33</v>
      </c>
      <c r="G1500" t="s">
        <v>25</v>
      </c>
      <c r="H1500" t="s">
        <v>26</v>
      </c>
      <c r="I1500" t="s">
        <v>52</v>
      </c>
      <c r="J1500" t="s">
        <v>34</v>
      </c>
      <c r="K1500" t="s">
        <v>29</v>
      </c>
      <c r="L1500" t="s">
        <v>30</v>
      </c>
      <c r="M1500">
        <v>0</v>
      </c>
      <c r="N1500">
        <v>1</v>
      </c>
      <c r="O1500" s="17">
        <v>50781</v>
      </c>
      <c r="Q1500">
        <f>40-9</f>
        <v>31</v>
      </c>
      <c r="R1500" t="s">
        <v>273</v>
      </c>
      <c r="S1500" t="s">
        <v>145</v>
      </c>
      <c r="T1500">
        <v>19</v>
      </c>
      <c r="W1500">
        <v>12.9</v>
      </c>
      <c r="X1500">
        <v>28.7</v>
      </c>
      <c r="Z1500" t="s">
        <v>145</v>
      </c>
      <c r="AA1500" t="s">
        <v>557</v>
      </c>
      <c r="AB1500" t="s">
        <v>121</v>
      </c>
      <c r="AC1500" t="s">
        <v>59</v>
      </c>
    </row>
    <row r="1501" spans="1:30" x14ac:dyDescent="0.2">
      <c r="A1501" s="3">
        <v>42572</v>
      </c>
      <c r="B1501" t="s">
        <v>23</v>
      </c>
      <c r="C1501">
        <v>201</v>
      </c>
      <c r="D1501">
        <v>1</v>
      </c>
      <c r="E1501">
        <v>1</v>
      </c>
      <c r="F1501" t="s">
        <v>33</v>
      </c>
      <c r="G1501" t="s">
        <v>25</v>
      </c>
      <c r="H1501" t="s">
        <v>26</v>
      </c>
      <c r="I1501" t="s">
        <v>52</v>
      </c>
      <c r="J1501" t="s">
        <v>34</v>
      </c>
      <c r="K1501" t="s">
        <v>29</v>
      </c>
      <c r="L1501" t="s">
        <v>30</v>
      </c>
      <c r="M1501">
        <v>0</v>
      </c>
      <c r="N1501">
        <v>1</v>
      </c>
      <c r="O1501" s="17">
        <v>50794</v>
      </c>
      <c r="Q1501">
        <f>37-10.5</f>
        <v>26.5</v>
      </c>
      <c r="R1501" t="s">
        <v>273</v>
      </c>
      <c r="S1501" t="s">
        <v>145</v>
      </c>
      <c r="T1501">
        <v>18</v>
      </c>
      <c r="X1501">
        <v>26.6</v>
      </c>
      <c r="Z1501" t="s">
        <v>145</v>
      </c>
      <c r="AA1501" t="s">
        <v>260</v>
      </c>
      <c r="AB1501" t="s">
        <v>121</v>
      </c>
      <c r="AC1501" t="s">
        <v>59</v>
      </c>
    </row>
    <row r="1502" spans="1:30" x14ac:dyDescent="0.2">
      <c r="A1502" s="3">
        <v>42585</v>
      </c>
      <c r="B1502" t="s">
        <v>23</v>
      </c>
      <c r="C1502">
        <v>201</v>
      </c>
      <c r="D1502">
        <v>3</v>
      </c>
      <c r="E1502">
        <v>2</v>
      </c>
      <c r="F1502" t="s">
        <v>24</v>
      </c>
      <c r="G1502" t="s">
        <v>25</v>
      </c>
      <c r="H1502" t="s">
        <v>26</v>
      </c>
      <c r="I1502" t="s">
        <v>52</v>
      </c>
      <c r="J1502" t="s">
        <v>28</v>
      </c>
      <c r="K1502" t="s">
        <v>29</v>
      </c>
      <c r="L1502" t="s">
        <v>30</v>
      </c>
      <c r="M1502">
        <v>0</v>
      </c>
      <c r="N1502">
        <v>0</v>
      </c>
      <c r="O1502" s="17">
        <v>50794</v>
      </c>
      <c r="Q1502">
        <f>39-12.5</f>
        <v>26.5</v>
      </c>
      <c r="R1502" t="s">
        <v>31</v>
      </c>
      <c r="S1502" t="s">
        <v>32</v>
      </c>
      <c r="T1502">
        <v>17</v>
      </c>
      <c r="W1502">
        <v>13.5</v>
      </c>
      <c r="X1502">
        <v>26.7</v>
      </c>
      <c r="Z1502" t="s">
        <v>145</v>
      </c>
      <c r="AB1502" t="s">
        <v>44</v>
      </c>
      <c r="AC1502" t="s">
        <v>59</v>
      </c>
    </row>
    <row r="1503" spans="1:30" x14ac:dyDescent="0.2">
      <c r="A1503" s="3">
        <v>42598</v>
      </c>
      <c r="B1503" t="s">
        <v>23</v>
      </c>
      <c r="C1503">
        <v>201</v>
      </c>
      <c r="D1503">
        <v>3</v>
      </c>
      <c r="E1503">
        <v>2</v>
      </c>
      <c r="F1503" t="s">
        <v>64</v>
      </c>
      <c r="G1503" t="s">
        <v>25</v>
      </c>
      <c r="H1503" t="s">
        <v>26</v>
      </c>
      <c r="I1503" t="s">
        <v>52</v>
      </c>
      <c r="J1503" t="s">
        <v>28</v>
      </c>
      <c r="K1503" t="s">
        <v>29</v>
      </c>
      <c r="L1503" t="s">
        <v>30</v>
      </c>
      <c r="M1503">
        <v>0</v>
      </c>
      <c r="N1503">
        <v>0</v>
      </c>
      <c r="O1503" s="17" t="s">
        <v>1307</v>
      </c>
      <c r="Q1503">
        <f>41-13</f>
        <v>28</v>
      </c>
      <c r="R1503" t="s">
        <v>251</v>
      </c>
      <c r="S1503" t="s">
        <v>145</v>
      </c>
      <c r="T1503">
        <v>18</v>
      </c>
      <c r="W1503">
        <v>13.2</v>
      </c>
      <c r="X1503">
        <v>26.3</v>
      </c>
      <c r="Z1503" t="s">
        <v>145</v>
      </c>
      <c r="AA1503" t="s">
        <v>260</v>
      </c>
      <c r="AB1503" t="s">
        <v>121</v>
      </c>
      <c r="AC1503" t="s">
        <v>122</v>
      </c>
    </row>
    <row r="1504" spans="1:30" x14ac:dyDescent="0.2">
      <c r="A1504" s="3">
        <v>42571</v>
      </c>
      <c r="B1504" t="s">
        <v>23</v>
      </c>
      <c r="C1504">
        <v>402</v>
      </c>
      <c r="D1504">
        <v>1</v>
      </c>
      <c r="E1504">
        <v>1</v>
      </c>
      <c r="F1504" t="s">
        <v>24</v>
      </c>
      <c r="G1504" t="s">
        <v>25</v>
      </c>
      <c r="H1504" t="s">
        <v>26</v>
      </c>
      <c r="I1504" t="s">
        <v>52</v>
      </c>
      <c r="J1504" t="s">
        <v>34</v>
      </c>
      <c r="K1504" t="s">
        <v>29</v>
      </c>
      <c r="L1504" t="s">
        <v>30</v>
      </c>
      <c r="M1504">
        <v>0</v>
      </c>
      <c r="N1504">
        <v>1</v>
      </c>
      <c r="O1504" s="17">
        <v>50806</v>
      </c>
      <c r="Q1504">
        <f>33-12.5</f>
        <v>20.5</v>
      </c>
      <c r="R1504" t="s">
        <v>91</v>
      </c>
      <c r="S1504" t="s">
        <v>32</v>
      </c>
      <c r="T1504">
        <v>16</v>
      </c>
      <c r="W1504">
        <v>12.55</v>
      </c>
      <c r="X1504">
        <v>24.6</v>
      </c>
      <c r="Z1504" t="s">
        <v>145</v>
      </c>
      <c r="AA1504" t="s">
        <v>610</v>
      </c>
      <c r="AB1504" t="s">
        <v>44</v>
      </c>
      <c r="AC1504" t="s">
        <v>59</v>
      </c>
    </row>
    <row r="1505" spans="1:30" x14ac:dyDescent="0.2">
      <c r="A1505" s="3">
        <v>42572</v>
      </c>
      <c r="B1505" t="s">
        <v>23</v>
      </c>
      <c r="C1505">
        <v>402</v>
      </c>
      <c r="D1505">
        <v>1</v>
      </c>
      <c r="E1505">
        <v>1</v>
      </c>
      <c r="F1505" t="s">
        <v>24</v>
      </c>
      <c r="G1505" t="s">
        <v>25</v>
      </c>
      <c r="H1505" t="s">
        <v>26</v>
      </c>
      <c r="I1505" t="s">
        <v>52</v>
      </c>
      <c r="J1505" t="s">
        <v>28</v>
      </c>
      <c r="K1505" t="s">
        <v>29</v>
      </c>
      <c r="L1505" t="s">
        <v>30</v>
      </c>
      <c r="M1505">
        <v>0</v>
      </c>
      <c r="N1505">
        <v>0</v>
      </c>
      <c r="O1505" s="17">
        <v>50806</v>
      </c>
      <c r="Q1505">
        <v>20</v>
      </c>
      <c r="R1505" t="s">
        <v>91</v>
      </c>
      <c r="S1505" t="s">
        <v>32</v>
      </c>
      <c r="Z1505" t="s">
        <v>145</v>
      </c>
      <c r="AB1505" t="s">
        <v>121</v>
      </c>
      <c r="AC1505" t="s">
        <v>122</v>
      </c>
      <c r="AD1505" t="s">
        <v>649</v>
      </c>
    </row>
    <row r="1506" spans="1:30" x14ac:dyDescent="0.2">
      <c r="A1506" s="3">
        <v>42585</v>
      </c>
      <c r="B1506" t="s">
        <v>23</v>
      </c>
      <c r="C1506">
        <v>402</v>
      </c>
      <c r="D1506">
        <v>1</v>
      </c>
      <c r="E1506" t="s">
        <v>901</v>
      </c>
      <c r="F1506" t="s">
        <v>64</v>
      </c>
      <c r="G1506" t="s">
        <v>25</v>
      </c>
      <c r="H1506" t="s">
        <v>26</v>
      </c>
      <c r="I1506" t="s">
        <v>52</v>
      </c>
      <c r="J1506" t="s">
        <v>28</v>
      </c>
      <c r="K1506" t="s">
        <v>29</v>
      </c>
      <c r="L1506" t="s">
        <v>30</v>
      </c>
      <c r="M1506">
        <v>0</v>
      </c>
      <c r="N1506">
        <v>0</v>
      </c>
      <c r="O1506" s="17">
        <v>50806</v>
      </c>
      <c r="Q1506">
        <f>26.5-5</f>
        <v>21.5</v>
      </c>
      <c r="R1506" t="s">
        <v>63</v>
      </c>
      <c r="Z1506" t="s">
        <v>145</v>
      </c>
      <c r="AA1506" t="s">
        <v>260</v>
      </c>
      <c r="AB1506" t="s">
        <v>53</v>
      </c>
      <c r="AC1506" t="s">
        <v>122</v>
      </c>
    </row>
    <row r="1507" spans="1:30" x14ac:dyDescent="0.2">
      <c r="A1507" s="3">
        <v>42586</v>
      </c>
      <c r="B1507" t="s">
        <v>23</v>
      </c>
      <c r="C1507">
        <v>402</v>
      </c>
      <c r="D1507">
        <v>1</v>
      </c>
      <c r="E1507">
        <v>2</v>
      </c>
      <c r="F1507" t="s">
        <v>64</v>
      </c>
      <c r="G1507" t="s">
        <v>25</v>
      </c>
      <c r="H1507" t="s">
        <v>26</v>
      </c>
      <c r="I1507" t="s">
        <v>52</v>
      </c>
      <c r="J1507" t="s">
        <v>911</v>
      </c>
      <c r="O1507" s="17" t="s">
        <v>996</v>
      </c>
    </row>
    <row r="1508" spans="1:30" x14ac:dyDescent="0.2">
      <c r="A1508" s="3">
        <v>42571</v>
      </c>
      <c r="B1508" t="s">
        <v>23</v>
      </c>
      <c r="C1508">
        <v>402</v>
      </c>
      <c r="D1508">
        <v>1</v>
      </c>
      <c r="E1508">
        <v>2</v>
      </c>
      <c r="F1508" t="s">
        <v>24</v>
      </c>
      <c r="G1508" t="s">
        <v>25</v>
      </c>
      <c r="H1508" t="s">
        <v>26</v>
      </c>
      <c r="I1508" t="s">
        <v>52</v>
      </c>
      <c r="J1508" t="s">
        <v>34</v>
      </c>
      <c r="K1508" t="s">
        <v>29</v>
      </c>
      <c r="L1508" t="s">
        <v>35</v>
      </c>
      <c r="M1508">
        <v>0</v>
      </c>
      <c r="N1508">
        <v>1</v>
      </c>
      <c r="O1508" s="17">
        <v>50807</v>
      </c>
      <c r="Q1508">
        <v>22</v>
      </c>
      <c r="R1508" t="s">
        <v>63</v>
      </c>
      <c r="T1508">
        <v>16</v>
      </c>
      <c r="Z1508" t="s">
        <v>145</v>
      </c>
      <c r="AA1508" t="s">
        <v>611</v>
      </c>
      <c r="AB1508" t="s">
        <v>44</v>
      </c>
      <c r="AC1508" t="s">
        <v>59</v>
      </c>
    </row>
    <row r="1509" spans="1:30" x14ac:dyDescent="0.2">
      <c r="A1509" s="3">
        <v>42585</v>
      </c>
      <c r="B1509" t="s">
        <v>23</v>
      </c>
      <c r="C1509">
        <v>402</v>
      </c>
      <c r="D1509">
        <v>1</v>
      </c>
      <c r="E1509" t="s">
        <v>900</v>
      </c>
      <c r="F1509" t="s">
        <v>64</v>
      </c>
      <c r="G1509" t="s">
        <v>25</v>
      </c>
      <c r="H1509" t="s">
        <v>26</v>
      </c>
      <c r="I1509" t="s">
        <v>52</v>
      </c>
      <c r="J1509" t="s">
        <v>28</v>
      </c>
      <c r="K1509" t="s">
        <v>29</v>
      </c>
      <c r="L1509" t="s">
        <v>35</v>
      </c>
      <c r="M1509">
        <v>0</v>
      </c>
      <c r="N1509">
        <v>0</v>
      </c>
      <c r="O1509" s="17">
        <v>50807</v>
      </c>
      <c r="Q1509">
        <f>29-6</f>
        <v>23</v>
      </c>
      <c r="R1509" t="s">
        <v>39</v>
      </c>
      <c r="T1509">
        <v>17</v>
      </c>
      <c r="W1509">
        <v>12.6</v>
      </c>
      <c r="X1509">
        <v>25.3</v>
      </c>
      <c r="Z1509" t="s">
        <v>145</v>
      </c>
      <c r="AA1509" t="s">
        <v>260</v>
      </c>
      <c r="AB1509" t="s">
        <v>53</v>
      </c>
      <c r="AC1509" t="s">
        <v>122</v>
      </c>
    </row>
    <row r="1510" spans="1:30" x14ac:dyDescent="0.2">
      <c r="A1510" s="3">
        <v>42572</v>
      </c>
      <c r="B1510" t="s">
        <v>23</v>
      </c>
      <c r="C1510">
        <v>112</v>
      </c>
      <c r="D1510">
        <v>6</v>
      </c>
      <c r="E1510">
        <v>1</v>
      </c>
      <c r="F1510" t="s">
        <v>24</v>
      </c>
      <c r="G1510" t="s">
        <v>25</v>
      </c>
      <c r="H1510" t="s">
        <v>26</v>
      </c>
      <c r="I1510" t="s">
        <v>52</v>
      </c>
      <c r="J1510" t="s">
        <v>34</v>
      </c>
      <c r="K1510" t="s">
        <v>123</v>
      </c>
      <c r="L1510" t="s">
        <v>30</v>
      </c>
      <c r="M1510">
        <v>0</v>
      </c>
      <c r="N1510">
        <v>1</v>
      </c>
      <c r="O1510" s="17">
        <v>50818</v>
      </c>
      <c r="Q1510">
        <f>22-9.5</f>
        <v>12.5</v>
      </c>
      <c r="R1510" t="s">
        <v>31</v>
      </c>
      <c r="S1510" t="s">
        <v>32</v>
      </c>
      <c r="T1510">
        <v>17</v>
      </c>
      <c r="W1510">
        <v>11.9</v>
      </c>
      <c r="X1510">
        <v>23.5</v>
      </c>
      <c r="Z1510" t="s">
        <v>32</v>
      </c>
      <c r="AB1510" t="s">
        <v>121</v>
      </c>
      <c r="AC1510" t="s">
        <v>122</v>
      </c>
    </row>
    <row r="1511" spans="1:30" x14ac:dyDescent="0.2">
      <c r="A1511" s="3">
        <v>42572</v>
      </c>
      <c r="B1511" t="s">
        <v>23</v>
      </c>
      <c r="C1511">
        <v>112</v>
      </c>
      <c r="D1511">
        <v>10</v>
      </c>
      <c r="E1511">
        <v>1</v>
      </c>
      <c r="F1511" t="s">
        <v>24</v>
      </c>
      <c r="G1511" t="s">
        <v>25</v>
      </c>
      <c r="H1511" t="s">
        <v>26</v>
      </c>
      <c r="I1511" t="s">
        <v>52</v>
      </c>
      <c r="J1511" t="s">
        <v>34</v>
      </c>
      <c r="K1511" t="s">
        <v>123</v>
      </c>
      <c r="L1511" t="s">
        <v>30</v>
      </c>
      <c r="M1511">
        <v>0</v>
      </c>
      <c r="N1511">
        <v>1</v>
      </c>
      <c r="O1511" s="17">
        <v>50819</v>
      </c>
      <c r="Q1511">
        <v>11</v>
      </c>
      <c r="R1511" t="s">
        <v>31</v>
      </c>
      <c r="S1511" t="s">
        <v>32</v>
      </c>
      <c r="T1511">
        <v>16</v>
      </c>
      <c r="W1511">
        <v>11.9</v>
      </c>
      <c r="X1511">
        <v>15.7</v>
      </c>
      <c r="Z1511" t="s">
        <v>145</v>
      </c>
      <c r="AB1511" t="s">
        <v>121</v>
      </c>
      <c r="AC1511" t="s">
        <v>122</v>
      </c>
    </row>
    <row r="1512" spans="1:30" x14ac:dyDescent="0.2">
      <c r="A1512" s="3">
        <v>42576</v>
      </c>
      <c r="B1512" t="s">
        <v>23</v>
      </c>
      <c r="C1512">
        <v>503</v>
      </c>
      <c r="D1512">
        <v>2</v>
      </c>
      <c r="E1512">
        <v>2</v>
      </c>
      <c r="F1512" t="s">
        <v>33</v>
      </c>
      <c r="G1512" t="s">
        <v>25</v>
      </c>
      <c r="H1512" t="s">
        <v>26</v>
      </c>
      <c r="I1512" t="s">
        <v>52</v>
      </c>
      <c r="J1512" t="s">
        <v>34</v>
      </c>
      <c r="K1512" t="s">
        <v>29</v>
      </c>
      <c r="L1512" t="s">
        <v>30</v>
      </c>
      <c r="M1512">
        <v>0</v>
      </c>
      <c r="N1512">
        <v>1</v>
      </c>
      <c r="O1512" s="17">
        <v>50826</v>
      </c>
      <c r="Q1512">
        <f>33-11</f>
        <v>22</v>
      </c>
      <c r="R1512" t="s">
        <v>61</v>
      </c>
      <c r="S1512" t="s">
        <v>32</v>
      </c>
      <c r="T1512">
        <v>17</v>
      </c>
      <c r="W1512">
        <v>12.9</v>
      </c>
      <c r="X1512">
        <v>27.3</v>
      </c>
      <c r="Z1512" t="s">
        <v>145</v>
      </c>
      <c r="AA1512" t="s">
        <v>753</v>
      </c>
      <c r="AB1512" t="s">
        <v>121</v>
      </c>
      <c r="AC1512" t="s">
        <v>122</v>
      </c>
    </row>
    <row r="1513" spans="1:30" x14ac:dyDescent="0.2">
      <c r="A1513" s="3">
        <v>42572</v>
      </c>
      <c r="B1513" t="s">
        <v>23</v>
      </c>
      <c r="C1513">
        <v>304</v>
      </c>
      <c r="D1513">
        <v>7</v>
      </c>
      <c r="E1513">
        <v>2</v>
      </c>
      <c r="F1513" t="s">
        <v>33</v>
      </c>
      <c r="G1513" t="s">
        <v>25</v>
      </c>
      <c r="H1513" t="s">
        <v>26</v>
      </c>
      <c r="I1513" t="s">
        <v>52</v>
      </c>
      <c r="J1513" t="s">
        <v>34</v>
      </c>
      <c r="K1513" t="s">
        <v>29</v>
      </c>
      <c r="L1513" t="s">
        <v>30</v>
      </c>
      <c r="M1513">
        <v>0</v>
      </c>
      <c r="N1513">
        <v>1</v>
      </c>
      <c r="O1513" s="17">
        <v>50831</v>
      </c>
      <c r="Q1513">
        <f>32-11</f>
        <v>21</v>
      </c>
      <c r="R1513" t="s">
        <v>273</v>
      </c>
      <c r="S1513" t="s">
        <v>145</v>
      </c>
      <c r="T1513">
        <v>16.5</v>
      </c>
      <c r="W1513">
        <v>12.9</v>
      </c>
      <c r="X1513">
        <v>26.5</v>
      </c>
      <c r="Z1513" t="s">
        <v>145</v>
      </c>
      <c r="AA1513" t="s">
        <v>260</v>
      </c>
      <c r="AB1513" t="s">
        <v>121</v>
      </c>
      <c r="AC1513" t="s">
        <v>59</v>
      </c>
    </row>
    <row r="1514" spans="1:30" x14ac:dyDescent="0.2">
      <c r="A1514" s="3">
        <v>42572</v>
      </c>
      <c r="B1514" t="s">
        <v>23</v>
      </c>
      <c r="C1514">
        <v>304</v>
      </c>
      <c r="D1514">
        <v>9</v>
      </c>
      <c r="E1514">
        <v>2</v>
      </c>
      <c r="F1514" t="s">
        <v>33</v>
      </c>
      <c r="G1514" t="s">
        <v>25</v>
      </c>
      <c r="H1514" t="s">
        <v>26</v>
      </c>
      <c r="I1514" t="s">
        <v>52</v>
      </c>
      <c r="J1514" t="s">
        <v>34</v>
      </c>
      <c r="K1514" t="s">
        <v>29</v>
      </c>
      <c r="L1514" t="s">
        <v>30</v>
      </c>
      <c r="M1514">
        <v>0</v>
      </c>
      <c r="N1514">
        <v>1</v>
      </c>
      <c r="O1514" s="17">
        <v>50832</v>
      </c>
      <c r="Q1514">
        <v>30</v>
      </c>
      <c r="R1514" t="s">
        <v>273</v>
      </c>
      <c r="S1514" t="s">
        <v>145</v>
      </c>
      <c r="T1514">
        <v>20</v>
      </c>
      <c r="W1514">
        <v>12.9</v>
      </c>
      <c r="Z1514" t="s">
        <v>145</v>
      </c>
      <c r="AA1514" t="s">
        <v>260</v>
      </c>
      <c r="AB1514" t="s">
        <v>121</v>
      </c>
      <c r="AC1514" t="s">
        <v>59</v>
      </c>
    </row>
    <row r="1515" spans="1:30" x14ac:dyDescent="0.2">
      <c r="A1515" s="3">
        <v>42599</v>
      </c>
      <c r="B1515" t="s">
        <v>23</v>
      </c>
      <c r="C1515">
        <v>304</v>
      </c>
      <c r="D1515">
        <v>9</v>
      </c>
      <c r="E1515">
        <v>2</v>
      </c>
      <c r="F1515" t="s">
        <v>64</v>
      </c>
      <c r="G1515" t="s">
        <v>25</v>
      </c>
      <c r="H1515" t="s">
        <v>26</v>
      </c>
      <c r="I1515" t="s">
        <v>52</v>
      </c>
      <c r="J1515" t="s">
        <v>28</v>
      </c>
      <c r="K1515" t="s">
        <v>29</v>
      </c>
      <c r="L1515" t="s">
        <v>30</v>
      </c>
      <c r="M1515">
        <v>0</v>
      </c>
      <c r="N1515">
        <v>0</v>
      </c>
      <c r="O1515" s="17" t="s">
        <v>1638</v>
      </c>
      <c r="Q1515">
        <f>44-15</f>
        <v>29</v>
      </c>
      <c r="R1515" t="s">
        <v>251</v>
      </c>
      <c r="S1515" t="s">
        <v>145</v>
      </c>
      <c r="T1515">
        <v>19</v>
      </c>
      <c r="W1515">
        <v>13.1</v>
      </c>
      <c r="X1515">
        <v>29.1</v>
      </c>
      <c r="Z1515" t="s">
        <v>145</v>
      </c>
      <c r="AA1515" t="s">
        <v>260</v>
      </c>
      <c r="AB1515" t="s">
        <v>121</v>
      </c>
      <c r="AC1515" t="s">
        <v>59</v>
      </c>
    </row>
    <row r="1516" spans="1:30" x14ac:dyDescent="0.2">
      <c r="A1516" s="3">
        <v>42600</v>
      </c>
      <c r="B1516" t="s">
        <v>23</v>
      </c>
      <c r="C1516">
        <v>304</v>
      </c>
      <c r="D1516">
        <v>8</v>
      </c>
      <c r="E1516">
        <v>1</v>
      </c>
      <c r="F1516" t="s">
        <v>64</v>
      </c>
      <c r="G1516" t="s">
        <v>25</v>
      </c>
      <c r="H1516" t="s">
        <v>26</v>
      </c>
      <c r="I1516" t="s">
        <v>52</v>
      </c>
      <c r="J1516" t="s">
        <v>28</v>
      </c>
      <c r="K1516" t="s">
        <v>29</v>
      </c>
      <c r="L1516" t="s">
        <v>30</v>
      </c>
      <c r="M1516">
        <v>0</v>
      </c>
      <c r="N1516">
        <v>0</v>
      </c>
      <c r="O1516" s="17" t="s">
        <v>1638</v>
      </c>
      <c r="Q1516">
        <f>45.5-15</f>
        <v>30.5</v>
      </c>
      <c r="R1516" t="s">
        <v>251</v>
      </c>
      <c r="S1516" t="s">
        <v>145</v>
      </c>
      <c r="T1516">
        <v>18</v>
      </c>
      <c r="W1516">
        <v>13</v>
      </c>
      <c r="X1516">
        <v>26.4</v>
      </c>
      <c r="Z1516" t="s">
        <v>145</v>
      </c>
      <c r="AA1516" t="s">
        <v>260</v>
      </c>
      <c r="AB1516" t="s">
        <v>121</v>
      </c>
      <c r="AC1516" t="s">
        <v>122</v>
      </c>
    </row>
    <row r="1517" spans="1:30" x14ac:dyDescent="0.2">
      <c r="A1517" s="3">
        <v>42572</v>
      </c>
      <c r="B1517" t="s">
        <v>23</v>
      </c>
      <c r="C1517">
        <v>203</v>
      </c>
      <c r="D1517">
        <v>3</v>
      </c>
      <c r="E1517">
        <v>2</v>
      </c>
      <c r="F1517" t="s">
        <v>33</v>
      </c>
      <c r="G1517" t="s">
        <v>25</v>
      </c>
      <c r="H1517" t="s">
        <v>26</v>
      </c>
      <c r="I1517" t="s">
        <v>52</v>
      </c>
      <c r="J1517" t="s">
        <v>34</v>
      </c>
      <c r="K1517" t="s">
        <v>188</v>
      </c>
      <c r="L1517" t="s">
        <v>35</v>
      </c>
      <c r="M1517">
        <v>0</v>
      </c>
      <c r="N1517">
        <v>1</v>
      </c>
      <c r="O1517" s="17">
        <v>50839</v>
      </c>
      <c r="Q1517">
        <f>28-12</f>
        <v>16</v>
      </c>
      <c r="R1517" t="s">
        <v>39</v>
      </c>
      <c r="T1517">
        <v>18</v>
      </c>
      <c r="W1517">
        <v>12.8</v>
      </c>
      <c r="X1517">
        <v>26.6</v>
      </c>
      <c r="Z1517" t="s">
        <v>145</v>
      </c>
      <c r="AA1517" t="s">
        <v>627</v>
      </c>
      <c r="AB1517" t="s">
        <v>121</v>
      </c>
      <c r="AC1517" t="s">
        <v>59</v>
      </c>
    </row>
    <row r="1518" spans="1:30" x14ac:dyDescent="0.2">
      <c r="A1518" s="3">
        <v>42572</v>
      </c>
      <c r="B1518" t="s">
        <v>23</v>
      </c>
      <c r="C1518">
        <v>402</v>
      </c>
      <c r="D1518">
        <v>1</v>
      </c>
      <c r="E1518">
        <v>2</v>
      </c>
      <c r="F1518" t="s">
        <v>24</v>
      </c>
      <c r="G1518" t="s">
        <v>25</v>
      </c>
      <c r="H1518" t="s">
        <v>26</v>
      </c>
      <c r="I1518" t="s">
        <v>52</v>
      </c>
      <c r="J1518" t="s">
        <v>34</v>
      </c>
      <c r="K1518" t="s">
        <v>29</v>
      </c>
      <c r="L1518" t="s">
        <v>35</v>
      </c>
      <c r="M1518">
        <v>0</v>
      </c>
      <c r="N1518">
        <v>1</v>
      </c>
      <c r="O1518" s="17">
        <v>50855</v>
      </c>
      <c r="Q1518">
        <f>34-12</f>
        <v>22</v>
      </c>
      <c r="R1518" t="s">
        <v>63</v>
      </c>
      <c r="Z1518" t="s">
        <v>145</v>
      </c>
      <c r="AB1518" t="s">
        <v>121</v>
      </c>
      <c r="AC1518" t="s">
        <v>122</v>
      </c>
      <c r="AD1518" t="s">
        <v>650</v>
      </c>
    </row>
    <row r="1519" spans="1:30" x14ac:dyDescent="0.2">
      <c r="A1519" s="3">
        <v>42588</v>
      </c>
      <c r="B1519" t="s">
        <v>23</v>
      </c>
      <c r="C1519">
        <v>402</v>
      </c>
      <c r="D1519">
        <v>4</v>
      </c>
      <c r="E1519">
        <v>1</v>
      </c>
      <c r="F1519" t="s">
        <v>24</v>
      </c>
      <c r="G1519" t="s">
        <v>25</v>
      </c>
      <c r="H1519" t="s">
        <v>26</v>
      </c>
      <c r="I1519" t="s">
        <v>52</v>
      </c>
      <c r="J1519" t="s">
        <v>28</v>
      </c>
      <c r="K1519" t="s">
        <v>29</v>
      </c>
      <c r="L1519" t="s">
        <v>35</v>
      </c>
      <c r="M1519">
        <v>0</v>
      </c>
      <c r="N1519">
        <v>0</v>
      </c>
      <c r="O1519" s="17" t="s">
        <v>1063</v>
      </c>
      <c r="Q1519">
        <f>38-14</f>
        <v>24</v>
      </c>
      <c r="R1519" t="s">
        <v>63</v>
      </c>
      <c r="T1519">
        <v>18</v>
      </c>
      <c r="W1519">
        <v>12.5</v>
      </c>
      <c r="X1519">
        <v>26.8</v>
      </c>
      <c r="Z1519" t="s">
        <v>145</v>
      </c>
      <c r="AB1519" t="s">
        <v>121</v>
      </c>
      <c r="AC1519" t="s">
        <v>59</v>
      </c>
      <c r="AD1519" t="s">
        <v>1064</v>
      </c>
    </row>
    <row r="1520" spans="1:30" x14ac:dyDescent="0.2">
      <c r="A1520" s="3">
        <v>42572</v>
      </c>
      <c r="B1520" t="s">
        <v>23</v>
      </c>
      <c r="C1520">
        <v>402</v>
      </c>
      <c r="D1520">
        <v>6</v>
      </c>
      <c r="E1520">
        <v>1</v>
      </c>
      <c r="F1520" t="s">
        <v>24</v>
      </c>
      <c r="G1520" t="s">
        <v>25</v>
      </c>
      <c r="H1520" t="s">
        <v>26</v>
      </c>
      <c r="I1520" t="s">
        <v>52</v>
      </c>
      <c r="J1520" t="s">
        <v>34</v>
      </c>
      <c r="K1520" t="s">
        <v>29</v>
      </c>
      <c r="L1520" t="s">
        <v>30</v>
      </c>
      <c r="M1520">
        <v>0</v>
      </c>
      <c r="N1520">
        <v>1</v>
      </c>
      <c r="O1520" s="17">
        <v>50856</v>
      </c>
      <c r="Q1520">
        <f>44-15</f>
        <v>29</v>
      </c>
      <c r="R1520" t="s">
        <v>94</v>
      </c>
      <c r="S1520" t="s">
        <v>32</v>
      </c>
      <c r="Z1520" t="s">
        <v>145</v>
      </c>
      <c r="AA1520" t="s">
        <v>651</v>
      </c>
      <c r="AB1520" t="s">
        <v>121</v>
      </c>
      <c r="AC1520" t="s">
        <v>122</v>
      </c>
    </row>
    <row r="1521" spans="1:30" x14ac:dyDescent="0.2">
      <c r="A1521" s="3">
        <v>42574</v>
      </c>
      <c r="B1521" t="s">
        <v>23</v>
      </c>
      <c r="C1521">
        <v>703</v>
      </c>
      <c r="D1521">
        <v>6</v>
      </c>
      <c r="E1521">
        <v>1</v>
      </c>
      <c r="F1521" t="s">
        <v>24</v>
      </c>
      <c r="G1521" t="s">
        <v>25</v>
      </c>
      <c r="H1521" t="s">
        <v>26</v>
      </c>
      <c r="I1521" t="s">
        <v>52</v>
      </c>
      <c r="J1521" t="s">
        <v>34</v>
      </c>
      <c r="K1521" t="s">
        <v>29</v>
      </c>
      <c r="L1521" t="s">
        <v>35</v>
      </c>
      <c r="M1521">
        <v>0</v>
      </c>
      <c r="N1521">
        <v>1</v>
      </c>
      <c r="O1521" s="17">
        <v>50857</v>
      </c>
      <c r="Q1521">
        <f>35-13.5</f>
        <v>21.5</v>
      </c>
      <c r="R1521" t="s">
        <v>63</v>
      </c>
      <c r="T1521">
        <v>17</v>
      </c>
      <c r="W1521">
        <v>12.5</v>
      </c>
      <c r="X1521">
        <v>26.3</v>
      </c>
      <c r="Z1521" t="s">
        <v>145</v>
      </c>
      <c r="AB1521" t="s">
        <v>582</v>
      </c>
      <c r="AC1521" t="s">
        <v>59</v>
      </c>
    </row>
    <row r="1522" spans="1:30" x14ac:dyDescent="0.2">
      <c r="A1522" s="3">
        <v>42591</v>
      </c>
      <c r="B1522" t="s">
        <v>23</v>
      </c>
      <c r="C1522">
        <v>703</v>
      </c>
      <c r="D1522">
        <v>1</v>
      </c>
      <c r="E1522">
        <v>2</v>
      </c>
      <c r="F1522" t="s">
        <v>64</v>
      </c>
      <c r="G1522" t="s">
        <v>25</v>
      </c>
      <c r="H1522" t="s">
        <v>26</v>
      </c>
      <c r="I1522" t="s">
        <v>52</v>
      </c>
      <c r="J1522" t="s">
        <v>28</v>
      </c>
      <c r="K1522" t="s">
        <v>29</v>
      </c>
      <c r="L1522" t="s">
        <v>35</v>
      </c>
      <c r="M1522">
        <v>0</v>
      </c>
      <c r="N1522">
        <v>0</v>
      </c>
      <c r="O1522" s="17" t="s">
        <v>1333</v>
      </c>
      <c r="Q1522">
        <f>35.5-15.5</f>
        <v>20</v>
      </c>
      <c r="R1522" t="s">
        <v>39</v>
      </c>
      <c r="T1522">
        <v>18</v>
      </c>
      <c r="W1522">
        <v>13</v>
      </c>
      <c r="X1522">
        <v>26.8</v>
      </c>
      <c r="Z1522" t="s">
        <v>145</v>
      </c>
      <c r="AB1522" t="s">
        <v>44</v>
      </c>
      <c r="AC1522" t="s">
        <v>59</v>
      </c>
    </row>
    <row r="1523" spans="1:30" x14ac:dyDescent="0.2">
      <c r="A1523" s="3">
        <v>42584</v>
      </c>
      <c r="B1523" t="s">
        <v>23</v>
      </c>
      <c r="C1523">
        <v>402</v>
      </c>
      <c r="D1523">
        <v>2</v>
      </c>
      <c r="E1523">
        <v>1</v>
      </c>
      <c r="F1523" t="s">
        <v>33</v>
      </c>
      <c r="G1523" t="s">
        <v>25</v>
      </c>
      <c r="H1523" t="s">
        <v>26</v>
      </c>
      <c r="I1523" t="s">
        <v>52</v>
      </c>
      <c r="J1523" t="s">
        <v>34</v>
      </c>
      <c r="K1523" t="s">
        <v>29</v>
      </c>
      <c r="L1523" t="s">
        <v>30</v>
      </c>
      <c r="M1523">
        <v>0</v>
      </c>
      <c r="N1523">
        <v>1</v>
      </c>
      <c r="O1523" s="17">
        <v>50889</v>
      </c>
      <c r="Q1523">
        <f>29-5</f>
        <v>24</v>
      </c>
      <c r="R1523" t="s">
        <v>273</v>
      </c>
      <c r="S1523" t="s">
        <v>145</v>
      </c>
      <c r="T1523">
        <v>18</v>
      </c>
      <c r="W1523">
        <v>12.9</v>
      </c>
      <c r="X1523">
        <v>26.7</v>
      </c>
      <c r="Z1523" t="s">
        <v>145</v>
      </c>
      <c r="AA1523" t="s">
        <v>839</v>
      </c>
      <c r="AB1523" t="s">
        <v>121</v>
      </c>
      <c r="AC1523" t="s">
        <v>59</v>
      </c>
    </row>
    <row r="1524" spans="1:30" x14ac:dyDescent="0.2">
      <c r="A1524" s="3">
        <v>42585</v>
      </c>
      <c r="B1524" t="s">
        <v>23</v>
      </c>
      <c r="C1524">
        <v>402</v>
      </c>
      <c r="D1524">
        <v>2</v>
      </c>
      <c r="E1524">
        <v>1</v>
      </c>
      <c r="F1524" t="s">
        <v>64</v>
      </c>
      <c r="G1524" t="s">
        <v>25</v>
      </c>
      <c r="H1524" t="s">
        <v>26</v>
      </c>
      <c r="I1524" t="s">
        <v>52</v>
      </c>
      <c r="J1524" t="s">
        <v>28</v>
      </c>
      <c r="K1524" t="s">
        <v>29</v>
      </c>
      <c r="L1524" t="s">
        <v>30</v>
      </c>
      <c r="M1524">
        <v>0</v>
      </c>
      <c r="N1524">
        <v>0</v>
      </c>
      <c r="O1524" s="17">
        <v>50889</v>
      </c>
      <c r="Q1524">
        <f>29-5</f>
        <v>24</v>
      </c>
      <c r="R1524" t="s">
        <v>279</v>
      </c>
      <c r="S1524" t="s">
        <v>145</v>
      </c>
      <c r="T1524">
        <v>18</v>
      </c>
      <c r="W1524">
        <v>12.8</v>
      </c>
      <c r="X1524">
        <v>26.7</v>
      </c>
      <c r="Z1524" t="s">
        <v>145</v>
      </c>
      <c r="AA1524" t="s">
        <v>260</v>
      </c>
      <c r="AB1524" t="s">
        <v>53</v>
      </c>
      <c r="AC1524" t="s">
        <v>122</v>
      </c>
    </row>
    <row r="1525" spans="1:30" x14ac:dyDescent="0.2">
      <c r="A1525" s="3">
        <v>42576</v>
      </c>
      <c r="B1525" t="s">
        <v>23</v>
      </c>
      <c r="C1525">
        <v>801</v>
      </c>
      <c r="D1525">
        <v>6</v>
      </c>
      <c r="E1525">
        <v>1</v>
      </c>
      <c r="F1525" t="s">
        <v>24</v>
      </c>
      <c r="G1525" t="s">
        <v>25</v>
      </c>
      <c r="H1525" t="s">
        <v>26</v>
      </c>
      <c r="I1525" t="s">
        <v>52</v>
      </c>
      <c r="J1525" t="s">
        <v>34</v>
      </c>
      <c r="K1525" t="s">
        <v>123</v>
      </c>
      <c r="L1525" t="s">
        <v>35</v>
      </c>
      <c r="M1525">
        <v>0</v>
      </c>
      <c r="N1525">
        <v>1</v>
      </c>
      <c r="O1525" s="17">
        <v>50924</v>
      </c>
      <c r="Q1525">
        <v>17</v>
      </c>
      <c r="R1525" t="s">
        <v>63</v>
      </c>
      <c r="T1525">
        <v>17</v>
      </c>
      <c r="W1525">
        <v>13.2</v>
      </c>
      <c r="X1525">
        <v>26.1</v>
      </c>
      <c r="Z1525" t="s">
        <v>32</v>
      </c>
      <c r="AB1525" t="s">
        <v>121</v>
      </c>
      <c r="AC1525" t="s">
        <v>122</v>
      </c>
    </row>
    <row r="1526" spans="1:30" x14ac:dyDescent="0.2">
      <c r="A1526" s="3">
        <v>42591</v>
      </c>
      <c r="B1526" t="s">
        <v>23</v>
      </c>
      <c r="C1526">
        <v>801</v>
      </c>
      <c r="D1526">
        <v>5</v>
      </c>
      <c r="E1526">
        <v>1</v>
      </c>
      <c r="F1526" t="s">
        <v>64</v>
      </c>
      <c r="G1526" t="s">
        <v>25</v>
      </c>
      <c r="H1526" t="s">
        <v>26</v>
      </c>
      <c r="I1526" t="s">
        <v>52</v>
      </c>
      <c r="J1526" t="s">
        <v>28</v>
      </c>
      <c r="K1526" t="s">
        <v>188</v>
      </c>
      <c r="L1526" t="s">
        <v>35</v>
      </c>
      <c r="M1526">
        <v>0</v>
      </c>
      <c r="N1526">
        <v>0</v>
      </c>
      <c r="O1526" s="17" t="s">
        <v>1372</v>
      </c>
      <c r="Q1526">
        <f>36-18.5</f>
        <v>17.5</v>
      </c>
      <c r="R1526" t="s">
        <v>63</v>
      </c>
      <c r="T1526">
        <v>17</v>
      </c>
      <c r="W1526">
        <v>13.2</v>
      </c>
      <c r="X1526">
        <v>28</v>
      </c>
      <c r="Z1526" t="s">
        <v>145</v>
      </c>
      <c r="AA1526" t="s">
        <v>260</v>
      </c>
      <c r="AB1526" t="s">
        <v>44</v>
      </c>
      <c r="AC1526" t="s">
        <v>59</v>
      </c>
    </row>
    <row r="1527" spans="1:30" x14ac:dyDescent="0.2">
      <c r="A1527" s="3">
        <v>42604</v>
      </c>
      <c r="B1527" t="s">
        <v>23</v>
      </c>
      <c r="C1527">
        <v>801</v>
      </c>
      <c r="D1527">
        <v>6</v>
      </c>
      <c r="E1527">
        <v>2</v>
      </c>
      <c r="F1527" t="s">
        <v>24</v>
      </c>
      <c r="G1527" t="s">
        <v>25</v>
      </c>
      <c r="H1527" t="s">
        <v>26</v>
      </c>
      <c r="I1527" t="s">
        <v>52</v>
      </c>
      <c r="J1527" t="s">
        <v>28</v>
      </c>
      <c r="K1527" t="s">
        <v>29</v>
      </c>
      <c r="L1527" t="s">
        <v>35</v>
      </c>
      <c r="M1527">
        <v>0</v>
      </c>
      <c r="N1527">
        <v>0</v>
      </c>
      <c r="O1527" s="17" t="s">
        <v>1372</v>
      </c>
      <c r="Q1527">
        <f>36-18</f>
        <v>18</v>
      </c>
      <c r="R1527" t="s">
        <v>31</v>
      </c>
      <c r="S1527" t="s">
        <v>32</v>
      </c>
      <c r="T1527">
        <v>17</v>
      </c>
      <c r="W1527">
        <v>12.95</v>
      </c>
      <c r="X1527">
        <v>26.9</v>
      </c>
      <c r="Z1527" t="s">
        <v>145</v>
      </c>
      <c r="AB1527" t="s">
        <v>582</v>
      </c>
      <c r="AC1527" t="s">
        <v>116</v>
      </c>
      <c r="AD1527" t="s">
        <v>1879</v>
      </c>
    </row>
    <row r="1528" spans="1:30" x14ac:dyDescent="0.2">
      <c r="A1528" s="3">
        <v>42605</v>
      </c>
      <c r="B1528" t="s">
        <v>23</v>
      </c>
      <c r="C1528">
        <v>801</v>
      </c>
      <c r="D1528">
        <v>3</v>
      </c>
      <c r="E1528">
        <v>2</v>
      </c>
      <c r="F1528" t="s">
        <v>24</v>
      </c>
      <c r="G1528" t="s">
        <v>25</v>
      </c>
      <c r="H1528" t="s">
        <v>26</v>
      </c>
      <c r="I1528" t="s">
        <v>52</v>
      </c>
      <c r="J1528" t="s">
        <v>28</v>
      </c>
      <c r="K1528" t="s">
        <v>187</v>
      </c>
      <c r="L1528" t="s">
        <v>35</v>
      </c>
      <c r="M1528">
        <v>0</v>
      </c>
      <c r="N1528">
        <v>0</v>
      </c>
      <c r="O1528" s="17" t="s">
        <v>1372</v>
      </c>
      <c r="Q1528">
        <f>32-14</f>
        <v>18</v>
      </c>
      <c r="R1528" t="s">
        <v>63</v>
      </c>
      <c r="T1528">
        <v>16</v>
      </c>
      <c r="W1528">
        <v>13</v>
      </c>
      <c r="X1528">
        <v>25.1</v>
      </c>
      <c r="Z1528" t="s">
        <v>145</v>
      </c>
      <c r="AB1528" t="s">
        <v>44</v>
      </c>
      <c r="AC1528" t="s">
        <v>59</v>
      </c>
    </row>
    <row r="1529" spans="1:30" x14ac:dyDescent="0.2">
      <c r="A1529" s="3">
        <v>42606</v>
      </c>
      <c r="B1529" t="s">
        <v>23</v>
      </c>
      <c r="C1529">
        <v>801</v>
      </c>
      <c r="D1529">
        <v>4</v>
      </c>
      <c r="E1529">
        <v>1</v>
      </c>
      <c r="F1529" t="s">
        <v>24</v>
      </c>
      <c r="G1529" t="s">
        <v>25</v>
      </c>
      <c r="H1529" t="s">
        <v>26</v>
      </c>
      <c r="I1529" t="s">
        <v>52</v>
      </c>
      <c r="J1529" t="s">
        <v>28</v>
      </c>
      <c r="K1529" t="s">
        <v>29</v>
      </c>
      <c r="L1529" t="s">
        <v>35</v>
      </c>
      <c r="M1529">
        <v>0</v>
      </c>
      <c r="N1529">
        <v>0</v>
      </c>
      <c r="O1529" s="17" t="s">
        <v>1372</v>
      </c>
      <c r="Q1529">
        <f>34.5-15.5</f>
        <v>19</v>
      </c>
      <c r="R1529" t="s">
        <v>63</v>
      </c>
      <c r="T1529">
        <v>15.5</v>
      </c>
      <c r="W1529">
        <v>12.85</v>
      </c>
      <c r="X1529">
        <v>26.7</v>
      </c>
      <c r="Z1529" t="s">
        <v>145</v>
      </c>
      <c r="AB1529" t="s">
        <v>44</v>
      </c>
      <c r="AC1529" t="s">
        <v>59</v>
      </c>
    </row>
    <row r="1530" spans="1:30" x14ac:dyDescent="0.2">
      <c r="A1530" s="3">
        <v>42584</v>
      </c>
      <c r="B1530" t="s">
        <v>23</v>
      </c>
      <c r="C1530">
        <v>201</v>
      </c>
      <c r="D1530">
        <v>4</v>
      </c>
      <c r="E1530">
        <v>1</v>
      </c>
      <c r="F1530" t="s">
        <v>24</v>
      </c>
      <c r="G1530" t="s">
        <v>25</v>
      </c>
      <c r="H1530" t="s">
        <v>26</v>
      </c>
      <c r="I1530" t="s">
        <v>52</v>
      </c>
      <c r="J1530" t="s">
        <v>34</v>
      </c>
      <c r="K1530" t="s">
        <v>29</v>
      </c>
      <c r="L1530" t="s">
        <v>30</v>
      </c>
      <c r="M1530">
        <v>0</v>
      </c>
      <c r="N1530">
        <v>1</v>
      </c>
      <c r="O1530" s="17">
        <v>50926</v>
      </c>
      <c r="Q1530">
        <f>41.5-14.5</f>
        <v>27</v>
      </c>
      <c r="R1530" t="s">
        <v>167</v>
      </c>
      <c r="S1530" t="s">
        <v>32</v>
      </c>
      <c r="T1530">
        <v>17</v>
      </c>
      <c r="W1530">
        <v>13</v>
      </c>
      <c r="X1530">
        <v>28.5</v>
      </c>
      <c r="Z1530" t="s">
        <v>145</v>
      </c>
      <c r="AA1530" t="s">
        <v>260</v>
      </c>
      <c r="AB1530" t="s">
        <v>44</v>
      </c>
      <c r="AC1530" t="s">
        <v>59</v>
      </c>
    </row>
    <row r="1531" spans="1:30" x14ac:dyDescent="0.2">
      <c r="A1531" s="3">
        <v>42600</v>
      </c>
      <c r="B1531" t="s">
        <v>23</v>
      </c>
      <c r="C1531">
        <v>304</v>
      </c>
      <c r="D1531">
        <v>2</v>
      </c>
      <c r="E1531">
        <v>1</v>
      </c>
      <c r="F1531" t="s">
        <v>66</v>
      </c>
      <c r="G1531" t="s">
        <v>25</v>
      </c>
      <c r="H1531" t="s">
        <v>26</v>
      </c>
      <c r="I1531" t="s">
        <v>52</v>
      </c>
      <c r="J1531" t="s">
        <v>28</v>
      </c>
      <c r="K1531" t="s">
        <v>29</v>
      </c>
      <c r="L1531" t="s">
        <v>35</v>
      </c>
      <c r="M1531">
        <v>0</v>
      </c>
      <c r="N1531">
        <v>0</v>
      </c>
      <c r="O1531" s="17" t="s">
        <v>1148</v>
      </c>
      <c r="R1531" t="s">
        <v>39</v>
      </c>
      <c r="W1531">
        <v>15.9</v>
      </c>
      <c r="X1531">
        <v>30.6</v>
      </c>
      <c r="Z1531" t="s">
        <v>145</v>
      </c>
      <c r="AA1531" t="s">
        <v>260</v>
      </c>
    </row>
    <row r="1532" spans="1:30" x14ac:dyDescent="0.2">
      <c r="A1532" s="3">
        <v>42584</v>
      </c>
      <c r="B1532" t="s">
        <v>23</v>
      </c>
      <c r="C1532">
        <v>203</v>
      </c>
      <c r="D1532">
        <v>7</v>
      </c>
      <c r="E1532">
        <v>1</v>
      </c>
      <c r="F1532" t="s">
        <v>24</v>
      </c>
      <c r="G1532" t="s">
        <v>25</v>
      </c>
      <c r="H1532" t="s">
        <v>26</v>
      </c>
      <c r="I1532" t="s">
        <v>52</v>
      </c>
      <c r="J1532" t="s">
        <v>34</v>
      </c>
      <c r="K1532" t="s">
        <v>29</v>
      </c>
      <c r="L1532" t="s">
        <v>35</v>
      </c>
      <c r="M1532">
        <v>0</v>
      </c>
      <c r="N1532">
        <v>1</v>
      </c>
      <c r="O1532" s="17">
        <v>50934</v>
      </c>
      <c r="Q1532">
        <f>31-14</f>
        <v>17</v>
      </c>
      <c r="R1532" t="s">
        <v>31</v>
      </c>
      <c r="S1532" t="s">
        <v>32</v>
      </c>
      <c r="T1532">
        <v>17.5</v>
      </c>
      <c r="W1532">
        <v>12.2</v>
      </c>
      <c r="X1532">
        <v>25.6</v>
      </c>
      <c r="Z1532" t="s">
        <v>145</v>
      </c>
      <c r="AA1532" t="s">
        <v>849</v>
      </c>
      <c r="AB1532" t="s">
        <v>44</v>
      </c>
      <c r="AC1532" t="s">
        <v>59</v>
      </c>
    </row>
    <row r="1533" spans="1:30" x14ac:dyDescent="0.2">
      <c r="A1533" s="3">
        <v>42586</v>
      </c>
      <c r="B1533" t="s">
        <v>23</v>
      </c>
      <c r="C1533">
        <v>203</v>
      </c>
      <c r="D1533">
        <v>7</v>
      </c>
      <c r="E1533">
        <v>2</v>
      </c>
      <c r="F1533" t="s">
        <v>24</v>
      </c>
      <c r="G1533" t="s">
        <v>25</v>
      </c>
      <c r="H1533" t="s">
        <v>26</v>
      </c>
      <c r="I1533" t="s">
        <v>52</v>
      </c>
      <c r="J1533" t="s">
        <v>28</v>
      </c>
      <c r="K1533" t="s">
        <v>29</v>
      </c>
      <c r="L1533" t="s">
        <v>35</v>
      </c>
      <c r="M1533">
        <v>0</v>
      </c>
      <c r="N1533">
        <v>0</v>
      </c>
      <c r="O1533" s="17">
        <v>50934</v>
      </c>
      <c r="Q1533">
        <f>31-13</f>
        <v>18</v>
      </c>
      <c r="R1533" t="s">
        <v>63</v>
      </c>
      <c r="T1533">
        <v>17</v>
      </c>
      <c r="W1533">
        <v>12.2</v>
      </c>
      <c r="X1533">
        <v>26.7</v>
      </c>
      <c r="Z1533" t="s">
        <v>145</v>
      </c>
      <c r="AB1533" t="s">
        <v>44</v>
      </c>
      <c r="AC1533" t="s">
        <v>59</v>
      </c>
    </row>
    <row r="1534" spans="1:30" x14ac:dyDescent="0.2">
      <c r="A1534" s="3">
        <v>42598</v>
      </c>
      <c r="B1534" t="s">
        <v>23</v>
      </c>
      <c r="C1534">
        <v>203</v>
      </c>
      <c r="D1534">
        <v>6</v>
      </c>
      <c r="E1534">
        <v>2</v>
      </c>
      <c r="F1534" t="s">
        <v>64</v>
      </c>
      <c r="G1534" t="s">
        <v>25</v>
      </c>
      <c r="H1534" t="s">
        <v>26</v>
      </c>
      <c r="I1534" t="s">
        <v>52</v>
      </c>
      <c r="J1534" t="s">
        <v>28</v>
      </c>
      <c r="K1534" t="s">
        <v>29</v>
      </c>
      <c r="L1534" t="s">
        <v>35</v>
      </c>
      <c r="M1534">
        <v>0</v>
      </c>
      <c r="N1534">
        <v>0</v>
      </c>
      <c r="O1534" s="17" t="s">
        <v>1150</v>
      </c>
      <c r="Q1534">
        <f>36-13</f>
        <v>23</v>
      </c>
      <c r="R1534" t="s">
        <v>63</v>
      </c>
      <c r="T1534">
        <v>17</v>
      </c>
      <c r="W1534">
        <v>12.9</v>
      </c>
      <c r="X1534">
        <v>26.4</v>
      </c>
      <c r="Z1534" t="s">
        <v>145</v>
      </c>
      <c r="AA1534" t="s">
        <v>260</v>
      </c>
      <c r="AB1534" t="s">
        <v>121</v>
      </c>
      <c r="AC1534" t="s">
        <v>122</v>
      </c>
      <c r="AD1534" t="s">
        <v>1557</v>
      </c>
    </row>
    <row r="1535" spans="1:30" x14ac:dyDescent="0.2">
      <c r="A1535" s="3">
        <v>42599</v>
      </c>
      <c r="B1535" t="s">
        <v>23</v>
      </c>
      <c r="C1535">
        <v>203</v>
      </c>
      <c r="D1535">
        <v>7</v>
      </c>
      <c r="E1535">
        <v>1</v>
      </c>
      <c r="F1535" t="s">
        <v>64</v>
      </c>
      <c r="G1535" t="s">
        <v>25</v>
      </c>
      <c r="H1535" t="s">
        <v>26</v>
      </c>
      <c r="I1535" t="s">
        <v>52</v>
      </c>
      <c r="J1535" t="s">
        <v>28</v>
      </c>
      <c r="K1535" t="s">
        <v>29</v>
      </c>
      <c r="L1535" t="s">
        <v>35</v>
      </c>
      <c r="M1535">
        <v>0</v>
      </c>
      <c r="N1535">
        <v>0</v>
      </c>
      <c r="O1535" s="17" t="s">
        <v>1150</v>
      </c>
      <c r="Q1535">
        <f>33-14</f>
        <v>19</v>
      </c>
      <c r="R1535" t="s">
        <v>63</v>
      </c>
      <c r="T1535">
        <v>18</v>
      </c>
      <c r="W1535">
        <v>12.9</v>
      </c>
      <c r="X1535">
        <v>25.8</v>
      </c>
      <c r="Z1535" t="s">
        <v>145</v>
      </c>
      <c r="AA1535" t="s">
        <v>1628</v>
      </c>
      <c r="AB1535" t="s">
        <v>121</v>
      </c>
      <c r="AC1535" t="s">
        <v>59</v>
      </c>
      <c r="AD1535" t="s">
        <v>1629</v>
      </c>
    </row>
    <row r="1536" spans="1:30" x14ac:dyDescent="0.2">
      <c r="A1536" s="3">
        <v>42600</v>
      </c>
      <c r="B1536" t="s">
        <v>23</v>
      </c>
      <c r="C1536">
        <v>203</v>
      </c>
      <c r="D1536">
        <v>9</v>
      </c>
      <c r="E1536">
        <v>2</v>
      </c>
      <c r="F1536" t="s">
        <v>64</v>
      </c>
      <c r="G1536" t="s">
        <v>25</v>
      </c>
      <c r="H1536" t="s">
        <v>26</v>
      </c>
      <c r="I1536" t="s">
        <v>52</v>
      </c>
      <c r="J1536" t="s">
        <v>28</v>
      </c>
      <c r="K1536" t="s">
        <v>29</v>
      </c>
      <c r="L1536" t="s">
        <v>35</v>
      </c>
      <c r="M1536">
        <v>0</v>
      </c>
      <c r="N1536">
        <v>0</v>
      </c>
      <c r="O1536" s="17" t="s">
        <v>1150</v>
      </c>
      <c r="Q1536">
        <f>33-14</f>
        <v>19</v>
      </c>
      <c r="R1536" t="s">
        <v>63</v>
      </c>
      <c r="T1536">
        <v>18</v>
      </c>
      <c r="W1536">
        <v>12.9</v>
      </c>
      <c r="X1536">
        <v>25.7</v>
      </c>
      <c r="Z1536" t="s">
        <v>145</v>
      </c>
      <c r="AA1536" t="s">
        <v>260</v>
      </c>
      <c r="AB1536" t="s">
        <v>121</v>
      </c>
      <c r="AC1536" t="s">
        <v>122</v>
      </c>
      <c r="AD1536" t="s">
        <v>1665</v>
      </c>
    </row>
    <row r="1537" spans="1:30" x14ac:dyDescent="0.2">
      <c r="A1537" s="3">
        <v>42584</v>
      </c>
      <c r="B1537" t="s">
        <v>23</v>
      </c>
      <c r="C1537">
        <v>304</v>
      </c>
      <c r="D1537">
        <v>9</v>
      </c>
      <c r="E1537">
        <v>2</v>
      </c>
      <c r="F1537" t="s">
        <v>24</v>
      </c>
      <c r="G1537" t="s">
        <v>25</v>
      </c>
      <c r="H1537" t="s">
        <v>26</v>
      </c>
      <c r="I1537" t="s">
        <v>52</v>
      </c>
      <c r="J1537" t="s">
        <v>34</v>
      </c>
      <c r="K1537" t="s">
        <v>123</v>
      </c>
      <c r="L1537" t="s">
        <v>30</v>
      </c>
      <c r="M1537">
        <v>0</v>
      </c>
      <c r="N1537">
        <v>1</v>
      </c>
      <c r="O1537" s="17">
        <v>50940</v>
      </c>
      <c r="Q1537">
        <f>26-13</f>
        <v>13</v>
      </c>
      <c r="R1537" t="s">
        <v>31</v>
      </c>
      <c r="S1537" t="s">
        <v>32</v>
      </c>
      <c r="T1537">
        <v>15</v>
      </c>
      <c r="W1537">
        <v>11.8</v>
      </c>
      <c r="X1537">
        <v>26</v>
      </c>
      <c r="Z1537" t="s">
        <v>145</v>
      </c>
      <c r="AA1537" t="s">
        <v>851</v>
      </c>
      <c r="AB1537" t="s">
        <v>44</v>
      </c>
      <c r="AC1537" t="s">
        <v>59</v>
      </c>
      <c r="AD1537" t="s">
        <v>852</v>
      </c>
    </row>
    <row r="1538" spans="1:30" x14ac:dyDescent="0.2">
      <c r="A1538" s="3">
        <v>42584</v>
      </c>
      <c r="B1538" t="s">
        <v>23</v>
      </c>
      <c r="C1538">
        <v>304</v>
      </c>
      <c r="D1538">
        <v>3</v>
      </c>
      <c r="E1538">
        <v>2</v>
      </c>
      <c r="F1538" t="s">
        <v>24</v>
      </c>
      <c r="G1538" t="s">
        <v>25</v>
      </c>
      <c r="H1538" t="s">
        <v>26</v>
      </c>
      <c r="I1538" t="s">
        <v>52</v>
      </c>
      <c r="J1538" t="s">
        <v>34</v>
      </c>
      <c r="K1538" t="s">
        <v>123</v>
      </c>
      <c r="L1538" t="s">
        <v>30</v>
      </c>
      <c r="M1538">
        <v>0</v>
      </c>
      <c r="N1538">
        <v>1</v>
      </c>
      <c r="O1538" s="17">
        <v>50941</v>
      </c>
      <c r="Q1538">
        <f>34-14</f>
        <v>20</v>
      </c>
      <c r="R1538" t="s">
        <v>31</v>
      </c>
      <c r="S1538" t="s">
        <v>32</v>
      </c>
      <c r="T1538">
        <v>17</v>
      </c>
      <c r="W1538">
        <v>12.5</v>
      </c>
      <c r="X1538">
        <v>24.5</v>
      </c>
      <c r="Z1538" t="s">
        <v>145</v>
      </c>
      <c r="AA1538" t="s">
        <v>854</v>
      </c>
      <c r="AB1538" t="s">
        <v>44</v>
      </c>
      <c r="AC1538" t="s">
        <v>59</v>
      </c>
    </row>
    <row r="1539" spans="1:30" x14ac:dyDescent="0.2">
      <c r="A1539" s="3">
        <v>42585</v>
      </c>
      <c r="B1539" t="s">
        <v>23</v>
      </c>
      <c r="C1539">
        <v>403</v>
      </c>
      <c r="D1539">
        <v>2</v>
      </c>
      <c r="E1539">
        <v>1</v>
      </c>
      <c r="F1539" t="s">
        <v>24</v>
      </c>
      <c r="G1539" t="s">
        <v>25</v>
      </c>
      <c r="H1539" t="s">
        <v>26</v>
      </c>
      <c r="I1539" t="s">
        <v>52</v>
      </c>
      <c r="J1539" t="s">
        <v>28</v>
      </c>
      <c r="K1539" t="s">
        <v>123</v>
      </c>
      <c r="L1539" t="s">
        <v>30</v>
      </c>
      <c r="M1539">
        <v>0</v>
      </c>
      <c r="N1539">
        <v>0</v>
      </c>
      <c r="O1539" s="17">
        <v>50941</v>
      </c>
      <c r="Q1539">
        <f>36-15.5</f>
        <v>20.5</v>
      </c>
      <c r="R1539" t="s">
        <v>31</v>
      </c>
      <c r="S1539" t="s">
        <v>32</v>
      </c>
      <c r="T1539">
        <v>16</v>
      </c>
      <c r="W1539">
        <v>12.8</v>
      </c>
      <c r="X1539">
        <v>27</v>
      </c>
      <c r="Z1539" t="s">
        <v>145</v>
      </c>
      <c r="AB1539" t="s">
        <v>44</v>
      </c>
      <c r="AC1539" t="s">
        <v>59</v>
      </c>
      <c r="AD1539" t="s">
        <v>867</v>
      </c>
    </row>
    <row r="1540" spans="1:30" x14ac:dyDescent="0.2">
      <c r="A1540" s="3">
        <v>42598</v>
      </c>
      <c r="B1540" t="s">
        <v>23</v>
      </c>
      <c r="C1540">
        <v>304</v>
      </c>
      <c r="D1540">
        <v>2</v>
      </c>
      <c r="E1540">
        <v>2</v>
      </c>
      <c r="F1540" t="s">
        <v>64</v>
      </c>
      <c r="G1540" t="s">
        <v>25</v>
      </c>
      <c r="H1540" t="s">
        <v>26</v>
      </c>
      <c r="I1540" t="s">
        <v>52</v>
      </c>
      <c r="J1540" t="s">
        <v>28</v>
      </c>
      <c r="K1540" t="s">
        <v>29</v>
      </c>
      <c r="L1540" t="s">
        <v>30</v>
      </c>
      <c r="M1540">
        <v>0</v>
      </c>
      <c r="N1540">
        <v>0</v>
      </c>
      <c r="O1540" s="17" t="s">
        <v>1157</v>
      </c>
      <c r="Q1540">
        <f>41-21.5</f>
        <v>19.5</v>
      </c>
      <c r="R1540" t="s">
        <v>31</v>
      </c>
      <c r="S1540" t="s">
        <v>32</v>
      </c>
      <c r="Z1540" t="s">
        <v>145</v>
      </c>
      <c r="AA1540" t="s">
        <v>260</v>
      </c>
      <c r="AB1540" t="s">
        <v>1589</v>
      </c>
      <c r="AC1540" t="s">
        <v>122</v>
      </c>
      <c r="AD1540" t="s">
        <v>1594</v>
      </c>
    </row>
    <row r="1541" spans="1:30" x14ac:dyDescent="0.2">
      <c r="A1541" s="3">
        <v>42599</v>
      </c>
      <c r="B1541" t="s">
        <v>23</v>
      </c>
      <c r="C1541">
        <v>304</v>
      </c>
      <c r="D1541">
        <v>3</v>
      </c>
      <c r="E1541">
        <v>1</v>
      </c>
      <c r="F1541" t="s">
        <v>64</v>
      </c>
      <c r="G1541" t="s">
        <v>25</v>
      </c>
      <c r="H1541" t="s">
        <v>26</v>
      </c>
      <c r="I1541" t="s">
        <v>52</v>
      </c>
      <c r="J1541" t="s">
        <v>28</v>
      </c>
      <c r="K1541" t="s">
        <v>29</v>
      </c>
      <c r="L1541" t="s">
        <v>30</v>
      </c>
      <c r="M1541">
        <v>0</v>
      </c>
      <c r="N1541">
        <v>0</v>
      </c>
      <c r="O1541" s="17" t="s">
        <v>1157</v>
      </c>
      <c r="Q1541">
        <f>35-14</f>
        <v>21</v>
      </c>
      <c r="R1541" t="s">
        <v>31</v>
      </c>
      <c r="S1541" t="s">
        <v>32</v>
      </c>
      <c r="T1541">
        <v>16</v>
      </c>
      <c r="W1541">
        <v>13</v>
      </c>
      <c r="X1541">
        <v>27.2</v>
      </c>
      <c r="Z1541" t="s">
        <v>145</v>
      </c>
      <c r="AA1541" t="s">
        <v>260</v>
      </c>
      <c r="AB1541" t="s">
        <v>121</v>
      </c>
      <c r="AC1541" t="s">
        <v>59</v>
      </c>
    </row>
    <row r="1542" spans="1:30" x14ac:dyDescent="0.2">
      <c r="A1542" s="3">
        <v>42584</v>
      </c>
      <c r="B1542" t="s">
        <v>23</v>
      </c>
      <c r="C1542">
        <v>304</v>
      </c>
      <c r="D1542">
        <v>2</v>
      </c>
      <c r="E1542">
        <v>1</v>
      </c>
      <c r="F1542" t="s">
        <v>24</v>
      </c>
      <c r="G1542" t="s">
        <v>25</v>
      </c>
      <c r="H1542" t="s">
        <v>26</v>
      </c>
      <c r="I1542" t="s">
        <v>52</v>
      </c>
      <c r="J1542" t="s">
        <v>34</v>
      </c>
      <c r="K1542" t="s">
        <v>29</v>
      </c>
      <c r="L1542" t="s">
        <v>35</v>
      </c>
      <c r="M1542">
        <v>0</v>
      </c>
      <c r="N1542">
        <v>1</v>
      </c>
      <c r="O1542" s="17">
        <v>50942</v>
      </c>
      <c r="Q1542">
        <f>35.5-5</f>
        <v>30.5</v>
      </c>
      <c r="R1542" t="s">
        <v>39</v>
      </c>
      <c r="T1542">
        <v>18</v>
      </c>
      <c r="W1542">
        <v>13.2</v>
      </c>
      <c r="X1542">
        <v>26.4</v>
      </c>
      <c r="Z1542" t="s">
        <v>145</v>
      </c>
      <c r="AA1542" t="s">
        <v>855</v>
      </c>
      <c r="AB1542" t="s">
        <v>44</v>
      </c>
      <c r="AC1542" t="s">
        <v>59</v>
      </c>
      <c r="AD1542" t="s">
        <v>856</v>
      </c>
    </row>
    <row r="1543" spans="1:30" x14ac:dyDescent="0.2">
      <c r="A1543" s="3">
        <v>42585</v>
      </c>
      <c r="B1543" t="s">
        <v>23</v>
      </c>
      <c r="C1543">
        <v>304</v>
      </c>
      <c r="D1543">
        <v>7</v>
      </c>
      <c r="E1543">
        <v>2</v>
      </c>
      <c r="F1543" t="s">
        <v>64</v>
      </c>
      <c r="G1543" t="s">
        <v>25</v>
      </c>
      <c r="H1543" t="s">
        <v>26</v>
      </c>
      <c r="I1543" t="s">
        <v>52</v>
      </c>
      <c r="J1543" t="s">
        <v>28</v>
      </c>
      <c r="K1543" t="s">
        <v>29</v>
      </c>
      <c r="L1543" t="s">
        <v>35</v>
      </c>
      <c r="M1543">
        <v>0</v>
      </c>
      <c r="N1543">
        <v>0</v>
      </c>
      <c r="O1543" s="17">
        <v>50942</v>
      </c>
      <c r="Q1543">
        <f>35.5-5</f>
        <v>30.5</v>
      </c>
      <c r="R1543" t="s">
        <v>39</v>
      </c>
      <c r="T1543">
        <v>18</v>
      </c>
      <c r="W1543">
        <v>12.8</v>
      </c>
      <c r="X1543">
        <v>28.2</v>
      </c>
      <c r="Z1543" t="s">
        <v>145</v>
      </c>
      <c r="AA1543" t="s">
        <v>260</v>
      </c>
      <c r="AB1543" t="s">
        <v>53</v>
      </c>
      <c r="AC1543" t="s">
        <v>122</v>
      </c>
    </row>
    <row r="1544" spans="1:30" x14ac:dyDescent="0.2">
      <c r="A1544" s="3">
        <v>42598</v>
      </c>
      <c r="B1544" t="s">
        <v>23</v>
      </c>
      <c r="C1544">
        <v>304</v>
      </c>
      <c r="D1544">
        <v>5</v>
      </c>
      <c r="E1544">
        <v>1</v>
      </c>
      <c r="F1544" t="s">
        <v>64</v>
      </c>
      <c r="G1544" t="s">
        <v>25</v>
      </c>
      <c r="H1544" t="s">
        <v>26</v>
      </c>
      <c r="I1544" t="s">
        <v>52</v>
      </c>
      <c r="J1544" t="s">
        <v>28</v>
      </c>
      <c r="K1544" t="s">
        <v>29</v>
      </c>
      <c r="L1544" t="s">
        <v>35</v>
      </c>
      <c r="M1544">
        <v>0</v>
      </c>
      <c r="N1544">
        <v>0</v>
      </c>
      <c r="O1544" s="17" t="s">
        <v>1158</v>
      </c>
      <c r="Q1544">
        <f>42-14</f>
        <v>28</v>
      </c>
      <c r="R1544" t="s">
        <v>39</v>
      </c>
      <c r="Z1544" t="s">
        <v>145</v>
      </c>
      <c r="AA1544" t="s">
        <v>260</v>
      </c>
      <c r="AB1544" t="s">
        <v>1589</v>
      </c>
      <c r="AC1544" t="s">
        <v>122</v>
      </c>
      <c r="AD1544" t="s">
        <v>1594</v>
      </c>
    </row>
    <row r="1545" spans="1:30" x14ac:dyDescent="0.2">
      <c r="A1545" s="3">
        <v>42599</v>
      </c>
      <c r="B1545" t="s">
        <v>23</v>
      </c>
      <c r="C1545">
        <v>304</v>
      </c>
      <c r="D1545">
        <v>4</v>
      </c>
      <c r="E1545">
        <v>2</v>
      </c>
      <c r="F1545" t="s">
        <v>64</v>
      </c>
      <c r="G1545" t="s">
        <v>25</v>
      </c>
      <c r="H1545" t="s">
        <v>26</v>
      </c>
      <c r="I1545" t="s">
        <v>52</v>
      </c>
      <c r="J1545" t="s">
        <v>28</v>
      </c>
      <c r="K1545" t="s">
        <v>29</v>
      </c>
      <c r="L1545" t="s">
        <v>35</v>
      </c>
      <c r="M1545">
        <v>0</v>
      </c>
      <c r="N1545">
        <v>0</v>
      </c>
      <c r="O1545" s="17" t="s">
        <v>1158</v>
      </c>
      <c r="Q1545">
        <f>42-14</f>
        <v>28</v>
      </c>
      <c r="R1545" t="s">
        <v>39</v>
      </c>
      <c r="T1545">
        <v>18</v>
      </c>
      <c r="W1545">
        <v>13.1</v>
      </c>
      <c r="X1545">
        <v>27.3</v>
      </c>
      <c r="Z1545" t="s">
        <v>145</v>
      </c>
      <c r="AA1545" t="s">
        <v>260</v>
      </c>
      <c r="AB1545" t="s">
        <v>121</v>
      </c>
      <c r="AC1545" t="s">
        <v>59</v>
      </c>
    </row>
    <row r="1546" spans="1:30" x14ac:dyDescent="0.2">
      <c r="A1546" s="3">
        <v>42585</v>
      </c>
      <c r="B1546" t="s">
        <v>23</v>
      </c>
      <c r="C1546">
        <v>202</v>
      </c>
      <c r="D1546">
        <v>4</v>
      </c>
      <c r="E1546">
        <v>2</v>
      </c>
      <c r="F1546" t="s">
        <v>24</v>
      </c>
      <c r="G1546" t="s">
        <v>25</v>
      </c>
      <c r="H1546" t="s">
        <v>26</v>
      </c>
      <c r="I1546" t="s">
        <v>52</v>
      </c>
      <c r="J1546" t="s">
        <v>34</v>
      </c>
      <c r="K1546" t="s">
        <v>29</v>
      </c>
      <c r="L1546" t="s">
        <v>30</v>
      </c>
      <c r="M1546">
        <v>0</v>
      </c>
      <c r="N1546">
        <v>0</v>
      </c>
      <c r="O1546" s="17">
        <v>50947</v>
      </c>
      <c r="Q1546">
        <f>43.5-13</f>
        <v>30.5</v>
      </c>
      <c r="R1546" t="s">
        <v>279</v>
      </c>
      <c r="S1546" t="s">
        <v>145</v>
      </c>
      <c r="T1546">
        <v>16.5</v>
      </c>
      <c r="W1546">
        <v>13.35</v>
      </c>
      <c r="X1546">
        <v>26.9</v>
      </c>
      <c r="Z1546" t="s">
        <v>145</v>
      </c>
      <c r="AB1546" t="s">
        <v>44</v>
      </c>
      <c r="AC1546" t="s">
        <v>59</v>
      </c>
    </row>
    <row r="1547" spans="1:30" x14ac:dyDescent="0.2">
      <c r="A1547" s="3">
        <v>42598</v>
      </c>
      <c r="B1547" t="s">
        <v>23</v>
      </c>
      <c r="C1547">
        <v>202</v>
      </c>
      <c r="D1547">
        <v>5</v>
      </c>
      <c r="E1547">
        <v>2</v>
      </c>
      <c r="F1547" t="s">
        <v>64</v>
      </c>
      <c r="G1547" t="s">
        <v>25</v>
      </c>
      <c r="H1547" t="s">
        <v>26</v>
      </c>
      <c r="I1547" t="s">
        <v>52</v>
      </c>
      <c r="J1547" t="s">
        <v>28</v>
      </c>
      <c r="K1547" t="s">
        <v>29</v>
      </c>
      <c r="L1547" t="s">
        <v>30</v>
      </c>
      <c r="M1547">
        <v>0</v>
      </c>
      <c r="N1547">
        <v>0</v>
      </c>
      <c r="O1547" s="17" t="s">
        <v>1315</v>
      </c>
      <c r="Q1547">
        <f>47-17</f>
        <v>30</v>
      </c>
      <c r="R1547" t="s">
        <v>251</v>
      </c>
      <c r="S1547" t="s">
        <v>145</v>
      </c>
      <c r="T1547">
        <v>17.5</v>
      </c>
      <c r="W1547">
        <v>13.1</v>
      </c>
      <c r="X1547">
        <v>27.2</v>
      </c>
      <c r="Z1547" t="s">
        <v>145</v>
      </c>
      <c r="AA1547" t="s">
        <v>1573</v>
      </c>
      <c r="AB1547" t="s">
        <v>121</v>
      </c>
      <c r="AC1547" t="s">
        <v>122</v>
      </c>
    </row>
    <row r="1548" spans="1:30" x14ac:dyDescent="0.2">
      <c r="A1548" s="3">
        <v>42599</v>
      </c>
      <c r="B1548" t="s">
        <v>23</v>
      </c>
      <c r="C1548">
        <v>202</v>
      </c>
      <c r="D1548">
        <v>10</v>
      </c>
      <c r="E1548">
        <v>2</v>
      </c>
      <c r="F1548" t="s">
        <v>64</v>
      </c>
      <c r="G1548" t="s">
        <v>25</v>
      </c>
      <c r="H1548" t="s">
        <v>26</v>
      </c>
      <c r="I1548" t="s">
        <v>52</v>
      </c>
      <c r="J1548" t="s">
        <v>28</v>
      </c>
      <c r="K1548" t="s">
        <v>29</v>
      </c>
      <c r="L1548" t="s">
        <v>30</v>
      </c>
      <c r="M1548">
        <v>0</v>
      </c>
      <c r="N1548">
        <v>0</v>
      </c>
      <c r="O1548" s="17" t="s">
        <v>1315</v>
      </c>
      <c r="Q1548">
        <f>44-16</f>
        <v>28</v>
      </c>
      <c r="R1548" t="s">
        <v>251</v>
      </c>
      <c r="S1548" t="s">
        <v>145</v>
      </c>
      <c r="T1548">
        <v>17.5</v>
      </c>
      <c r="W1548">
        <v>13.1</v>
      </c>
      <c r="X1548">
        <v>28.5</v>
      </c>
      <c r="Z1548" t="s">
        <v>145</v>
      </c>
      <c r="AA1548" t="s">
        <v>260</v>
      </c>
      <c r="AB1548" t="s">
        <v>121</v>
      </c>
      <c r="AC1548" t="s">
        <v>59</v>
      </c>
    </row>
    <row r="1549" spans="1:30" x14ac:dyDescent="0.2">
      <c r="A1549" s="3">
        <v>42600</v>
      </c>
      <c r="B1549" t="s">
        <v>23</v>
      </c>
      <c r="C1549">
        <v>202</v>
      </c>
      <c r="D1549">
        <v>7</v>
      </c>
      <c r="E1549">
        <v>2</v>
      </c>
      <c r="F1549" t="s">
        <v>64</v>
      </c>
      <c r="G1549" t="s">
        <v>25</v>
      </c>
      <c r="H1549" t="s">
        <v>26</v>
      </c>
      <c r="I1549" t="s">
        <v>52</v>
      </c>
      <c r="J1549" t="s">
        <v>28</v>
      </c>
      <c r="K1549" t="s">
        <v>29</v>
      </c>
      <c r="L1549" t="s">
        <v>30</v>
      </c>
      <c r="M1549">
        <v>0</v>
      </c>
      <c r="N1549">
        <v>0</v>
      </c>
      <c r="O1549" s="17" t="s">
        <v>1315</v>
      </c>
      <c r="Q1549">
        <f>43-14</f>
        <v>29</v>
      </c>
      <c r="R1549" t="s">
        <v>75</v>
      </c>
      <c r="S1549" t="s">
        <v>145</v>
      </c>
      <c r="T1549">
        <v>18</v>
      </c>
      <c r="W1549">
        <v>13</v>
      </c>
      <c r="X1549">
        <v>28.5</v>
      </c>
      <c r="Z1549" t="s">
        <v>145</v>
      </c>
      <c r="AA1549" t="s">
        <v>1669</v>
      </c>
      <c r="AB1549" t="s">
        <v>121</v>
      </c>
      <c r="AC1549" t="s">
        <v>122</v>
      </c>
    </row>
    <row r="1550" spans="1:30" x14ac:dyDescent="0.2">
      <c r="A1550" s="3">
        <v>42605</v>
      </c>
      <c r="B1550" t="s">
        <v>23</v>
      </c>
      <c r="C1550">
        <v>401</v>
      </c>
      <c r="D1550">
        <v>4</v>
      </c>
      <c r="E1550">
        <v>1</v>
      </c>
      <c r="F1550" t="s">
        <v>64</v>
      </c>
      <c r="G1550" t="s">
        <v>25</v>
      </c>
      <c r="H1550" t="s">
        <v>26</v>
      </c>
      <c r="I1550" t="s">
        <v>52</v>
      </c>
      <c r="J1550" t="s">
        <v>28</v>
      </c>
      <c r="K1550" t="s">
        <v>188</v>
      </c>
      <c r="L1550" t="s">
        <v>35</v>
      </c>
      <c r="M1550">
        <v>0</v>
      </c>
      <c r="N1550">
        <v>0</v>
      </c>
      <c r="O1550" s="17" t="s">
        <v>1146</v>
      </c>
      <c r="Q1550">
        <f>32-13</f>
        <v>19</v>
      </c>
      <c r="R1550" t="s">
        <v>39</v>
      </c>
      <c r="T1550">
        <v>18</v>
      </c>
      <c r="W1550">
        <v>13</v>
      </c>
      <c r="X1550">
        <v>26.4</v>
      </c>
      <c r="Z1550" t="s">
        <v>145</v>
      </c>
      <c r="AA1550" t="s">
        <v>260</v>
      </c>
      <c r="AB1550" t="s">
        <v>121</v>
      </c>
      <c r="AC1550" t="s">
        <v>59</v>
      </c>
    </row>
    <row r="1551" spans="1:30" x14ac:dyDescent="0.2">
      <c r="A1551" s="3">
        <v>42576</v>
      </c>
      <c r="B1551" t="s">
        <v>23</v>
      </c>
      <c r="C1551">
        <v>401</v>
      </c>
      <c r="D1551">
        <v>5</v>
      </c>
      <c r="E1551">
        <v>2</v>
      </c>
      <c r="F1551" t="s">
        <v>33</v>
      </c>
      <c r="G1551" t="s">
        <v>25</v>
      </c>
      <c r="H1551" t="s">
        <v>26</v>
      </c>
      <c r="I1551" t="s">
        <v>52</v>
      </c>
      <c r="J1551" t="s">
        <v>34</v>
      </c>
      <c r="K1551" t="s">
        <v>188</v>
      </c>
      <c r="L1551" t="s">
        <v>35</v>
      </c>
      <c r="M1551">
        <v>0</v>
      </c>
      <c r="N1551">
        <v>1</v>
      </c>
      <c r="O1551" s="17">
        <v>50958</v>
      </c>
      <c r="Q1551">
        <f>27.5-9.5</f>
        <v>18</v>
      </c>
      <c r="R1551" t="s">
        <v>39</v>
      </c>
      <c r="T1551">
        <v>18</v>
      </c>
      <c r="Z1551" t="s">
        <v>145</v>
      </c>
      <c r="AA1551" t="s">
        <v>260</v>
      </c>
      <c r="AB1551" t="s">
        <v>121</v>
      </c>
      <c r="AC1551" t="s">
        <v>122</v>
      </c>
    </row>
    <row r="1552" spans="1:30" x14ac:dyDescent="0.2">
      <c r="A1552" s="3">
        <v>42592</v>
      </c>
      <c r="B1552" t="s">
        <v>23</v>
      </c>
      <c r="C1552">
        <v>401</v>
      </c>
      <c r="D1552">
        <v>6</v>
      </c>
      <c r="E1552">
        <v>2</v>
      </c>
      <c r="F1552" t="s">
        <v>24</v>
      </c>
      <c r="G1552" t="s">
        <v>25</v>
      </c>
      <c r="H1552" t="s">
        <v>26</v>
      </c>
      <c r="I1552" t="s">
        <v>52</v>
      </c>
      <c r="J1552" t="s">
        <v>28</v>
      </c>
      <c r="K1552" t="s">
        <v>29</v>
      </c>
      <c r="L1552" t="s">
        <v>35</v>
      </c>
      <c r="M1552">
        <v>0</v>
      </c>
      <c r="N1552">
        <v>0</v>
      </c>
      <c r="O1552" s="17" t="s">
        <v>1261</v>
      </c>
      <c r="Q1552">
        <f>38-16.5</f>
        <v>21.5</v>
      </c>
      <c r="R1552" t="s">
        <v>63</v>
      </c>
      <c r="T1552">
        <v>17</v>
      </c>
      <c r="X1552">
        <v>26.4</v>
      </c>
      <c r="Z1552" t="s">
        <v>145</v>
      </c>
      <c r="AB1552" t="s">
        <v>44</v>
      </c>
      <c r="AC1552" t="s">
        <v>59</v>
      </c>
    </row>
    <row r="1553" spans="1:30" x14ac:dyDescent="0.2">
      <c r="A1553" s="3">
        <v>42576</v>
      </c>
      <c r="B1553" t="s">
        <v>23</v>
      </c>
      <c r="C1553">
        <v>401</v>
      </c>
      <c r="D1553">
        <v>3</v>
      </c>
      <c r="E1553">
        <v>1</v>
      </c>
      <c r="F1553" t="s">
        <v>33</v>
      </c>
      <c r="G1553" t="s">
        <v>25</v>
      </c>
      <c r="H1553" t="s">
        <v>26</v>
      </c>
      <c r="I1553" t="s">
        <v>52</v>
      </c>
      <c r="J1553" t="s">
        <v>34</v>
      </c>
      <c r="K1553" t="s">
        <v>29</v>
      </c>
      <c r="L1553" t="s">
        <v>30</v>
      </c>
      <c r="M1553">
        <v>0</v>
      </c>
      <c r="N1553">
        <v>1</v>
      </c>
      <c r="O1553" s="17">
        <v>50959</v>
      </c>
      <c r="Q1553">
        <f>36-14</f>
        <v>22</v>
      </c>
      <c r="R1553" t="s">
        <v>61</v>
      </c>
      <c r="S1553" t="s">
        <v>32</v>
      </c>
      <c r="Z1553" t="s">
        <v>145</v>
      </c>
      <c r="AA1553" t="s">
        <v>260</v>
      </c>
      <c r="AB1553" t="s">
        <v>121</v>
      </c>
      <c r="AC1553" t="s">
        <v>122</v>
      </c>
    </row>
    <row r="1554" spans="1:30" x14ac:dyDescent="0.2">
      <c r="A1554" s="3">
        <v>42592</v>
      </c>
      <c r="B1554" t="s">
        <v>23</v>
      </c>
      <c r="C1554">
        <v>401</v>
      </c>
      <c r="D1554">
        <v>1</v>
      </c>
      <c r="E1554">
        <v>1</v>
      </c>
      <c r="F1554" t="s">
        <v>24</v>
      </c>
      <c r="G1554" t="s">
        <v>25</v>
      </c>
      <c r="H1554" t="s">
        <v>26</v>
      </c>
      <c r="I1554" t="s">
        <v>52</v>
      </c>
      <c r="J1554" t="s">
        <v>28</v>
      </c>
      <c r="K1554" t="s">
        <v>29</v>
      </c>
      <c r="L1554" t="s">
        <v>30</v>
      </c>
      <c r="M1554">
        <v>0</v>
      </c>
      <c r="N1554">
        <v>0</v>
      </c>
      <c r="O1554" s="17" t="s">
        <v>1257</v>
      </c>
      <c r="Q1554">
        <f>43-13</f>
        <v>30</v>
      </c>
      <c r="R1554" t="s">
        <v>91</v>
      </c>
      <c r="S1554" t="s">
        <v>32</v>
      </c>
      <c r="T1554">
        <v>17</v>
      </c>
      <c r="X1554">
        <v>27</v>
      </c>
      <c r="Z1554" t="s">
        <v>145</v>
      </c>
      <c r="AB1554" t="s">
        <v>44</v>
      </c>
      <c r="AC1554" t="s">
        <v>59</v>
      </c>
    </row>
    <row r="1555" spans="1:30" x14ac:dyDescent="0.2">
      <c r="A1555" s="3">
        <v>42604</v>
      </c>
      <c r="B1555" t="s">
        <v>23</v>
      </c>
      <c r="C1555">
        <v>401</v>
      </c>
      <c r="D1555">
        <v>1</v>
      </c>
      <c r="E1555">
        <v>1</v>
      </c>
      <c r="F1555" t="s">
        <v>64</v>
      </c>
      <c r="G1555" t="s">
        <v>25</v>
      </c>
      <c r="H1555" t="s">
        <v>26</v>
      </c>
      <c r="I1555" t="s">
        <v>52</v>
      </c>
      <c r="J1555" t="s">
        <v>28</v>
      </c>
      <c r="K1555" t="s">
        <v>29</v>
      </c>
      <c r="L1555" t="s">
        <v>30</v>
      </c>
      <c r="M1555">
        <v>0</v>
      </c>
      <c r="N1555">
        <v>0</v>
      </c>
      <c r="O1555" s="17" t="s">
        <v>1257</v>
      </c>
      <c r="Q1555">
        <f>40-15</f>
        <v>25</v>
      </c>
      <c r="R1555" t="s">
        <v>75</v>
      </c>
      <c r="S1555" t="s">
        <v>145</v>
      </c>
      <c r="T1555">
        <v>16</v>
      </c>
      <c r="W1555">
        <v>13</v>
      </c>
      <c r="X1555">
        <v>28</v>
      </c>
      <c r="Z1555" t="s">
        <v>145</v>
      </c>
      <c r="AA1555" t="s">
        <v>260</v>
      </c>
      <c r="AB1555" t="s">
        <v>121</v>
      </c>
      <c r="AC1555" t="s">
        <v>59</v>
      </c>
      <c r="AD1555" t="s">
        <v>1707</v>
      </c>
    </row>
    <row r="1556" spans="1:30" x14ac:dyDescent="0.2">
      <c r="A1556" s="3">
        <v>42606</v>
      </c>
      <c r="B1556" t="s">
        <v>23</v>
      </c>
      <c r="C1556">
        <v>401</v>
      </c>
      <c r="D1556">
        <v>1</v>
      </c>
      <c r="E1556">
        <v>1</v>
      </c>
      <c r="F1556" t="s">
        <v>64</v>
      </c>
      <c r="G1556" t="s">
        <v>25</v>
      </c>
      <c r="H1556" t="s">
        <v>26</v>
      </c>
      <c r="I1556" t="s">
        <v>52</v>
      </c>
      <c r="J1556" t="s">
        <v>28</v>
      </c>
      <c r="K1556" t="s">
        <v>29</v>
      </c>
      <c r="L1556" t="s">
        <v>30</v>
      </c>
      <c r="M1556">
        <v>0</v>
      </c>
      <c r="N1556">
        <v>0</v>
      </c>
      <c r="O1556" s="17" t="s">
        <v>1257</v>
      </c>
      <c r="Q1556">
        <f>39-13</f>
        <v>26</v>
      </c>
      <c r="R1556" t="s">
        <v>75</v>
      </c>
      <c r="S1556" t="s">
        <v>145</v>
      </c>
      <c r="T1556">
        <v>17</v>
      </c>
      <c r="Z1556" t="s">
        <v>145</v>
      </c>
      <c r="AA1556" t="s">
        <v>260</v>
      </c>
      <c r="AB1556" t="s">
        <v>53</v>
      </c>
      <c r="AC1556" t="s">
        <v>122</v>
      </c>
      <c r="AD1556" t="s">
        <v>1778</v>
      </c>
    </row>
    <row r="1557" spans="1:30" x14ac:dyDescent="0.2">
      <c r="A1557" s="3">
        <v>42576</v>
      </c>
      <c r="B1557" t="s">
        <v>23</v>
      </c>
      <c r="C1557">
        <v>303</v>
      </c>
      <c r="D1557">
        <v>2</v>
      </c>
      <c r="E1557">
        <v>1</v>
      </c>
      <c r="F1557" t="s">
        <v>33</v>
      </c>
      <c r="G1557" t="s">
        <v>25</v>
      </c>
      <c r="H1557" t="s">
        <v>26</v>
      </c>
      <c r="I1557" t="s">
        <v>52</v>
      </c>
      <c r="J1557" t="s">
        <v>34</v>
      </c>
      <c r="K1557" t="s">
        <v>29</v>
      </c>
      <c r="L1557" t="s">
        <v>35</v>
      </c>
      <c r="M1557">
        <v>0</v>
      </c>
      <c r="N1557">
        <v>1</v>
      </c>
      <c r="O1557" s="17">
        <v>50960</v>
      </c>
      <c r="Q1557">
        <f>35-11</f>
        <v>24</v>
      </c>
      <c r="R1557" t="s">
        <v>39</v>
      </c>
      <c r="T1557">
        <v>17</v>
      </c>
      <c r="W1557">
        <v>12.8</v>
      </c>
      <c r="X1557">
        <v>27.6</v>
      </c>
      <c r="Z1557" t="s">
        <v>145</v>
      </c>
      <c r="AA1557" t="s">
        <v>754</v>
      </c>
      <c r="AB1557" t="s">
        <v>121</v>
      </c>
      <c r="AC1557" t="s">
        <v>122</v>
      </c>
      <c r="AD1557" t="s">
        <v>755</v>
      </c>
    </row>
    <row r="1558" spans="1:30" x14ac:dyDescent="0.2">
      <c r="A1558" s="3">
        <v>42576</v>
      </c>
      <c r="B1558" t="s">
        <v>23</v>
      </c>
      <c r="C1558">
        <v>701</v>
      </c>
      <c r="D1558">
        <v>6</v>
      </c>
      <c r="E1558">
        <v>1</v>
      </c>
      <c r="F1558" t="s">
        <v>66</v>
      </c>
      <c r="G1558" t="s">
        <v>25</v>
      </c>
      <c r="H1558" t="s">
        <v>26</v>
      </c>
      <c r="I1558" t="s">
        <v>52</v>
      </c>
      <c r="J1558" t="s">
        <v>34</v>
      </c>
      <c r="K1558" t="s">
        <v>29</v>
      </c>
      <c r="L1558" t="s">
        <v>30</v>
      </c>
      <c r="M1558">
        <v>0</v>
      </c>
      <c r="N1558">
        <v>1</v>
      </c>
      <c r="O1558" s="17">
        <v>51000</v>
      </c>
      <c r="Q1558">
        <f>46-19.5</f>
        <v>26.5</v>
      </c>
      <c r="R1558" t="s">
        <v>75</v>
      </c>
      <c r="S1558" t="s">
        <v>145</v>
      </c>
      <c r="T1558">
        <v>20</v>
      </c>
      <c r="W1558">
        <v>14.6</v>
      </c>
      <c r="X1558">
        <v>30.9</v>
      </c>
      <c r="Z1558" t="s">
        <v>145</v>
      </c>
      <c r="AB1558" t="s">
        <v>121</v>
      </c>
      <c r="AC1558" t="s">
        <v>122</v>
      </c>
    </row>
    <row r="1559" spans="1:30" x14ac:dyDescent="0.2">
      <c r="A1559" s="3">
        <v>42500</v>
      </c>
      <c r="B1559" t="s">
        <v>23</v>
      </c>
      <c r="C1559">
        <v>503</v>
      </c>
      <c r="D1559">
        <v>10</v>
      </c>
      <c r="E1559">
        <v>1</v>
      </c>
      <c r="F1559" t="s">
        <v>24</v>
      </c>
      <c r="G1559" t="s">
        <v>25</v>
      </c>
      <c r="H1559" t="s">
        <v>26</v>
      </c>
      <c r="I1559" t="s">
        <v>52</v>
      </c>
      <c r="J1559" t="s">
        <v>28</v>
      </c>
      <c r="K1559" t="s">
        <v>29</v>
      </c>
      <c r="L1559" t="s">
        <v>35</v>
      </c>
      <c r="M1559">
        <v>0</v>
      </c>
      <c r="N1559">
        <v>1</v>
      </c>
      <c r="O1559" s="17" t="s">
        <v>68</v>
      </c>
      <c r="Q1559">
        <v>30</v>
      </c>
      <c r="R1559" t="s">
        <v>63</v>
      </c>
      <c r="S1559" t="s">
        <v>32</v>
      </c>
      <c r="Z1559" t="s">
        <v>32</v>
      </c>
      <c r="AB1559" t="s">
        <v>44</v>
      </c>
      <c r="AC1559" t="s">
        <v>59</v>
      </c>
    </row>
    <row r="1560" spans="1:30" x14ac:dyDescent="0.2">
      <c r="A1560" s="3">
        <v>42501</v>
      </c>
      <c r="B1560" t="s">
        <v>23</v>
      </c>
      <c r="C1560">
        <v>503</v>
      </c>
      <c r="D1560">
        <v>8</v>
      </c>
      <c r="E1560">
        <v>1</v>
      </c>
      <c r="F1560" t="s">
        <v>24</v>
      </c>
      <c r="G1560" t="s">
        <v>25</v>
      </c>
      <c r="H1560" t="s">
        <v>26</v>
      </c>
      <c r="I1560" t="s">
        <v>52</v>
      </c>
      <c r="J1560" t="s">
        <v>28</v>
      </c>
      <c r="K1560" t="s">
        <v>29</v>
      </c>
      <c r="L1560" t="s">
        <v>35</v>
      </c>
      <c r="M1560">
        <v>0</v>
      </c>
      <c r="N1560">
        <v>0</v>
      </c>
      <c r="O1560" s="17" t="s">
        <v>68</v>
      </c>
      <c r="Q1560">
        <f>39.5-11</f>
        <v>28.5</v>
      </c>
      <c r="R1560" t="s">
        <v>63</v>
      </c>
      <c r="S1560" t="s">
        <v>32</v>
      </c>
      <c r="Z1560" t="s">
        <v>32</v>
      </c>
    </row>
    <row r="1561" spans="1:30" x14ac:dyDescent="0.2">
      <c r="A1561" s="3">
        <v>42575</v>
      </c>
      <c r="B1561" t="s">
        <v>23</v>
      </c>
      <c r="C1561">
        <v>501</v>
      </c>
      <c r="D1561">
        <v>3</v>
      </c>
      <c r="E1561">
        <v>2</v>
      </c>
      <c r="F1561" t="s">
        <v>33</v>
      </c>
      <c r="G1561" t="s">
        <v>25</v>
      </c>
      <c r="H1561" t="s">
        <v>26</v>
      </c>
      <c r="I1561" t="s">
        <v>52</v>
      </c>
      <c r="J1561" t="s">
        <v>28</v>
      </c>
      <c r="K1561" t="s">
        <v>29</v>
      </c>
      <c r="L1561" t="s">
        <v>30</v>
      </c>
      <c r="M1561">
        <v>0</v>
      </c>
      <c r="N1561">
        <v>0</v>
      </c>
      <c r="O1561" s="17" t="s">
        <v>712</v>
      </c>
      <c r="Q1561">
        <f>40-10</f>
        <v>30</v>
      </c>
      <c r="R1561" t="s">
        <v>273</v>
      </c>
      <c r="S1561" t="s">
        <v>145</v>
      </c>
      <c r="T1561">
        <v>18</v>
      </c>
      <c r="W1561">
        <v>12.7</v>
      </c>
      <c r="X1561">
        <v>27.5</v>
      </c>
      <c r="Z1561" t="s">
        <v>145</v>
      </c>
      <c r="AA1561" t="s">
        <v>713</v>
      </c>
      <c r="AB1561" t="s">
        <v>711</v>
      </c>
      <c r="AC1561" t="s">
        <v>59</v>
      </c>
    </row>
    <row r="1562" spans="1:30" x14ac:dyDescent="0.2">
      <c r="A1562" s="3">
        <v>42576</v>
      </c>
      <c r="B1562" t="s">
        <v>23</v>
      </c>
      <c r="C1562">
        <v>501</v>
      </c>
      <c r="D1562">
        <v>5</v>
      </c>
      <c r="E1562">
        <v>2</v>
      </c>
      <c r="F1562" t="s">
        <v>33</v>
      </c>
      <c r="G1562" t="s">
        <v>25</v>
      </c>
      <c r="H1562" t="s">
        <v>26</v>
      </c>
      <c r="I1562" t="s">
        <v>52</v>
      </c>
      <c r="J1562" t="s">
        <v>28</v>
      </c>
      <c r="K1562" t="s">
        <v>29</v>
      </c>
      <c r="L1562" t="s">
        <v>30</v>
      </c>
      <c r="M1562">
        <v>0</v>
      </c>
      <c r="N1562">
        <v>0</v>
      </c>
      <c r="O1562" s="17" t="s">
        <v>712</v>
      </c>
      <c r="Q1562">
        <v>29</v>
      </c>
      <c r="R1562" t="s">
        <v>273</v>
      </c>
      <c r="S1562" t="s">
        <v>145</v>
      </c>
      <c r="T1562">
        <v>18.5</v>
      </c>
      <c r="W1562">
        <v>13</v>
      </c>
      <c r="X1562">
        <v>26.9</v>
      </c>
      <c r="Z1562" t="s">
        <v>145</v>
      </c>
      <c r="AA1562" t="s">
        <v>260</v>
      </c>
      <c r="AB1562" t="s">
        <v>121</v>
      </c>
      <c r="AC1562" t="s">
        <v>122</v>
      </c>
    </row>
    <row r="1563" spans="1:30" x14ac:dyDescent="0.2">
      <c r="A1563" s="3">
        <v>42592</v>
      </c>
      <c r="B1563" t="s">
        <v>23</v>
      </c>
      <c r="C1563">
        <v>501</v>
      </c>
      <c r="D1563">
        <v>10</v>
      </c>
      <c r="E1563">
        <v>2</v>
      </c>
      <c r="F1563" t="s">
        <v>24</v>
      </c>
      <c r="G1563" t="s">
        <v>25</v>
      </c>
      <c r="H1563" t="s">
        <v>26</v>
      </c>
      <c r="I1563" t="s">
        <v>52</v>
      </c>
      <c r="J1563" t="s">
        <v>28</v>
      </c>
      <c r="K1563" t="s">
        <v>29</v>
      </c>
      <c r="L1563" t="s">
        <v>30</v>
      </c>
      <c r="M1563">
        <v>0</v>
      </c>
      <c r="N1563">
        <v>0</v>
      </c>
      <c r="O1563" s="17" t="s">
        <v>712</v>
      </c>
      <c r="Q1563">
        <f>48-14.5</f>
        <v>33.5</v>
      </c>
      <c r="R1563" t="s">
        <v>279</v>
      </c>
      <c r="S1563" t="s">
        <v>145</v>
      </c>
      <c r="T1563">
        <v>19</v>
      </c>
      <c r="W1563">
        <v>13.4</v>
      </c>
      <c r="X1563">
        <v>31.6</v>
      </c>
      <c r="Z1563" t="s">
        <v>145</v>
      </c>
      <c r="AB1563" t="s">
        <v>44</v>
      </c>
      <c r="AC1563" t="s">
        <v>59</v>
      </c>
    </row>
    <row r="1564" spans="1:30" x14ac:dyDescent="0.2">
      <c r="A1564" s="3">
        <v>42605</v>
      </c>
      <c r="B1564" t="s">
        <v>23</v>
      </c>
      <c r="C1564">
        <v>501</v>
      </c>
      <c r="D1564">
        <v>4</v>
      </c>
      <c r="E1564">
        <v>1</v>
      </c>
      <c r="F1564" t="s">
        <v>64</v>
      </c>
      <c r="G1564" t="s">
        <v>25</v>
      </c>
      <c r="H1564" t="s">
        <v>26</v>
      </c>
      <c r="I1564" t="s">
        <v>52</v>
      </c>
      <c r="J1564" t="s">
        <v>28</v>
      </c>
      <c r="K1564" t="s">
        <v>29</v>
      </c>
      <c r="L1564" t="s">
        <v>30</v>
      </c>
      <c r="M1564">
        <v>0</v>
      </c>
      <c r="N1564">
        <v>0</v>
      </c>
      <c r="O1564" s="17" t="s">
        <v>712</v>
      </c>
      <c r="Q1564">
        <f>46.5-15.5</f>
        <v>31</v>
      </c>
      <c r="R1564" t="s">
        <v>251</v>
      </c>
      <c r="S1564" t="s">
        <v>145</v>
      </c>
      <c r="T1564">
        <v>18</v>
      </c>
      <c r="W1564">
        <v>12.9</v>
      </c>
      <c r="X1564">
        <v>27.1</v>
      </c>
      <c r="Z1564" t="s">
        <v>145</v>
      </c>
      <c r="AA1564" t="s">
        <v>260</v>
      </c>
      <c r="AB1564" t="s">
        <v>121</v>
      </c>
      <c r="AC1564" t="s">
        <v>59</v>
      </c>
    </row>
    <row r="1565" spans="1:30" x14ac:dyDescent="0.2">
      <c r="A1565" s="3">
        <v>42563</v>
      </c>
      <c r="B1565" t="s">
        <v>23</v>
      </c>
      <c r="C1565">
        <v>703</v>
      </c>
      <c r="D1565">
        <v>7</v>
      </c>
      <c r="E1565">
        <v>1</v>
      </c>
      <c r="F1565" t="s">
        <v>33</v>
      </c>
      <c r="G1565" t="s">
        <v>25</v>
      </c>
      <c r="H1565" t="s">
        <v>26</v>
      </c>
      <c r="I1565" t="s">
        <v>52</v>
      </c>
      <c r="J1565" t="s">
        <v>205</v>
      </c>
    </row>
    <row r="1566" spans="1:30" x14ac:dyDescent="0.2">
      <c r="A1566" s="3">
        <v>42564</v>
      </c>
      <c r="B1566" t="s">
        <v>23</v>
      </c>
      <c r="C1566">
        <v>701</v>
      </c>
      <c r="D1566">
        <v>1</v>
      </c>
      <c r="E1566">
        <v>2</v>
      </c>
      <c r="F1566" t="s">
        <v>33</v>
      </c>
      <c r="G1566" t="s">
        <v>25</v>
      </c>
      <c r="H1566" t="s">
        <v>26</v>
      </c>
      <c r="I1566" t="s">
        <v>52</v>
      </c>
      <c r="J1566" t="s">
        <v>205</v>
      </c>
    </row>
    <row r="1567" spans="1:30" x14ac:dyDescent="0.2">
      <c r="A1567" s="3">
        <v>42564</v>
      </c>
      <c r="B1567" t="s">
        <v>23</v>
      </c>
      <c r="C1567">
        <v>801</v>
      </c>
      <c r="D1567">
        <v>5</v>
      </c>
      <c r="E1567">
        <v>1</v>
      </c>
      <c r="F1567" t="s">
        <v>33</v>
      </c>
      <c r="G1567" t="s">
        <v>25</v>
      </c>
      <c r="H1567" t="s">
        <v>26</v>
      </c>
      <c r="I1567" t="s">
        <v>52</v>
      </c>
      <c r="J1567" t="s">
        <v>205</v>
      </c>
      <c r="K1567" t="s">
        <v>29</v>
      </c>
    </row>
    <row r="1568" spans="1:30" x14ac:dyDescent="0.2">
      <c r="A1568" s="3">
        <v>42576</v>
      </c>
      <c r="B1568" t="s">
        <v>23</v>
      </c>
      <c r="C1568">
        <v>701</v>
      </c>
      <c r="D1568">
        <v>4</v>
      </c>
      <c r="E1568">
        <v>1</v>
      </c>
      <c r="F1568" t="s">
        <v>66</v>
      </c>
      <c r="G1568" t="s">
        <v>25</v>
      </c>
      <c r="H1568" t="s">
        <v>26</v>
      </c>
      <c r="I1568" t="s">
        <v>52</v>
      </c>
      <c r="J1568" t="s">
        <v>205</v>
      </c>
      <c r="Q1568">
        <f>35-10</f>
        <v>25</v>
      </c>
    </row>
    <row r="1569" spans="1:30" x14ac:dyDescent="0.2">
      <c r="A1569" s="3">
        <v>42592</v>
      </c>
      <c r="B1569" t="s">
        <v>23</v>
      </c>
      <c r="C1569">
        <v>801</v>
      </c>
      <c r="D1569">
        <v>9</v>
      </c>
      <c r="E1569">
        <v>2</v>
      </c>
      <c r="F1569" t="s">
        <v>64</v>
      </c>
      <c r="G1569" t="s">
        <v>25</v>
      </c>
      <c r="H1569" t="s">
        <v>26</v>
      </c>
      <c r="I1569" t="s">
        <v>52</v>
      </c>
      <c r="J1569" t="s">
        <v>205</v>
      </c>
    </row>
    <row r="1570" spans="1:30" x14ac:dyDescent="0.2">
      <c r="A1570" s="3">
        <v>42593</v>
      </c>
      <c r="B1570" t="s">
        <v>23</v>
      </c>
      <c r="C1570">
        <v>801</v>
      </c>
      <c r="D1570">
        <v>9</v>
      </c>
      <c r="E1570">
        <v>1</v>
      </c>
      <c r="F1570" t="s">
        <v>64</v>
      </c>
      <c r="G1570" t="s">
        <v>25</v>
      </c>
      <c r="H1570" t="s">
        <v>26</v>
      </c>
      <c r="I1570" t="s">
        <v>52</v>
      </c>
      <c r="J1570" t="s">
        <v>205</v>
      </c>
    </row>
    <row r="1571" spans="1:30" x14ac:dyDescent="0.2">
      <c r="A1571" s="3">
        <v>42593</v>
      </c>
      <c r="B1571" t="s">
        <v>23</v>
      </c>
      <c r="C1571">
        <v>901</v>
      </c>
      <c r="D1571">
        <v>7</v>
      </c>
      <c r="E1571">
        <v>1</v>
      </c>
      <c r="F1571" t="s">
        <v>64</v>
      </c>
      <c r="G1571" t="s">
        <v>25</v>
      </c>
      <c r="H1571" t="s">
        <v>26</v>
      </c>
      <c r="I1571" t="s">
        <v>52</v>
      </c>
      <c r="J1571" t="s">
        <v>56</v>
      </c>
    </row>
    <row r="1572" spans="1:30" x14ac:dyDescent="0.2">
      <c r="A1572" s="3">
        <v>42598</v>
      </c>
      <c r="B1572" t="s">
        <v>23</v>
      </c>
      <c r="C1572">
        <v>201</v>
      </c>
      <c r="D1572">
        <v>10</v>
      </c>
      <c r="E1572">
        <v>1</v>
      </c>
      <c r="F1572" t="s">
        <v>64</v>
      </c>
      <c r="G1572" t="s">
        <v>25</v>
      </c>
      <c r="H1572" t="s">
        <v>26</v>
      </c>
      <c r="I1572" t="s">
        <v>52</v>
      </c>
      <c r="J1572" t="s">
        <v>205</v>
      </c>
    </row>
    <row r="1573" spans="1:30" x14ac:dyDescent="0.2">
      <c r="A1573" s="3">
        <v>42599</v>
      </c>
      <c r="B1573" t="s">
        <v>23</v>
      </c>
      <c r="C1573">
        <v>202</v>
      </c>
      <c r="D1573">
        <v>6</v>
      </c>
      <c r="E1573">
        <v>2</v>
      </c>
      <c r="F1573" t="s">
        <v>64</v>
      </c>
      <c r="G1573" t="s">
        <v>25</v>
      </c>
      <c r="H1573" t="s">
        <v>26</v>
      </c>
      <c r="I1573" t="s">
        <v>52</v>
      </c>
      <c r="J1573" t="s">
        <v>56</v>
      </c>
    </row>
    <row r="1574" spans="1:30" x14ac:dyDescent="0.2">
      <c r="A1574" s="3">
        <v>42604</v>
      </c>
      <c r="B1574" t="s">
        <v>23</v>
      </c>
      <c r="C1574">
        <v>503</v>
      </c>
      <c r="D1574">
        <v>7</v>
      </c>
      <c r="E1574">
        <v>1</v>
      </c>
      <c r="F1574" t="s">
        <v>64</v>
      </c>
      <c r="G1574" t="s">
        <v>25</v>
      </c>
      <c r="H1574" t="s">
        <v>26</v>
      </c>
      <c r="I1574" t="s">
        <v>52</v>
      </c>
      <c r="J1574" t="s">
        <v>56</v>
      </c>
    </row>
    <row r="1575" spans="1:30" x14ac:dyDescent="0.2">
      <c r="A1575" s="3">
        <v>42604</v>
      </c>
      <c r="B1575" t="s">
        <v>23</v>
      </c>
      <c r="C1575">
        <v>401</v>
      </c>
      <c r="D1575">
        <v>5</v>
      </c>
      <c r="E1575">
        <v>1</v>
      </c>
      <c r="F1575" t="s">
        <v>64</v>
      </c>
      <c r="G1575" t="s">
        <v>25</v>
      </c>
      <c r="H1575" t="s">
        <v>26</v>
      </c>
      <c r="I1575" t="s">
        <v>52</v>
      </c>
      <c r="J1575" t="s">
        <v>56</v>
      </c>
    </row>
    <row r="1576" spans="1:30" x14ac:dyDescent="0.2">
      <c r="A1576" s="3">
        <v>42604</v>
      </c>
      <c r="B1576" t="s">
        <v>23</v>
      </c>
      <c r="C1576">
        <v>401</v>
      </c>
      <c r="D1576">
        <v>6</v>
      </c>
      <c r="E1576">
        <v>1</v>
      </c>
      <c r="F1576" t="s">
        <v>64</v>
      </c>
      <c r="G1576" t="s">
        <v>25</v>
      </c>
      <c r="H1576" t="s">
        <v>26</v>
      </c>
      <c r="I1576" t="s">
        <v>52</v>
      </c>
      <c r="J1576" t="s">
        <v>56</v>
      </c>
    </row>
    <row r="1577" spans="1:30" x14ac:dyDescent="0.2">
      <c r="A1577" s="3">
        <v>42605</v>
      </c>
      <c r="B1577" t="s">
        <v>23</v>
      </c>
      <c r="C1577">
        <v>703</v>
      </c>
      <c r="D1577">
        <v>6</v>
      </c>
      <c r="E1577">
        <v>2</v>
      </c>
      <c r="F1577" t="s">
        <v>24</v>
      </c>
      <c r="G1577" t="s">
        <v>25</v>
      </c>
      <c r="H1577" t="s">
        <v>26</v>
      </c>
      <c r="I1577" t="s">
        <v>52</v>
      </c>
      <c r="J1577" t="s">
        <v>56</v>
      </c>
      <c r="AB1577" t="s">
        <v>44</v>
      </c>
      <c r="AC1577" t="s">
        <v>59</v>
      </c>
    </row>
    <row r="1578" spans="1:30" x14ac:dyDescent="0.2">
      <c r="A1578" s="3">
        <v>42605</v>
      </c>
      <c r="B1578" t="s">
        <v>23</v>
      </c>
      <c r="C1578">
        <v>303</v>
      </c>
      <c r="D1578">
        <v>4</v>
      </c>
      <c r="E1578">
        <v>2</v>
      </c>
      <c r="F1578" t="s">
        <v>64</v>
      </c>
      <c r="G1578" t="s">
        <v>25</v>
      </c>
      <c r="H1578" t="s">
        <v>26</v>
      </c>
      <c r="I1578" t="s">
        <v>52</v>
      </c>
      <c r="J1578" t="s">
        <v>56</v>
      </c>
      <c r="AD1578" t="s">
        <v>1519</v>
      </c>
    </row>
    <row r="1579" spans="1:30" x14ac:dyDescent="0.2">
      <c r="A1579" s="3">
        <v>42606</v>
      </c>
      <c r="B1579" t="s">
        <v>23</v>
      </c>
      <c r="C1579">
        <v>303</v>
      </c>
      <c r="D1579">
        <v>2</v>
      </c>
      <c r="E1579">
        <v>2</v>
      </c>
      <c r="F1579" t="s">
        <v>64</v>
      </c>
      <c r="G1579" t="s">
        <v>25</v>
      </c>
      <c r="H1579" t="s">
        <v>26</v>
      </c>
      <c r="I1579" t="s">
        <v>52</v>
      </c>
      <c r="J1579" t="s">
        <v>28</v>
      </c>
      <c r="K1579" t="s">
        <v>29</v>
      </c>
      <c r="L1579" t="s">
        <v>35</v>
      </c>
      <c r="M1579">
        <v>0</v>
      </c>
      <c r="N1579">
        <v>0</v>
      </c>
      <c r="O1579" s="17" t="s">
        <v>1703</v>
      </c>
      <c r="Q1579">
        <f>35-14.5</f>
        <v>20.5</v>
      </c>
      <c r="R1579" t="s">
        <v>39</v>
      </c>
      <c r="T1579">
        <v>17.5</v>
      </c>
      <c r="W1579">
        <v>13</v>
      </c>
      <c r="Z1579" t="s">
        <v>145</v>
      </c>
      <c r="AA1579" t="s">
        <v>1769</v>
      </c>
      <c r="AB1579" t="s">
        <v>53</v>
      </c>
      <c r="AC1579" t="s">
        <v>122</v>
      </c>
    </row>
    <row r="1580" spans="1:30" x14ac:dyDescent="0.2">
      <c r="A1580" s="3">
        <v>42606</v>
      </c>
      <c r="B1580" t="s">
        <v>23</v>
      </c>
      <c r="C1580">
        <v>703</v>
      </c>
      <c r="D1580">
        <v>5</v>
      </c>
      <c r="E1580">
        <v>2</v>
      </c>
      <c r="F1580" t="s">
        <v>24</v>
      </c>
      <c r="G1580" t="s">
        <v>25</v>
      </c>
      <c r="H1580" t="s">
        <v>26</v>
      </c>
      <c r="I1580" t="s">
        <v>52</v>
      </c>
      <c r="J1580" t="s">
        <v>28</v>
      </c>
      <c r="K1580" t="s">
        <v>188</v>
      </c>
      <c r="L1580" t="s">
        <v>35</v>
      </c>
      <c r="M1580">
        <v>0</v>
      </c>
      <c r="N1580">
        <v>0</v>
      </c>
      <c r="O1580" s="17" t="s">
        <v>1393</v>
      </c>
      <c r="Q1580">
        <f>33-16</f>
        <v>17</v>
      </c>
      <c r="R1580" t="s">
        <v>39</v>
      </c>
      <c r="T1580">
        <v>16</v>
      </c>
      <c r="W1580">
        <v>12.5</v>
      </c>
      <c r="X1580">
        <v>24.9</v>
      </c>
      <c r="Z1580" t="s">
        <v>145</v>
      </c>
      <c r="AB1580" t="s">
        <v>44</v>
      </c>
      <c r="AC1580" t="s">
        <v>59</v>
      </c>
    </row>
    <row r="1581" spans="1:30" x14ac:dyDescent="0.2">
      <c r="A1581" s="3">
        <v>42515</v>
      </c>
      <c r="B1581" t="s">
        <v>23</v>
      </c>
      <c r="C1581">
        <v>303</v>
      </c>
      <c r="D1581">
        <v>8</v>
      </c>
      <c r="E1581">
        <v>1</v>
      </c>
      <c r="F1581" t="s">
        <v>33</v>
      </c>
      <c r="G1581" t="s">
        <v>25</v>
      </c>
      <c r="H1581" t="s">
        <v>26</v>
      </c>
      <c r="I1581" t="s">
        <v>62</v>
      </c>
      <c r="J1581" t="s">
        <v>28</v>
      </c>
      <c r="K1581" t="s">
        <v>29</v>
      </c>
      <c r="L1581" t="s">
        <v>30</v>
      </c>
      <c r="M1581">
        <v>0</v>
      </c>
      <c r="N1581">
        <v>0</v>
      </c>
      <c r="O1581" s="17">
        <v>509</v>
      </c>
      <c r="Q1581">
        <f>222-46</f>
        <v>176</v>
      </c>
      <c r="R1581" t="s">
        <v>91</v>
      </c>
      <c r="S1581" t="s">
        <v>32</v>
      </c>
      <c r="Z1581" t="s">
        <v>32</v>
      </c>
      <c r="AB1581" t="s">
        <v>144</v>
      </c>
      <c r="AC1581" t="s">
        <v>122</v>
      </c>
    </row>
    <row r="1582" spans="1:30" x14ac:dyDescent="0.2">
      <c r="A1582" s="3">
        <v>42515</v>
      </c>
      <c r="B1582" t="s">
        <v>23</v>
      </c>
      <c r="C1582">
        <v>401</v>
      </c>
      <c r="D1582">
        <v>1</v>
      </c>
      <c r="E1582">
        <v>1</v>
      </c>
      <c r="F1582" t="s">
        <v>33</v>
      </c>
      <c r="G1582" t="s">
        <v>25</v>
      </c>
      <c r="H1582" t="s">
        <v>26</v>
      </c>
      <c r="I1582" t="s">
        <v>62</v>
      </c>
      <c r="J1582" t="s">
        <v>28</v>
      </c>
      <c r="K1582" t="s">
        <v>29</v>
      </c>
      <c r="L1582" t="s">
        <v>35</v>
      </c>
      <c r="M1582">
        <v>0</v>
      </c>
      <c r="N1582">
        <v>0</v>
      </c>
      <c r="O1582" s="17">
        <v>540</v>
      </c>
      <c r="P1582" s="17">
        <v>2227</v>
      </c>
      <c r="Q1582">
        <f>230-47</f>
        <v>183</v>
      </c>
      <c r="R1582" t="s">
        <v>39</v>
      </c>
      <c r="S1582" t="s">
        <v>32</v>
      </c>
      <c r="Z1582" t="s">
        <v>32</v>
      </c>
    </row>
    <row r="1583" spans="1:30" x14ac:dyDescent="0.2">
      <c r="A1583" s="3">
        <v>42551</v>
      </c>
      <c r="B1583" t="s">
        <v>23</v>
      </c>
      <c r="C1583">
        <v>303</v>
      </c>
      <c r="D1583">
        <v>10</v>
      </c>
      <c r="E1583">
        <v>2</v>
      </c>
      <c r="F1583" t="s">
        <v>33</v>
      </c>
      <c r="G1583" t="s">
        <v>25</v>
      </c>
      <c r="H1583" t="s">
        <v>26</v>
      </c>
      <c r="I1583" t="s">
        <v>62</v>
      </c>
      <c r="J1583" t="s">
        <v>28</v>
      </c>
      <c r="K1583" t="s">
        <v>29</v>
      </c>
      <c r="L1583" t="s">
        <v>35</v>
      </c>
      <c r="M1583">
        <v>0</v>
      </c>
      <c r="N1583">
        <v>0</v>
      </c>
      <c r="O1583" s="17">
        <v>2618</v>
      </c>
      <c r="P1583" s="17">
        <v>509</v>
      </c>
      <c r="Q1583">
        <f>210-48</f>
        <v>162</v>
      </c>
      <c r="R1583" t="s">
        <v>39</v>
      </c>
      <c r="Z1583" t="s">
        <v>32</v>
      </c>
      <c r="AB1583" t="s">
        <v>44</v>
      </c>
      <c r="AC1583" t="s">
        <v>59</v>
      </c>
    </row>
    <row r="1584" spans="1:30" x14ac:dyDescent="0.2">
      <c r="A1584" s="3">
        <v>42516</v>
      </c>
      <c r="B1584" t="s">
        <v>23</v>
      </c>
      <c r="C1584">
        <v>401</v>
      </c>
      <c r="D1584">
        <v>6</v>
      </c>
      <c r="E1584">
        <v>2</v>
      </c>
      <c r="F1584" t="s">
        <v>33</v>
      </c>
      <c r="G1584" t="s">
        <v>25</v>
      </c>
      <c r="H1584" t="s">
        <v>26</v>
      </c>
      <c r="I1584" t="s">
        <v>62</v>
      </c>
      <c r="J1584" t="s">
        <v>28</v>
      </c>
      <c r="K1584" t="s">
        <v>29</v>
      </c>
      <c r="L1584" t="s">
        <v>35</v>
      </c>
      <c r="M1584">
        <v>0</v>
      </c>
      <c r="N1584">
        <v>0</v>
      </c>
      <c r="O1584" s="17">
        <v>2622</v>
      </c>
      <c r="P1584" s="17">
        <v>2621</v>
      </c>
      <c r="Q1584">
        <f>244-52</f>
        <v>192</v>
      </c>
      <c r="R1584" t="s">
        <v>39</v>
      </c>
      <c r="S1584" t="s">
        <v>32</v>
      </c>
      <c r="Z1584" t="s">
        <v>32</v>
      </c>
      <c r="AB1584" t="s">
        <v>155</v>
      </c>
      <c r="AC1584" t="s">
        <v>122</v>
      </c>
    </row>
    <row r="1585" spans="1:30" x14ac:dyDescent="0.2">
      <c r="A1585" s="3">
        <v>42563</v>
      </c>
      <c r="B1585" t="s">
        <v>23</v>
      </c>
      <c r="C1585">
        <v>401</v>
      </c>
      <c r="D1585">
        <v>10</v>
      </c>
      <c r="E1585">
        <v>1</v>
      </c>
      <c r="F1585" t="s">
        <v>24</v>
      </c>
      <c r="G1585" t="s">
        <v>25</v>
      </c>
      <c r="H1585" t="s">
        <v>26</v>
      </c>
      <c r="I1585" t="s">
        <v>62</v>
      </c>
      <c r="J1585" t="s">
        <v>28</v>
      </c>
      <c r="K1585" t="s">
        <v>29</v>
      </c>
      <c r="L1585" t="s">
        <v>35</v>
      </c>
      <c r="M1585">
        <v>0</v>
      </c>
      <c r="N1585">
        <v>0</v>
      </c>
      <c r="O1585" s="17">
        <v>2622</v>
      </c>
      <c r="P1585" s="17">
        <v>2621</v>
      </c>
      <c r="Q1585">
        <f>280-90</f>
        <v>190</v>
      </c>
      <c r="R1585" t="s">
        <v>39</v>
      </c>
      <c r="W1585">
        <v>26.8</v>
      </c>
      <c r="X1585">
        <v>50</v>
      </c>
      <c r="Z1585" t="s">
        <v>32</v>
      </c>
      <c r="AB1585" t="s">
        <v>53</v>
      </c>
      <c r="AC1585" t="s">
        <v>122</v>
      </c>
    </row>
    <row r="1586" spans="1:30" x14ac:dyDescent="0.2">
      <c r="A1586" s="3">
        <v>42574</v>
      </c>
      <c r="B1586" t="s">
        <v>23</v>
      </c>
      <c r="C1586">
        <v>401</v>
      </c>
      <c r="D1586">
        <v>5</v>
      </c>
      <c r="E1586">
        <v>2</v>
      </c>
      <c r="F1586" t="s">
        <v>33</v>
      </c>
      <c r="G1586" t="s">
        <v>25</v>
      </c>
      <c r="H1586" t="s">
        <v>26</v>
      </c>
      <c r="I1586" t="s">
        <v>62</v>
      </c>
      <c r="J1586" t="s">
        <v>28</v>
      </c>
      <c r="K1586" t="s">
        <v>29</v>
      </c>
      <c r="L1586" t="s">
        <v>35</v>
      </c>
      <c r="M1586">
        <v>0</v>
      </c>
      <c r="N1586">
        <v>0</v>
      </c>
      <c r="O1586" s="17">
        <v>2622</v>
      </c>
      <c r="P1586" s="17">
        <v>2621</v>
      </c>
      <c r="Q1586">
        <f>230-49</f>
        <v>181</v>
      </c>
      <c r="R1586" t="s">
        <v>39</v>
      </c>
      <c r="T1586">
        <v>41</v>
      </c>
      <c r="W1586">
        <v>12.7</v>
      </c>
      <c r="X1586">
        <v>44.1</v>
      </c>
      <c r="Y1586" t="s">
        <v>659</v>
      </c>
      <c r="Z1586" t="s">
        <v>145</v>
      </c>
      <c r="AA1586" t="s">
        <v>658</v>
      </c>
      <c r="AB1586" t="s">
        <v>122</v>
      </c>
      <c r="AC1586" t="s">
        <v>121</v>
      </c>
    </row>
    <row r="1587" spans="1:30" x14ac:dyDescent="0.2">
      <c r="A1587" s="3">
        <v>42593</v>
      </c>
      <c r="B1587" t="s">
        <v>23</v>
      </c>
      <c r="C1587">
        <v>401</v>
      </c>
      <c r="D1587">
        <v>6</v>
      </c>
      <c r="E1587">
        <v>1</v>
      </c>
      <c r="F1587" t="s">
        <v>24</v>
      </c>
      <c r="G1587" t="s">
        <v>25</v>
      </c>
      <c r="H1587" t="s">
        <v>26</v>
      </c>
      <c r="I1587" t="s">
        <v>62</v>
      </c>
      <c r="J1587" t="s">
        <v>28</v>
      </c>
      <c r="K1587" t="s">
        <v>29</v>
      </c>
      <c r="L1587" t="s">
        <v>35</v>
      </c>
      <c r="M1587">
        <v>0</v>
      </c>
      <c r="N1587">
        <v>0</v>
      </c>
      <c r="O1587" s="17" t="s">
        <v>1284</v>
      </c>
      <c r="P1587" s="17" t="s">
        <v>1285</v>
      </c>
      <c r="Q1587">
        <f>280-90</f>
        <v>190</v>
      </c>
      <c r="R1587" t="s">
        <v>39</v>
      </c>
      <c r="T1587">
        <v>44</v>
      </c>
      <c r="W1587">
        <v>27</v>
      </c>
      <c r="X1587">
        <v>50.1</v>
      </c>
      <c r="Z1587" t="s">
        <v>145</v>
      </c>
      <c r="AB1587" t="s">
        <v>44</v>
      </c>
      <c r="AC1587" t="s">
        <v>122</v>
      </c>
    </row>
    <row r="1588" spans="1:30" x14ac:dyDescent="0.2">
      <c r="A1588" s="3">
        <v>42598</v>
      </c>
      <c r="B1588" t="s">
        <v>23</v>
      </c>
      <c r="C1588">
        <v>202</v>
      </c>
      <c r="D1588">
        <v>9</v>
      </c>
      <c r="E1588">
        <v>2</v>
      </c>
      <c r="F1588" t="s">
        <v>64</v>
      </c>
      <c r="G1588" t="s">
        <v>25</v>
      </c>
      <c r="H1588" t="s">
        <v>26</v>
      </c>
      <c r="I1588" t="s">
        <v>62</v>
      </c>
      <c r="J1588" t="s">
        <v>34</v>
      </c>
      <c r="K1588" t="s">
        <v>29</v>
      </c>
      <c r="L1588" t="s">
        <v>35</v>
      </c>
      <c r="M1588">
        <v>0</v>
      </c>
      <c r="N1588">
        <v>1</v>
      </c>
      <c r="O1588" s="17" t="s">
        <v>1586</v>
      </c>
      <c r="Q1588">
        <f>200-48</f>
        <v>152</v>
      </c>
      <c r="R1588" t="s">
        <v>39</v>
      </c>
      <c r="T1588">
        <v>41</v>
      </c>
      <c r="Z1588" t="s">
        <v>145</v>
      </c>
      <c r="AA1588" t="s">
        <v>260</v>
      </c>
      <c r="AB1588" t="s">
        <v>121</v>
      </c>
      <c r="AC1588" t="s">
        <v>122</v>
      </c>
      <c r="AD1588" t="s">
        <v>1587</v>
      </c>
    </row>
    <row r="1589" spans="1:30" x14ac:dyDescent="0.2">
      <c r="A1589" s="3">
        <v>42585</v>
      </c>
      <c r="B1589" t="s">
        <v>23</v>
      </c>
      <c r="C1589">
        <v>402</v>
      </c>
      <c r="D1589">
        <v>10</v>
      </c>
      <c r="E1589">
        <v>2</v>
      </c>
      <c r="F1589" t="s">
        <v>64</v>
      </c>
      <c r="G1589" t="s">
        <v>25</v>
      </c>
      <c r="H1589" t="s">
        <v>26</v>
      </c>
      <c r="I1589" t="s">
        <v>62</v>
      </c>
      <c r="J1589" t="s">
        <v>34</v>
      </c>
      <c r="K1589" t="s">
        <v>123</v>
      </c>
      <c r="L1589" t="s">
        <v>30</v>
      </c>
      <c r="M1589">
        <v>0</v>
      </c>
      <c r="N1589">
        <v>1</v>
      </c>
      <c r="O1589" s="17" t="s">
        <v>935</v>
      </c>
      <c r="Q1589">
        <f>166-46</f>
        <v>120</v>
      </c>
      <c r="R1589" t="s">
        <v>31</v>
      </c>
      <c r="S1589" t="s">
        <v>32</v>
      </c>
      <c r="T1589">
        <v>36</v>
      </c>
      <c r="W1589">
        <v>25</v>
      </c>
      <c r="X1589">
        <v>43.7</v>
      </c>
      <c r="Z1589" t="s">
        <v>145</v>
      </c>
      <c r="AA1589" t="s">
        <v>260</v>
      </c>
      <c r="AB1589" t="s">
        <v>53</v>
      </c>
      <c r="AC1589" t="s">
        <v>122</v>
      </c>
    </row>
    <row r="1590" spans="1:30" x14ac:dyDescent="0.2">
      <c r="A1590" s="3">
        <v>42587</v>
      </c>
      <c r="B1590" t="s">
        <v>23</v>
      </c>
      <c r="C1590">
        <v>402</v>
      </c>
      <c r="D1590">
        <v>7</v>
      </c>
      <c r="E1590">
        <v>1</v>
      </c>
      <c r="F1590" t="s">
        <v>64</v>
      </c>
      <c r="G1590" t="s">
        <v>25</v>
      </c>
      <c r="H1590" t="s">
        <v>26</v>
      </c>
      <c r="I1590" t="s">
        <v>62</v>
      </c>
      <c r="J1590" t="s">
        <v>28</v>
      </c>
      <c r="K1590" t="s">
        <v>123</v>
      </c>
      <c r="L1590" t="s">
        <v>30</v>
      </c>
      <c r="M1590">
        <v>0</v>
      </c>
      <c r="N1590">
        <v>0</v>
      </c>
      <c r="O1590" s="17" t="s">
        <v>1189</v>
      </c>
      <c r="Q1590">
        <f>162-48</f>
        <v>114</v>
      </c>
      <c r="R1590" t="s">
        <v>31</v>
      </c>
      <c r="S1590" t="s">
        <v>32</v>
      </c>
      <c r="Z1590" t="s">
        <v>145</v>
      </c>
      <c r="AA1590" t="s">
        <v>260</v>
      </c>
      <c r="AB1590" t="s">
        <v>53</v>
      </c>
      <c r="AC1590" t="s">
        <v>254</v>
      </c>
    </row>
    <row r="1591" spans="1:30" x14ac:dyDescent="0.2">
      <c r="A1591" s="3">
        <v>42593</v>
      </c>
      <c r="B1591" t="s">
        <v>23</v>
      </c>
      <c r="C1591">
        <v>501</v>
      </c>
      <c r="D1591">
        <v>3</v>
      </c>
      <c r="E1591">
        <v>1</v>
      </c>
      <c r="F1591" t="s">
        <v>24</v>
      </c>
      <c r="G1591" t="s">
        <v>25</v>
      </c>
      <c r="H1591" t="s">
        <v>26</v>
      </c>
      <c r="I1591" t="s">
        <v>62</v>
      </c>
      <c r="J1591" t="s">
        <v>34</v>
      </c>
      <c r="K1591" t="s">
        <v>123</v>
      </c>
      <c r="L1591" t="s">
        <v>30</v>
      </c>
      <c r="M1591">
        <v>0</v>
      </c>
      <c r="N1591">
        <v>1</v>
      </c>
      <c r="O1591" s="17" t="s">
        <v>1260</v>
      </c>
      <c r="Q1591">
        <f>198-90</f>
        <v>108</v>
      </c>
      <c r="R1591" t="s">
        <v>31</v>
      </c>
      <c r="S1591" t="s">
        <v>32</v>
      </c>
      <c r="T1591">
        <v>45</v>
      </c>
      <c r="W1591">
        <v>24.2</v>
      </c>
      <c r="X1591">
        <v>42.2</v>
      </c>
      <c r="Z1591" t="s">
        <v>32</v>
      </c>
      <c r="AB1591" t="s">
        <v>44</v>
      </c>
      <c r="AC1591" t="s">
        <v>122</v>
      </c>
    </row>
    <row r="1592" spans="1:30" x14ac:dyDescent="0.2">
      <c r="A1592" s="3">
        <v>42605</v>
      </c>
      <c r="B1592" t="s">
        <v>23</v>
      </c>
      <c r="C1592">
        <v>501</v>
      </c>
      <c r="D1592">
        <v>6</v>
      </c>
      <c r="E1592">
        <v>1</v>
      </c>
      <c r="F1592" t="s">
        <v>64</v>
      </c>
      <c r="G1592" t="s">
        <v>25</v>
      </c>
      <c r="H1592" t="s">
        <v>26</v>
      </c>
      <c r="I1592" t="s">
        <v>62</v>
      </c>
      <c r="J1592" t="s">
        <v>28</v>
      </c>
      <c r="K1592" t="s">
        <v>29</v>
      </c>
      <c r="L1592" t="s">
        <v>35</v>
      </c>
      <c r="M1592">
        <v>0</v>
      </c>
      <c r="N1592">
        <v>0</v>
      </c>
      <c r="O1592" s="17" t="s">
        <v>1260</v>
      </c>
      <c r="Q1592">
        <f>172-48</f>
        <v>124</v>
      </c>
      <c r="R1592" t="s">
        <v>63</v>
      </c>
      <c r="T1592">
        <v>42</v>
      </c>
      <c r="W1592">
        <v>25.3</v>
      </c>
      <c r="X1592">
        <v>45.2</v>
      </c>
      <c r="Z1592" t="s">
        <v>32</v>
      </c>
      <c r="AB1592" t="s">
        <v>121</v>
      </c>
      <c r="AC1592" t="s">
        <v>59</v>
      </c>
      <c r="AD1592" t="s">
        <v>1519</v>
      </c>
    </row>
    <row r="1593" spans="1:30" x14ac:dyDescent="0.2">
      <c r="A1593" s="3">
        <v>42501</v>
      </c>
      <c r="B1593" t="s">
        <v>23</v>
      </c>
      <c r="C1593">
        <v>503</v>
      </c>
      <c r="D1593">
        <v>10</v>
      </c>
      <c r="E1593">
        <v>2</v>
      </c>
      <c r="F1593" t="s">
        <v>24</v>
      </c>
      <c r="G1593" t="s">
        <v>25</v>
      </c>
      <c r="H1593" t="s">
        <v>26</v>
      </c>
      <c r="I1593" t="s">
        <v>62</v>
      </c>
      <c r="J1593" t="s">
        <v>34</v>
      </c>
      <c r="K1593" t="s">
        <v>29</v>
      </c>
      <c r="L1593" t="s">
        <v>35</v>
      </c>
      <c r="M1593">
        <v>0</v>
      </c>
      <c r="N1593">
        <v>1</v>
      </c>
      <c r="O1593" s="17">
        <v>26636</v>
      </c>
      <c r="R1593" t="s">
        <v>39</v>
      </c>
      <c r="Z1593" t="s">
        <v>32</v>
      </c>
    </row>
    <row r="1594" spans="1:30" x14ac:dyDescent="0.2">
      <c r="A1594" s="3">
        <v>42515</v>
      </c>
      <c r="B1594" t="s">
        <v>23</v>
      </c>
      <c r="C1594">
        <v>501</v>
      </c>
      <c r="D1594">
        <v>7</v>
      </c>
      <c r="E1594">
        <v>1</v>
      </c>
      <c r="F1594" t="s">
        <v>33</v>
      </c>
      <c r="G1594" t="s">
        <v>25</v>
      </c>
      <c r="H1594" t="s">
        <v>26</v>
      </c>
      <c r="I1594" t="s">
        <v>62</v>
      </c>
      <c r="J1594" t="s">
        <v>34</v>
      </c>
      <c r="K1594" t="s">
        <v>29</v>
      </c>
      <c r="L1594" t="s">
        <v>35</v>
      </c>
      <c r="M1594">
        <v>0</v>
      </c>
      <c r="N1594">
        <v>0</v>
      </c>
      <c r="O1594" s="17">
        <v>50319</v>
      </c>
      <c r="Q1594">
        <f>198-48</f>
        <v>150</v>
      </c>
      <c r="R1594" t="s">
        <v>39</v>
      </c>
      <c r="S1594" t="s">
        <v>32</v>
      </c>
      <c r="Z1594" t="s">
        <v>32</v>
      </c>
      <c r="AB1594" t="s">
        <v>144</v>
      </c>
      <c r="AC1594" t="s">
        <v>122</v>
      </c>
    </row>
    <row r="1595" spans="1:30" x14ac:dyDescent="0.2">
      <c r="A1595" s="3">
        <v>42516</v>
      </c>
      <c r="B1595" t="s">
        <v>23</v>
      </c>
      <c r="C1595">
        <v>503</v>
      </c>
      <c r="D1595">
        <v>8</v>
      </c>
      <c r="E1595">
        <v>2</v>
      </c>
      <c r="F1595" t="s">
        <v>33</v>
      </c>
      <c r="G1595" t="s">
        <v>25</v>
      </c>
      <c r="H1595" t="s">
        <v>26</v>
      </c>
      <c r="I1595" t="s">
        <v>62</v>
      </c>
      <c r="J1595" t="s">
        <v>34</v>
      </c>
      <c r="K1595" t="s">
        <v>29</v>
      </c>
      <c r="L1595" t="s">
        <v>30</v>
      </c>
      <c r="M1595">
        <v>0</v>
      </c>
      <c r="N1595">
        <v>1</v>
      </c>
      <c r="O1595" s="17">
        <v>50338</v>
      </c>
      <c r="Q1595">
        <f>208-48</f>
        <v>160</v>
      </c>
      <c r="R1595" t="s">
        <v>61</v>
      </c>
      <c r="S1595" t="s">
        <v>32</v>
      </c>
      <c r="Z1595" t="s">
        <v>32</v>
      </c>
      <c r="AB1595" t="s">
        <v>53</v>
      </c>
      <c r="AC1595" t="s">
        <v>122</v>
      </c>
    </row>
    <row r="1596" spans="1:30" x14ac:dyDescent="0.2">
      <c r="A1596" s="3">
        <v>42502</v>
      </c>
      <c r="B1596" t="s">
        <v>23</v>
      </c>
      <c r="C1596">
        <v>703</v>
      </c>
      <c r="D1596">
        <v>9</v>
      </c>
      <c r="E1596">
        <v>2</v>
      </c>
      <c r="F1596" t="s">
        <v>33</v>
      </c>
      <c r="G1596" t="s">
        <v>25</v>
      </c>
      <c r="H1596" t="s">
        <v>26</v>
      </c>
      <c r="I1596" t="s">
        <v>62</v>
      </c>
      <c r="J1596" t="s">
        <v>34</v>
      </c>
      <c r="K1596" t="s">
        <v>29</v>
      </c>
      <c r="L1596" t="s">
        <v>35</v>
      </c>
      <c r="M1596">
        <v>0</v>
      </c>
      <c r="N1596">
        <v>1</v>
      </c>
      <c r="O1596" s="17">
        <v>50385</v>
      </c>
      <c r="Q1596">
        <f>231-50</f>
        <v>181</v>
      </c>
      <c r="R1596" t="s">
        <v>39</v>
      </c>
      <c r="S1596" t="s">
        <v>32</v>
      </c>
      <c r="Z1596" t="s">
        <v>32</v>
      </c>
      <c r="AB1596" t="s">
        <v>53</v>
      </c>
      <c r="AC1596" t="s">
        <v>59</v>
      </c>
    </row>
    <row r="1597" spans="1:30" x14ac:dyDescent="0.2">
      <c r="A1597" s="3">
        <v>42502</v>
      </c>
      <c r="B1597" t="s">
        <v>23</v>
      </c>
      <c r="C1597">
        <v>703</v>
      </c>
      <c r="D1597">
        <v>5</v>
      </c>
      <c r="E1597">
        <v>1</v>
      </c>
      <c r="F1597" t="s">
        <v>33</v>
      </c>
      <c r="G1597" t="s">
        <v>25</v>
      </c>
      <c r="H1597" t="s">
        <v>26</v>
      </c>
      <c r="I1597" t="s">
        <v>62</v>
      </c>
      <c r="J1597" t="s">
        <v>34</v>
      </c>
      <c r="K1597" t="s">
        <v>29</v>
      </c>
      <c r="L1597" t="s">
        <v>30</v>
      </c>
      <c r="M1597">
        <v>0</v>
      </c>
      <c r="N1597">
        <v>1</v>
      </c>
      <c r="O1597" s="17">
        <v>50390</v>
      </c>
      <c r="Q1597">
        <f>205-48</f>
        <v>157</v>
      </c>
      <c r="R1597" t="s">
        <v>31</v>
      </c>
      <c r="S1597" t="s">
        <v>32</v>
      </c>
      <c r="Z1597" t="s">
        <v>32</v>
      </c>
      <c r="AB1597" t="s">
        <v>53</v>
      </c>
      <c r="AC1597" t="s">
        <v>59</v>
      </c>
    </row>
    <row r="1598" spans="1:30" x14ac:dyDescent="0.2">
      <c r="A1598" s="3">
        <v>42537</v>
      </c>
      <c r="B1598" t="s">
        <v>23</v>
      </c>
      <c r="C1598">
        <v>703</v>
      </c>
      <c r="D1598">
        <v>6</v>
      </c>
      <c r="E1598">
        <v>1</v>
      </c>
      <c r="F1598" t="s">
        <v>33</v>
      </c>
      <c r="G1598" t="s">
        <v>25</v>
      </c>
      <c r="H1598" t="s">
        <v>26</v>
      </c>
      <c r="I1598" t="s">
        <v>62</v>
      </c>
      <c r="J1598" t="s">
        <v>28</v>
      </c>
      <c r="K1598" t="s">
        <v>187</v>
      </c>
      <c r="L1598" t="s">
        <v>30</v>
      </c>
      <c r="M1598">
        <v>0</v>
      </c>
      <c r="N1598">
        <v>0</v>
      </c>
      <c r="O1598" s="17">
        <v>50390</v>
      </c>
      <c r="Q1598">
        <f>206-48</f>
        <v>158</v>
      </c>
      <c r="R1598" t="s">
        <v>61</v>
      </c>
      <c r="S1598" t="s">
        <v>145</v>
      </c>
      <c r="T1598">
        <v>41</v>
      </c>
      <c r="X1598">
        <v>42.5</v>
      </c>
      <c r="Z1598" t="s">
        <v>32</v>
      </c>
      <c r="AB1598" t="s">
        <v>44</v>
      </c>
      <c r="AC1598" t="s">
        <v>122</v>
      </c>
    </row>
    <row r="1599" spans="1:30" x14ac:dyDescent="0.2">
      <c r="A1599" s="3">
        <v>42549</v>
      </c>
      <c r="B1599" t="s">
        <v>23</v>
      </c>
      <c r="C1599">
        <v>703</v>
      </c>
      <c r="D1599">
        <v>1</v>
      </c>
      <c r="E1599">
        <v>2</v>
      </c>
      <c r="F1599" t="s">
        <v>24</v>
      </c>
      <c r="G1599" t="s">
        <v>25</v>
      </c>
      <c r="H1599" t="s">
        <v>26</v>
      </c>
      <c r="I1599" t="s">
        <v>62</v>
      </c>
      <c r="J1599" t="s">
        <v>329</v>
      </c>
      <c r="K1599" t="s">
        <v>29</v>
      </c>
      <c r="L1599" t="s">
        <v>30</v>
      </c>
      <c r="M1599">
        <v>0</v>
      </c>
      <c r="N1599">
        <v>0</v>
      </c>
      <c r="O1599" s="17">
        <v>50390</v>
      </c>
      <c r="Q1599">
        <f>250-90</f>
        <v>160</v>
      </c>
      <c r="R1599" t="s">
        <v>75</v>
      </c>
      <c r="S1599" t="s">
        <v>145</v>
      </c>
      <c r="T1599">
        <v>40</v>
      </c>
      <c r="W1599">
        <v>26.4</v>
      </c>
      <c r="X1599">
        <v>49.8</v>
      </c>
      <c r="Z1599" t="s">
        <v>32</v>
      </c>
      <c r="AB1599" t="s">
        <v>121</v>
      </c>
      <c r="AC1599" t="s">
        <v>122</v>
      </c>
    </row>
    <row r="1600" spans="1:30" x14ac:dyDescent="0.2">
      <c r="A1600" s="3">
        <v>42563</v>
      </c>
      <c r="B1600" t="s">
        <v>23</v>
      </c>
      <c r="C1600">
        <v>703</v>
      </c>
      <c r="D1600">
        <v>9</v>
      </c>
      <c r="E1600">
        <v>1</v>
      </c>
      <c r="F1600" t="s">
        <v>33</v>
      </c>
      <c r="G1600" t="s">
        <v>25</v>
      </c>
      <c r="H1600" t="s">
        <v>26</v>
      </c>
      <c r="I1600" t="s">
        <v>62</v>
      </c>
      <c r="J1600" t="s">
        <v>28</v>
      </c>
      <c r="K1600" t="s">
        <v>29</v>
      </c>
      <c r="L1600" t="s">
        <v>30</v>
      </c>
      <c r="M1600">
        <v>0</v>
      </c>
      <c r="N1600">
        <v>0</v>
      </c>
      <c r="O1600" s="17">
        <v>50390</v>
      </c>
      <c r="R1600" t="s">
        <v>273</v>
      </c>
      <c r="S1600" t="s">
        <v>145</v>
      </c>
      <c r="T1600">
        <v>38</v>
      </c>
      <c r="W1600">
        <v>26.8</v>
      </c>
      <c r="X1600">
        <v>46.8</v>
      </c>
      <c r="Z1600" t="s">
        <v>32</v>
      </c>
      <c r="AB1600" t="s">
        <v>53</v>
      </c>
      <c r="AC1600" t="s">
        <v>122</v>
      </c>
    </row>
    <row r="1601" spans="1:29" x14ac:dyDescent="0.2">
      <c r="A1601" s="3">
        <v>42591</v>
      </c>
      <c r="B1601" t="s">
        <v>23</v>
      </c>
      <c r="C1601">
        <v>703</v>
      </c>
      <c r="D1601">
        <v>9</v>
      </c>
      <c r="E1601">
        <v>2</v>
      </c>
      <c r="F1601" t="s">
        <v>64</v>
      </c>
      <c r="G1601" t="s">
        <v>25</v>
      </c>
      <c r="H1601" t="s">
        <v>26</v>
      </c>
      <c r="I1601" t="s">
        <v>62</v>
      </c>
      <c r="J1601" t="s">
        <v>28</v>
      </c>
      <c r="K1601" t="s">
        <v>29</v>
      </c>
      <c r="L1601" t="s">
        <v>30</v>
      </c>
      <c r="M1601">
        <v>0</v>
      </c>
      <c r="N1601">
        <v>0</v>
      </c>
      <c r="O1601" s="17" t="s">
        <v>1352</v>
      </c>
      <c r="Q1601">
        <f>210-48</f>
        <v>162</v>
      </c>
      <c r="R1601" t="s">
        <v>75</v>
      </c>
      <c r="S1601" t="s">
        <v>145</v>
      </c>
      <c r="T1601">
        <v>44</v>
      </c>
      <c r="W1601">
        <v>27.5</v>
      </c>
      <c r="X1601">
        <v>46.2</v>
      </c>
      <c r="Z1601" t="s">
        <v>145</v>
      </c>
      <c r="AA1601" t="s">
        <v>1353</v>
      </c>
      <c r="AB1601" t="s">
        <v>44</v>
      </c>
      <c r="AC1601" t="s">
        <v>59</v>
      </c>
    </row>
    <row r="1602" spans="1:29" x14ac:dyDescent="0.2">
      <c r="A1602" s="3">
        <v>42605</v>
      </c>
      <c r="B1602" t="s">
        <v>23</v>
      </c>
      <c r="C1602">
        <v>703</v>
      </c>
      <c r="D1602">
        <v>3</v>
      </c>
      <c r="E1602">
        <v>2</v>
      </c>
      <c r="F1602" t="s">
        <v>24</v>
      </c>
      <c r="G1602" t="s">
        <v>25</v>
      </c>
      <c r="H1602" t="s">
        <v>26</v>
      </c>
      <c r="I1602" t="s">
        <v>62</v>
      </c>
      <c r="J1602" t="s">
        <v>28</v>
      </c>
      <c r="K1602" t="s">
        <v>29</v>
      </c>
      <c r="L1602" t="s">
        <v>30</v>
      </c>
      <c r="M1602">
        <v>0</v>
      </c>
      <c r="N1602">
        <v>0</v>
      </c>
      <c r="O1602" s="17" t="s">
        <v>1352</v>
      </c>
      <c r="Q1602">
        <f>255-94.5</f>
        <v>160.5</v>
      </c>
      <c r="R1602" t="s">
        <v>31</v>
      </c>
      <c r="S1602" t="s">
        <v>32</v>
      </c>
      <c r="T1602">
        <v>43</v>
      </c>
      <c r="W1602">
        <v>26.8</v>
      </c>
      <c r="X1602">
        <v>46</v>
      </c>
      <c r="AB1602" t="s">
        <v>44</v>
      </c>
      <c r="AC1602" t="s">
        <v>59</v>
      </c>
    </row>
    <row r="1603" spans="1:29" x14ac:dyDescent="0.2">
      <c r="A1603" s="3">
        <v>42572</v>
      </c>
      <c r="B1603" t="s">
        <v>23</v>
      </c>
      <c r="C1603">
        <v>201</v>
      </c>
      <c r="D1603">
        <v>5</v>
      </c>
      <c r="E1603">
        <v>2</v>
      </c>
      <c r="F1603" t="s">
        <v>33</v>
      </c>
      <c r="G1603" t="s">
        <v>25</v>
      </c>
      <c r="H1603" t="s">
        <v>26</v>
      </c>
      <c r="I1603" t="s">
        <v>62</v>
      </c>
      <c r="J1603" t="s">
        <v>34</v>
      </c>
      <c r="K1603" t="s">
        <v>29</v>
      </c>
      <c r="L1603" t="s">
        <v>30</v>
      </c>
      <c r="M1603">
        <v>0</v>
      </c>
      <c r="N1603">
        <v>1</v>
      </c>
      <c r="O1603" s="17">
        <v>50426</v>
      </c>
      <c r="Q1603">
        <f>224-44</f>
        <v>180</v>
      </c>
      <c r="R1603" t="s">
        <v>273</v>
      </c>
      <c r="S1603" t="s">
        <v>145</v>
      </c>
      <c r="T1603">
        <v>42</v>
      </c>
      <c r="Z1603" t="s">
        <v>32</v>
      </c>
      <c r="AB1603" t="s">
        <v>121</v>
      </c>
      <c r="AC1603" t="s">
        <v>59</v>
      </c>
    </row>
    <row r="1604" spans="1:29" x14ac:dyDescent="0.2">
      <c r="A1604" s="3">
        <v>42543</v>
      </c>
      <c r="B1604" t="s">
        <v>23</v>
      </c>
      <c r="C1604">
        <v>304</v>
      </c>
      <c r="D1604">
        <v>9</v>
      </c>
      <c r="E1604">
        <v>1</v>
      </c>
      <c r="F1604" t="s">
        <v>33</v>
      </c>
      <c r="G1604" t="s">
        <v>25</v>
      </c>
      <c r="H1604" t="s">
        <v>26</v>
      </c>
      <c r="I1604" t="s">
        <v>62</v>
      </c>
      <c r="J1604" t="s">
        <v>34</v>
      </c>
      <c r="K1604" t="s">
        <v>123</v>
      </c>
      <c r="L1604" t="s">
        <v>35</v>
      </c>
      <c r="M1604">
        <v>0</v>
      </c>
      <c r="N1604">
        <v>1</v>
      </c>
      <c r="O1604" s="17">
        <v>50429</v>
      </c>
      <c r="Q1604">
        <f>170-47.5</f>
        <v>122.5</v>
      </c>
      <c r="R1604" t="s">
        <v>63</v>
      </c>
      <c r="T1604">
        <v>31</v>
      </c>
      <c r="W1604">
        <v>24.9</v>
      </c>
      <c r="X1604">
        <v>44.8</v>
      </c>
      <c r="Z1604" t="s">
        <v>32</v>
      </c>
      <c r="AB1604" t="s">
        <v>255</v>
      </c>
      <c r="AC1604" t="s">
        <v>122</v>
      </c>
    </row>
    <row r="1605" spans="1:29" x14ac:dyDescent="0.2">
      <c r="A1605" s="3">
        <v>42536</v>
      </c>
      <c r="B1605" t="s">
        <v>23</v>
      </c>
      <c r="C1605">
        <v>701</v>
      </c>
      <c r="D1605">
        <v>9</v>
      </c>
      <c r="E1605">
        <v>1</v>
      </c>
      <c r="F1605" t="s">
        <v>33</v>
      </c>
      <c r="G1605" t="s">
        <v>25</v>
      </c>
      <c r="H1605" t="s">
        <v>26</v>
      </c>
      <c r="I1605" t="s">
        <v>62</v>
      </c>
      <c r="J1605" t="s">
        <v>34</v>
      </c>
      <c r="K1605" t="s">
        <v>187</v>
      </c>
      <c r="L1605" t="s">
        <v>30</v>
      </c>
      <c r="M1605">
        <v>0</v>
      </c>
      <c r="N1605">
        <v>0</v>
      </c>
      <c r="O1605" s="17">
        <v>50460</v>
      </c>
      <c r="Q1605">
        <f>220-48</f>
        <v>172</v>
      </c>
      <c r="R1605" t="s">
        <v>61</v>
      </c>
      <c r="S1605" t="s">
        <v>145</v>
      </c>
      <c r="T1605">
        <v>38</v>
      </c>
      <c r="W1605">
        <v>41.8</v>
      </c>
      <c r="X1605">
        <v>12.5</v>
      </c>
      <c r="Z1605" t="s">
        <v>32</v>
      </c>
      <c r="AB1605" t="s">
        <v>44</v>
      </c>
      <c r="AC1605" t="s">
        <v>59</v>
      </c>
    </row>
    <row r="1606" spans="1:29" x14ac:dyDescent="0.2">
      <c r="A1606" s="3">
        <v>42537</v>
      </c>
      <c r="B1606" t="s">
        <v>23</v>
      </c>
      <c r="C1606">
        <v>703</v>
      </c>
      <c r="D1606">
        <v>8</v>
      </c>
      <c r="E1606">
        <v>1</v>
      </c>
      <c r="F1606" t="s">
        <v>33</v>
      </c>
      <c r="G1606" t="s">
        <v>25</v>
      </c>
      <c r="H1606" t="s">
        <v>26</v>
      </c>
      <c r="I1606" t="s">
        <v>62</v>
      </c>
      <c r="J1606" t="s">
        <v>28</v>
      </c>
      <c r="K1606" t="s">
        <v>187</v>
      </c>
      <c r="L1606" t="s">
        <v>30</v>
      </c>
      <c r="M1606">
        <v>0</v>
      </c>
      <c r="N1606">
        <v>0</v>
      </c>
      <c r="O1606" s="17">
        <v>50460</v>
      </c>
      <c r="Q1606">
        <f>232-48</f>
        <v>184</v>
      </c>
      <c r="R1606" t="s">
        <v>61</v>
      </c>
      <c r="S1606" t="s">
        <v>145</v>
      </c>
      <c r="T1606">
        <v>40</v>
      </c>
      <c r="Z1606" t="s">
        <v>32</v>
      </c>
      <c r="AB1606" t="s">
        <v>60</v>
      </c>
      <c r="AC1606" t="s">
        <v>122</v>
      </c>
    </row>
    <row r="1607" spans="1:29" x14ac:dyDescent="0.2">
      <c r="A1607" s="3">
        <v>42537</v>
      </c>
      <c r="B1607" t="s">
        <v>23</v>
      </c>
      <c r="C1607">
        <v>701</v>
      </c>
      <c r="D1607">
        <v>6</v>
      </c>
      <c r="E1607">
        <v>1</v>
      </c>
      <c r="F1607" t="s">
        <v>33</v>
      </c>
      <c r="G1607" t="s">
        <v>25</v>
      </c>
      <c r="H1607" t="s">
        <v>26</v>
      </c>
      <c r="I1607" t="s">
        <v>62</v>
      </c>
      <c r="J1607" t="s">
        <v>34</v>
      </c>
      <c r="K1607" t="s">
        <v>187</v>
      </c>
      <c r="L1607" t="s">
        <v>35</v>
      </c>
      <c r="M1607">
        <v>0</v>
      </c>
      <c r="N1607">
        <v>1</v>
      </c>
      <c r="O1607" s="17">
        <v>50471</v>
      </c>
      <c r="Q1607">
        <f>232-50</f>
        <v>182</v>
      </c>
      <c r="R1607" t="s">
        <v>39</v>
      </c>
      <c r="T1607">
        <v>42</v>
      </c>
      <c r="W1607">
        <v>27.2</v>
      </c>
      <c r="X1607">
        <v>50</v>
      </c>
      <c r="Y1607" t="s">
        <v>214</v>
      </c>
      <c r="Z1607" t="s">
        <v>32</v>
      </c>
      <c r="AB1607" t="s">
        <v>60</v>
      </c>
      <c r="AC1607" t="s">
        <v>122</v>
      </c>
    </row>
    <row r="1608" spans="1:29" x14ac:dyDescent="0.2">
      <c r="A1608" s="3">
        <v>42563</v>
      </c>
      <c r="B1608" t="s">
        <v>23</v>
      </c>
      <c r="C1608">
        <v>701</v>
      </c>
      <c r="D1608">
        <v>2</v>
      </c>
      <c r="E1608">
        <v>1</v>
      </c>
      <c r="F1608" t="s">
        <v>33</v>
      </c>
      <c r="G1608" t="s">
        <v>25</v>
      </c>
      <c r="H1608" t="s">
        <v>26</v>
      </c>
      <c r="I1608" t="s">
        <v>62</v>
      </c>
      <c r="J1608" t="s">
        <v>28</v>
      </c>
      <c r="K1608" t="s">
        <v>29</v>
      </c>
      <c r="L1608" t="s">
        <v>35</v>
      </c>
      <c r="M1608">
        <v>0</v>
      </c>
      <c r="N1608">
        <v>0</v>
      </c>
      <c r="O1608" s="17">
        <v>50471</v>
      </c>
      <c r="R1608" t="s">
        <v>39</v>
      </c>
      <c r="T1608">
        <v>40</v>
      </c>
      <c r="W1608">
        <v>28.2</v>
      </c>
      <c r="X1608">
        <v>47.5</v>
      </c>
      <c r="Z1608" t="s">
        <v>32</v>
      </c>
      <c r="AB1608" t="s">
        <v>53</v>
      </c>
      <c r="AC1608" t="s">
        <v>122</v>
      </c>
    </row>
    <row r="1609" spans="1:29" x14ac:dyDescent="0.2">
      <c r="A1609" s="3">
        <v>42543</v>
      </c>
      <c r="B1609" t="s">
        <v>23</v>
      </c>
      <c r="C1609">
        <v>304</v>
      </c>
      <c r="D1609">
        <v>5</v>
      </c>
      <c r="E1609">
        <v>1</v>
      </c>
      <c r="F1609" t="s">
        <v>24</v>
      </c>
      <c r="G1609" t="s">
        <v>25</v>
      </c>
      <c r="H1609" t="s">
        <v>26</v>
      </c>
      <c r="I1609" t="s">
        <v>62</v>
      </c>
      <c r="J1609" t="s">
        <v>34</v>
      </c>
      <c r="K1609" t="s">
        <v>29</v>
      </c>
      <c r="L1609" t="s">
        <v>30</v>
      </c>
      <c r="M1609">
        <v>0</v>
      </c>
      <c r="N1609">
        <v>1</v>
      </c>
      <c r="O1609" s="17">
        <v>50488</v>
      </c>
      <c r="Q1609">
        <f>280-90</f>
        <v>190</v>
      </c>
      <c r="R1609" t="s">
        <v>75</v>
      </c>
      <c r="S1609" t="s">
        <v>145</v>
      </c>
      <c r="T1609">
        <v>42</v>
      </c>
      <c r="W1609">
        <v>26.8</v>
      </c>
      <c r="X1609">
        <v>50</v>
      </c>
      <c r="Z1609" t="s">
        <v>32</v>
      </c>
      <c r="AB1609" t="s">
        <v>282</v>
      </c>
      <c r="AC1609" t="s">
        <v>59</v>
      </c>
    </row>
    <row r="1610" spans="1:29" x14ac:dyDescent="0.2">
      <c r="A1610" s="3">
        <v>42551</v>
      </c>
      <c r="B1610" t="s">
        <v>23</v>
      </c>
      <c r="C1610">
        <v>401</v>
      </c>
      <c r="D1610">
        <v>7</v>
      </c>
      <c r="E1610">
        <v>2</v>
      </c>
      <c r="F1610" t="s">
        <v>33</v>
      </c>
      <c r="G1610" t="s">
        <v>25</v>
      </c>
      <c r="H1610" t="s">
        <v>26</v>
      </c>
      <c r="I1610" t="s">
        <v>62</v>
      </c>
      <c r="J1610" t="s">
        <v>34</v>
      </c>
      <c r="K1610" t="s">
        <v>29</v>
      </c>
      <c r="L1610" t="s">
        <v>35</v>
      </c>
      <c r="M1610">
        <v>0</v>
      </c>
      <c r="N1610">
        <v>1</v>
      </c>
      <c r="O1610" s="17">
        <v>50543</v>
      </c>
      <c r="Q1610">
        <f>213-46</f>
        <v>167</v>
      </c>
      <c r="R1610" t="s">
        <v>39</v>
      </c>
      <c r="T1610">
        <v>40</v>
      </c>
      <c r="W1610">
        <v>26.5</v>
      </c>
      <c r="X1610">
        <v>49.5</v>
      </c>
      <c r="Z1610" t="s">
        <v>32</v>
      </c>
      <c r="AB1610" t="s">
        <v>44</v>
      </c>
      <c r="AC1610" t="s">
        <v>59</v>
      </c>
    </row>
    <row r="1611" spans="1:29" x14ac:dyDescent="0.2">
      <c r="A1611" s="3">
        <v>42551</v>
      </c>
      <c r="B1611" t="s">
        <v>23</v>
      </c>
      <c r="C1611">
        <v>401</v>
      </c>
      <c r="D1611">
        <v>4</v>
      </c>
      <c r="E1611">
        <v>1</v>
      </c>
      <c r="F1611" t="s">
        <v>33</v>
      </c>
      <c r="G1611" t="s">
        <v>25</v>
      </c>
      <c r="H1611" t="s">
        <v>26</v>
      </c>
      <c r="I1611" t="s">
        <v>62</v>
      </c>
      <c r="J1611" t="s">
        <v>34</v>
      </c>
      <c r="K1611" t="s">
        <v>29</v>
      </c>
      <c r="L1611" t="s">
        <v>35</v>
      </c>
      <c r="M1611">
        <v>0</v>
      </c>
      <c r="N1611">
        <v>1</v>
      </c>
      <c r="O1611" s="17">
        <v>50545</v>
      </c>
      <c r="P1611" s="17">
        <v>50544</v>
      </c>
      <c r="Q1611">
        <f>180-45</f>
        <v>135</v>
      </c>
      <c r="R1611" t="s">
        <v>39</v>
      </c>
      <c r="Z1611" t="s">
        <v>32</v>
      </c>
      <c r="AB1611" t="s">
        <v>44</v>
      </c>
      <c r="AC1611" t="s">
        <v>59</v>
      </c>
    </row>
    <row r="1612" spans="1:29" x14ac:dyDescent="0.2">
      <c r="A1612" s="3">
        <v>42551</v>
      </c>
      <c r="B1612" t="s">
        <v>23</v>
      </c>
      <c r="C1612">
        <v>401</v>
      </c>
      <c r="D1612">
        <v>2</v>
      </c>
      <c r="E1612">
        <v>1</v>
      </c>
      <c r="F1612" t="s">
        <v>33</v>
      </c>
      <c r="G1612" t="s">
        <v>25</v>
      </c>
      <c r="H1612" t="s">
        <v>26</v>
      </c>
      <c r="I1612" t="s">
        <v>62</v>
      </c>
      <c r="J1612" t="s">
        <v>34</v>
      </c>
      <c r="K1612" t="s">
        <v>29</v>
      </c>
      <c r="L1612" t="s">
        <v>35</v>
      </c>
      <c r="M1612">
        <v>0</v>
      </c>
      <c r="N1612">
        <v>1</v>
      </c>
      <c r="O1612" s="17">
        <v>50546</v>
      </c>
      <c r="Q1612">
        <f>204-47</f>
        <v>157</v>
      </c>
      <c r="R1612" t="s">
        <v>39</v>
      </c>
      <c r="T1612">
        <v>40</v>
      </c>
      <c r="Z1612" t="s">
        <v>32</v>
      </c>
      <c r="AB1612" t="s">
        <v>44</v>
      </c>
      <c r="AC1612" t="s">
        <v>59</v>
      </c>
    </row>
    <row r="1613" spans="1:29" x14ac:dyDescent="0.2">
      <c r="A1613" s="3">
        <v>42551</v>
      </c>
      <c r="B1613" t="s">
        <v>23</v>
      </c>
      <c r="C1613">
        <v>303</v>
      </c>
      <c r="D1613">
        <v>8</v>
      </c>
      <c r="E1613">
        <v>1</v>
      </c>
      <c r="F1613" t="s">
        <v>33</v>
      </c>
      <c r="G1613" t="s">
        <v>25</v>
      </c>
      <c r="H1613" t="s">
        <v>26</v>
      </c>
      <c r="I1613" t="s">
        <v>62</v>
      </c>
      <c r="J1613" t="s">
        <v>34</v>
      </c>
      <c r="K1613" t="s">
        <v>29</v>
      </c>
      <c r="M1613">
        <v>0</v>
      </c>
      <c r="N1613">
        <v>1</v>
      </c>
      <c r="O1613" s="17">
        <v>50547</v>
      </c>
      <c r="Q1613">
        <f>158-47</f>
        <v>111</v>
      </c>
      <c r="W1613">
        <v>24.9</v>
      </c>
      <c r="X1613">
        <v>46.6</v>
      </c>
      <c r="Z1613" t="s">
        <v>32</v>
      </c>
      <c r="AB1613" t="s">
        <v>44</v>
      </c>
      <c r="AC1613" t="s">
        <v>59</v>
      </c>
    </row>
    <row r="1614" spans="1:29" x14ac:dyDescent="0.2">
      <c r="A1614" s="3">
        <v>42556</v>
      </c>
      <c r="B1614" t="s">
        <v>23</v>
      </c>
      <c r="C1614">
        <v>203</v>
      </c>
      <c r="D1614">
        <v>9</v>
      </c>
      <c r="E1614">
        <v>2</v>
      </c>
      <c r="F1614" t="s">
        <v>24</v>
      </c>
      <c r="G1614" t="s">
        <v>25</v>
      </c>
      <c r="H1614" t="s">
        <v>26</v>
      </c>
      <c r="I1614" t="s">
        <v>62</v>
      </c>
      <c r="J1614" t="s">
        <v>34</v>
      </c>
      <c r="K1614" t="s">
        <v>29</v>
      </c>
      <c r="L1614" t="s">
        <v>35</v>
      </c>
      <c r="M1614">
        <v>0</v>
      </c>
      <c r="N1614">
        <v>1</v>
      </c>
      <c r="O1614" s="17">
        <v>50636</v>
      </c>
      <c r="Q1614">
        <f>225-90</f>
        <v>135</v>
      </c>
      <c r="R1614" t="s">
        <v>32</v>
      </c>
      <c r="T1614">
        <v>46</v>
      </c>
      <c r="W1614">
        <v>25.5</v>
      </c>
      <c r="X1614">
        <v>46.1</v>
      </c>
      <c r="Z1614" t="s">
        <v>32</v>
      </c>
      <c r="AB1614" t="s">
        <v>44</v>
      </c>
      <c r="AC1614" t="s">
        <v>59</v>
      </c>
    </row>
    <row r="1615" spans="1:29" x14ac:dyDescent="0.2">
      <c r="A1615" s="3">
        <v>42558</v>
      </c>
      <c r="B1615" t="s">
        <v>23</v>
      </c>
      <c r="C1615">
        <v>203</v>
      </c>
      <c r="D1615">
        <v>9</v>
      </c>
      <c r="E1615">
        <v>2</v>
      </c>
      <c r="F1615" t="s">
        <v>24</v>
      </c>
      <c r="G1615" t="s">
        <v>25</v>
      </c>
      <c r="H1615" t="s">
        <v>26</v>
      </c>
      <c r="I1615" t="s">
        <v>62</v>
      </c>
      <c r="J1615" t="s">
        <v>34</v>
      </c>
      <c r="K1615" t="s">
        <v>29</v>
      </c>
      <c r="L1615" t="s">
        <v>30</v>
      </c>
      <c r="M1615">
        <v>0</v>
      </c>
      <c r="N1615">
        <v>1</v>
      </c>
      <c r="O1615" s="17">
        <v>50654</v>
      </c>
      <c r="Q1615">
        <f>270-90</f>
        <v>180</v>
      </c>
      <c r="R1615" t="s">
        <v>75</v>
      </c>
      <c r="S1615" t="s">
        <v>145</v>
      </c>
      <c r="T1615">
        <v>43</v>
      </c>
      <c r="W1615">
        <v>26</v>
      </c>
      <c r="X1615">
        <v>48.6</v>
      </c>
      <c r="Z1615" t="s">
        <v>32</v>
      </c>
      <c r="AB1615" t="s">
        <v>121</v>
      </c>
      <c r="AC1615" t="s">
        <v>254</v>
      </c>
    </row>
    <row r="1616" spans="1:29" x14ac:dyDescent="0.2">
      <c r="A1616" s="3">
        <v>42572</v>
      </c>
      <c r="B1616" t="s">
        <v>23</v>
      </c>
      <c r="C1616">
        <v>203</v>
      </c>
      <c r="D1616">
        <v>4</v>
      </c>
      <c r="E1616">
        <v>2</v>
      </c>
      <c r="F1616" t="s">
        <v>33</v>
      </c>
      <c r="G1616" t="s">
        <v>25</v>
      </c>
      <c r="H1616" t="s">
        <v>26</v>
      </c>
      <c r="I1616" t="s">
        <v>62</v>
      </c>
      <c r="J1616" t="s">
        <v>28</v>
      </c>
      <c r="K1616" t="s">
        <v>29</v>
      </c>
      <c r="L1616" t="s">
        <v>35</v>
      </c>
      <c r="M1616">
        <v>0</v>
      </c>
      <c r="N1616">
        <v>0</v>
      </c>
      <c r="O1616" s="17">
        <v>50660</v>
      </c>
      <c r="Q1616">
        <f>211-50</f>
        <v>161</v>
      </c>
      <c r="R1616" t="s">
        <v>39</v>
      </c>
      <c r="T1616">
        <v>43</v>
      </c>
      <c r="W1616">
        <v>25.9</v>
      </c>
      <c r="X1616">
        <v>42</v>
      </c>
      <c r="Z1616" t="s">
        <v>32</v>
      </c>
      <c r="AB1616" t="s">
        <v>121</v>
      </c>
      <c r="AC1616" t="s">
        <v>59</v>
      </c>
    </row>
    <row r="1617" spans="1:30" x14ac:dyDescent="0.2">
      <c r="A1617" s="3">
        <v>42557</v>
      </c>
      <c r="B1617" t="s">
        <v>23</v>
      </c>
      <c r="C1617">
        <v>203</v>
      </c>
      <c r="D1617">
        <v>3</v>
      </c>
      <c r="E1617">
        <v>2</v>
      </c>
      <c r="F1617" t="s">
        <v>24</v>
      </c>
      <c r="G1617" t="s">
        <v>25</v>
      </c>
      <c r="H1617" t="s">
        <v>26</v>
      </c>
      <c r="I1617" t="s">
        <v>62</v>
      </c>
      <c r="J1617" t="s">
        <v>34</v>
      </c>
      <c r="K1617" t="s">
        <v>29</v>
      </c>
      <c r="L1617" t="s">
        <v>35</v>
      </c>
      <c r="M1617">
        <v>0</v>
      </c>
      <c r="N1617">
        <v>1</v>
      </c>
      <c r="O1617" s="17">
        <v>50666</v>
      </c>
      <c r="Q1617">
        <f>230-90</f>
        <v>140</v>
      </c>
      <c r="R1617" t="s">
        <v>63</v>
      </c>
      <c r="T1617">
        <v>45</v>
      </c>
      <c r="W1617">
        <v>25.5</v>
      </c>
      <c r="X1617">
        <v>46.8</v>
      </c>
      <c r="Z1617" t="s">
        <v>32</v>
      </c>
      <c r="AB1617" t="s">
        <v>44</v>
      </c>
      <c r="AC1617" t="s">
        <v>122</v>
      </c>
    </row>
    <row r="1618" spans="1:30" x14ac:dyDescent="0.2">
      <c r="A1618" s="3">
        <v>42557</v>
      </c>
      <c r="B1618" t="s">
        <v>23</v>
      </c>
      <c r="C1618">
        <v>203</v>
      </c>
      <c r="D1618">
        <v>2</v>
      </c>
      <c r="E1618">
        <v>2</v>
      </c>
      <c r="F1618" t="s">
        <v>24</v>
      </c>
      <c r="G1618" t="s">
        <v>25</v>
      </c>
      <c r="H1618" t="s">
        <v>26</v>
      </c>
      <c r="I1618" t="s">
        <v>62</v>
      </c>
      <c r="J1618" t="s">
        <v>34</v>
      </c>
      <c r="K1618" t="s">
        <v>123</v>
      </c>
      <c r="L1618" t="s">
        <v>30</v>
      </c>
      <c r="M1618">
        <v>0</v>
      </c>
      <c r="N1618">
        <v>1</v>
      </c>
      <c r="O1618" s="17">
        <v>50669</v>
      </c>
      <c r="Q1618">
        <f>205-90</f>
        <v>115</v>
      </c>
      <c r="R1618" t="s">
        <v>31</v>
      </c>
      <c r="S1618" t="s">
        <v>32</v>
      </c>
      <c r="T1618">
        <v>42</v>
      </c>
      <c r="W1618">
        <v>24.2</v>
      </c>
      <c r="X1618">
        <v>45.4</v>
      </c>
      <c r="Z1618" t="s">
        <v>32</v>
      </c>
      <c r="AB1618" t="s">
        <v>44</v>
      </c>
      <c r="AC1618" t="s">
        <v>122</v>
      </c>
    </row>
    <row r="1619" spans="1:30" x14ac:dyDescent="0.2">
      <c r="A1619" s="3">
        <v>42550</v>
      </c>
      <c r="B1619" t="s">
        <v>23</v>
      </c>
      <c r="C1619">
        <v>901</v>
      </c>
      <c r="D1619">
        <v>10</v>
      </c>
      <c r="E1619">
        <v>1</v>
      </c>
      <c r="F1619" t="s">
        <v>24</v>
      </c>
      <c r="G1619" t="s">
        <v>25</v>
      </c>
      <c r="H1619" t="s">
        <v>26</v>
      </c>
      <c r="I1619" t="s">
        <v>62</v>
      </c>
      <c r="J1619" t="s">
        <v>34</v>
      </c>
      <c r="K1619" t="s">
        <v>29</v>
      </c>
      <c r="M1619">
        <v>0</v>
      </c>
      <c r="N1619">
        <v>0</v>
      </c>
      <c r="O1619" s="17">
        <v>50694</v>
      </c>
      <c r="T1619">
        <v>46</v>
      </c>
      <c r="W1619">
        <v>26</v>
      </c>
      <c r="X1619">
        <v>49.4</v>
      </c>
      <c r="Z1619" t="s">
        <v>32</v>
      </c>
      <c r="AB1619" t="s">
        <v>53</v>
      </c>
      <c r="AC1619" t="s">
        <v>59</v>
      </c>
    </row>
    <row r="1620" spans="1:30" x14ac:dyDescent="0.2">
      <c r="A1620" s="3">
        <v>42563</v>
      </c>
      <c r="B1620" t="s">
        <v>23</v>
      </c>
      <c r="C1620">
        <v>501</v>
      </c>
      <c r="D1620">
        <v>3</v>
      </c>
      <c r="E1620">
        <v>1</v>
      </c>
      <c r="F1620" t="s">
        <v>24</v>
      </c>
      <c r="G1620" t="s">
        <v>25</v>
      </c>
      <c r="H1620" t="s">
        <v>26</v>
      </c>
      <c r="I1620" t="s">
        <v>62</v>
      </c>
      <c r="J1620" t="s">
        <v>34</v>
      </c>
      <c r="K1620" t="s">
        <v>29</v>
      </c>
      <c r="L1620" t="s">
        <v>30</v>
      </c>
      <c r="M1620">
        <v>0</v>
      </c>
      <c r="N1620">
        <v>1</v>
      </c>
      <c r="O1620" s="17">
        <v>50727</v>
      </c>
      <c r="Q1620">
        <v>200</v>
      </c>
      <c r="R1620" t="s">
        <v>75</v>
      </c>
      <c r="S1620" t="s">
        <v>145</v>
      </c>
      <c r="T1620">
        <v>39</v>
      </c>
      <c r="W1620">
        <v>27.9</v>
      </c>
      <c r="X1620">
        <v>50.3</v>
      </c>
      <c r="Z1620" t="s">
        <v>32</v>
      </c>
      <c r="AB1620" t="s">
        <v>53</v>
      </c>
      <c r="AC1620" t="s">
        <v>122</v>
      </c>
    </row>
    <row r="1621" spans="1:30" x14ac:dyDescent="0.2">
      <c r="A1621" s="3">
        <v>42564</v>
      </c>
      <c r="B1621" t="s">
        <v>23</v>
      </c>
      <c r="C1621">
        <v>401</v>
      </c>
      <c r="D1621">
        <v>10</v>
      </c>
      <c r="E1621">
        <v>1</v>
      </c>
      <c r="F1621" t="s">
        <v>24</v>
      </c>
      <c r="G1621" t="s">
        <v>25</v>
      </c>
      <c r="H1621" t="s">
        <v>26</v>
      </c>
      <c r="I1621" t="s">
        <v>62</v>
      </c>
      <c r="J1621" t="s">
        <v>34</v>
      </c>
      <c r="K1621" t="s">
        <v>29</v>
      </c>
      <c r="L1621" t="s">
        <v>30</v>
      </c>
      <c r="M1621">
        <v>0</v>
      </c>
      <c r="N1621">
        <v>0</v>
      </c>
      <c r="O1621" s="17">
        <v>50739</v>
      </c>
      <c r="Q1621">
        <f>220-95</f>
        <v>125</v>
      </c>
      <c r="R1621" t="s">
        <v>31</v>
      </c>
      <c r="S1621" t="s">
        <v>32</v>
      </c>
      <c r="T1621">
        <v>44</v>
      </c>
      <c r="W1621">
        <v>24.7</v>
      </c>
      <c r="X1621">
        <v>46</v>
      </c>
      <c r="Y1621" t="s">
        <v>488</v>
      </c>
      <c r="Z1621" t="s">
        <v>32</v>
      </c>
    </row>
    <row r="1622" spans="1:30" x14ac:dyDescent="0.2">
      <c r="A1622" s="3">
        <v>42570</v>
      </c>
      <c r="B1622" t="s">
        <v>23</v>
      </c>
      <c r="C1622">
        <v>402</v>
      </c>
      <c r="D1622">
        <v>5</v>
      </c>
      <c r="E1622">
        <v>1</v>
      </c>
      <c r="F1622" t="s">
        <v>24</v>
      </c>
      <c r="G1622" t="s">
        <v>25</v>
      </c>
      <c r="H1622" t="s">
        <v>26</v>
      </c>
      <c r="I1622" t="s">
        <v>62</v>
      </c>
      <c r="J1622" t="s">
        <v>28</v>
      </c>
      <c r="K1622" t="s">
        <v>29</v>
      </c>
      <c r="L1622" t="s">
        <v>30</v>
      </c>
      <c r="M1622">
        <v>0</v>
      </c>
      <c r="N1622">
        <v>0</v>
      </c>
      <c r="O1622" s="17">
        <v>50801</v>
      </c>
      <c r="Q1622">
        <f>280-110</f>
        <v>170</v>
      </c>
      <c r="R1622" t="s">
        <v>75</v>
      </c>
      <c r="S1622" t="s">
        <v>145</v>
      </c>
      <c r="Z1622" t="s">
        <v>32</v>
      </c>
      <c r="AB1622" t="s">
        <v>582</v>
      </c>
      <c r="AC1622" t="s">
        <v>59</v>
      </c>
    </row>
    <row r="1623" spans="1:30" x14ac:dyDescent="0.2">
      <c r="A1623" s="3">
        <v>42572</v>
      </c>
      <c r="B1623" t="s">
        <v>23</v>
      </c>
      <c r="C1623">
        <v>203</v>
      </c>
      <c r="D1623">
        <v>7</v>
      </c>
      <c r="E1623">
        <v>2</v>
      </c>
      <c r="F1623" t="s">
        <v>33</v>
      </c>
      <c r="G1623" t="s">
        <v>25</v>
      </c>
      <c r="H1623" t="s">
        <v>26</v>
      </c>
      <c r="I1623" t="s">
        <v>62</v>
      </c>
      <c r="J1623" t="s">
        <v>34</v>
      </c>
      <c r="K1623" t="s">
        <v>29</v>
      </c>
      <c r="L1623" t="s">
        <v>35</v>
      </c>
      <c r="M1623">
        <v>0</v>
      </c>
      <c r="N1623">
        <v>1</v>
      </c>
      <c r="O1623" s="17">
        <v>50835</v>
      </c>
      <c r="Q1623">
        <f>234-48</f>
        <v>186</v>
      </c>
      <c r="R1623" t="s">
        <v>39</v>
      </c>
      <c r="T1623">
        <v>44</v>
      </c>
      <c r="W1623">
        <v>26.2</v>
      </c>
      <c r="X1623">
        <v>47.3</v>
      </c>
      <c r="Z1623" t="s">
        <v>32</v>
      </c>
      <c r="AB1623" t="s">
        <v>121</v>
      </c>
      <c r="AC1623" t="s">
        <v>59</v>
      </c>
    </row>
    <row r="1624" spans="1:30" x14ac:dyDescent="0.2">
      <c r="A1624" s="3">
        <v>42495</v>
      </c>
      <c r="B1624" t="s">
        <v>23</v>
      </c>
      <c r="C1624">
        <v>203</v>
      </c>
      <c r="D1624">
        <v>5</v>
      </c>
      <c r="E1624">
        <v>1</v>
      </c>
      <c r="F1624" t="s">
        <v>24</v>
      </c>
      <c r="G1624" t="s">
        <v>25</v>
      </c>
      <c r="H1624" t="s">
        <v>26</v>
      </c>
      <c r="I1624" t="s">
        <v>62</v>
      </c>
      <c r="J1624" t="s">
        <v>34</v>
      </c>
      <c r="K1624" t="s">
        <v>29</v>
      </c>
      <c r="L1624" t="s">
        <v>30</v>
      </c>
      <c r="M1624">
        <v>0</v>
      </c>
      <c r="N1624">
        <v>1</v>
      </c>
      <c r="P1624" s="17">
        <v>26642</v>
      </c>
      <c r="Q1624">
        <f>249-90</f>
        <v>159</v>
      </c>
      <c r="R1624" t="s">
        <v>31</v>
      </c>
      <c r="S1624" t="s">
        <v>32</v>
      </c>
      <c r="Z1624" t="s">
        <v>32</v>
      </c>
      <c r="AB1624" t="s">
        <v>53</v>
      </c>
      <c r="AC1624" t="s">
        <v>59</v>
      </c>
    </row>
    <row r="1625" spans="1:30" x14ac:dyDescent="0.2">
      <c r="A1625" s="3">
        <v>42536</v>
      </c>
      <c r="B1625" t="s">
        <v>23</v>
      </c>
      <c r="C1625">
        <v>703</v>
      </c>
      <c r="D1625">
        <v>3</v>
      </c>
      <c r="E1625">
        <v>1</v>
      </c>
      <c r="F1625" t="s">
        <v>33</v>
      </c>
      <c r="G1625" t="s">
        <v>25</v>
      </c>
      <c r="H1625" t="s">
        <v>26</v>
      </c>
      <c r="I1625" t="s">
        <v>62</v>
      </c>
      <c r="J1625" t="s">
        <v>205</v>
      </c>
      <c r="Z1625" t="s">
        <v>32</v>
      </c>
    </row>
    <row r="1626" spans="1:30" x14ac:dyDescent="0.2">
      <c r="A1626" s="3">
        <v>42536</v>
      </c>
      <c r="B1626" t="s">
        <v>23</v>
      </c>
      <c r="C1626">
        <v>701</v>
      </c>
      <c r="D1626">
        <v>5</v>
      </c>
      <c r="E1626">
        <v>1</v>
      </c>
      <c r="F1626" t="s">
        <v>33</v>
      </c>
      <c r="G1626" t="s">
        <v>25</v>
      </c>
      <c r="H1626" t="s">
        <v>26</v>
      </c>
      <c r="I1626" t="s">
        <v>62</v>
      </c>
      <c r="J1626" t="s">
        <v>205</v>
      </c>
      <c r="Z1626" t="s">
        <v>32</v>
      </c>
    </row>
    <row r="1627" spans="1:30" x14ac:dyDescent="0.2">
      <c r="A1627" s="3">
        <v>42536</v>
      </c>
      <c r="B1627" t="s">
        <v>23</v>
      </c>
      <c r="C1627">
        <v>701</v>
      </c>
      <c r="D1627">
        <v>5</v>
      </c>
      <c r="E1627">
        <v>2</v>
      </c>
      <c r="F1627" t="s">
        <v>33</v>
      </c>
      <c r="G1627" t="s">
        <v>25</v>
      </c>
      <c r="H1627" t="s">
        <v>26</v>
      </c>
      <c r="I1627" t="s">
        <v>62</v>
      </c>
      <c r="J1627" t="s">
        <v>205</v>
      </c>
      <c r="Z1627" t="s">
        <v>32</v>
      </c>
    </row>
    <row r="1628" spans="1:30" x14ac:dyDescent="0.2">
      <c r="A1628" s="3">
        <v>42551</v>
      </c>
      <c r="B1628" t="s">
        <v>23</v>
      </c>
      <c r="C1628">
        <v>401</v>
      </c>
      <c r="D1628">
        <v>6</v>
      </c>
      <c r="E1628">
        <v>1</v>
      </c>
      <c r="F1628" t="s">
        <v>33</v>
      </c>
      <c r="G1628" t="s">
        <v>25</v>
      </c>
      <c r="H1628" t="s">
        <v>26</v>
      </c>
      <c r="I1628" t="s">
        <v>62</v>
      </c>
      <c r="J1628" t="s">
        <v>205</v>
      </c>
      <c r="K1628" t="s">
        <v>29</v>
      </c>
      <c r="L1628" t="s">
        <v>35</v>
      </c>
      <c r="R1628" t="s">
        <v>39</v>
      </c>
      <c r="Z1628" t="s">
        <v>32</v>
      </c>
    </row>
    <row r="1629" spans="1:30" x14ac:dyDescent="0.2">
      <c r="A1629" s="3">
        <v>42565</v>
      </c>
      <c r="B1629" t="s">
        <v>23</v>
      </c>
      <c r="C1629">
        <v>303</v>
      </c>
      <c r="D1629">
        <v>3</v>
      </c>
      <c r="E1629">
        <v>2</v>
      </c>
      <c r="F1629" t="s">
        <v>24</v>
      </c>
      <c r="G1629" t="s">
        <v>25</v>
      </c>
      <c r="H1629" t="s">
        <v>26</v>
      </c>
      <c r="I1629" t="s">
        <v>62</v>
      </c>
      <c r="J1629" t="s">
        <v>28</v>
      </c>
      <c r="K1629" t="s">
        <v>29</v>
      </c>
      <c r="L1629" t="s">
        <v>30</v>
      </c>
      <c r="M1629">
        <v>0</v>
      </c>
      <c r="N1629">
        <v>0</v>
      </c>
      <c r="P1629" s="17" t="s">
        <v>491</v>
      </c>
      <c r="Q1629">
        <f>290-120</f>
        <v>170</v>
      </c>
      <c r="R1629" t="s">
        <v>31</v>
      </c>
      <c r="S1629" t="s">
        <v>32</v>
      </c>
      <c r="T1629">
        <v>42</v>
      </c>
      <c r="W1629">
        <v>27.7</v>
      </c>
      <c r="X1629">
        <v>47.5</v>
      </c>
      <c r="Z1629" t="s">
        <v>32</v>
      </c>
      <c r="AB1629" t="s">
        <v>489</v>
      </c>
      <c r="AC1629" t="s">
        <v>254</v>
      </c>
    </row>
    <row r="1630" spans="1:30" x14ac:dyDescent="0.2">
      <c r="A1630" s="3">
        <v>42572</v>
      </c>
      <c r="B1630" t="s">
        <v>23</v>
      </c>
      <c r="C1630">
        <v>402</v>
      </c>
      <c r="D1630">
        <v>6</v>
      </c>
      <c r="E1630">
        <v>2</v>
      </c>
      <c r="F1630" t="s">
        <v>24</v>
      </c>
      <c r="G1630" t="s">
        <v>25</v>
      </c>
      <c r="H1630" t="s">
        <v>26</v>
      </c>
      <c r="I1630" t="s">
        <v>62</v>
      </c>
      <c r="J1630" t="s">
        <v>206</v>
      </c>
      <c r="AB1630" t="s">
        <v>121</v>
      </c>
      <c r="AC1630" t="s">
        <v>122</v>
      </c>
      <c r="AD1630" t="s">
        <v>653</v>
      </c>
    </row>
    <row r="1631" spans="1:30" x14ac:dyDescent="0.2">
      <c r="A1631" s="3">
        <v>42605</v>
      </c>
      <c r="B1631" t="s">
        <v>23</v>
      </c>
      <c r="C1631">
        <v>501</v>
      </c>
      <c r="D1631">
        <v>8</v>
      </c>
      <c r="E1631">
        <v>2</v>
      </c>
      <c r="F1631" t="s">
        <v>64</v>
      </c>
      <c r="G1631" t="s">
        <v>25</v>
      </c>
      <c r="H1631" t="s">
        <v>26</v>
      </c>
      <c r="I1631" t="s">
        <v>62</v>
      </c>
      <c r="J1631" t="s">
        <v>146</v>
      </c>
      <c r="K1631" t="s">
        <v>29</v>
      </c>
      <c r="L1631" t="s">
        <v>35</v>
      </c>
      <c r="R1631" t="s">
        <v>63</v>
      </c>
    </row>
    <row r="1632" spans="1:30" x14ac:dyDescent="0.2">
      <c r="A1632" s="3">
        <v>42599</v>
      </c>
      <c r="B1632" t="s">
        <v>23</v>
      </c>
      <c r="C1632">
        <v>111</v>
      </c>
      <c r="D1632">
        <v>9</v>
      </c>
      <c r="E1632">
        <v>2</v>
      </c>
      <c r="F1632" t="s">
        <v>24</v>
      </c>
      <c r="G1632" t="s">
        <v>25</v>
      </c>
      <c r="H1632" t="s">
        <v>26</v>
      </c>
      <c r="I1632" t="s">
        <v>1823</v>
      </c>
      <c r="J1632" t="s">
        <v>28</v>
      </c>
      <c r="K1632" t="s">
        <v>123</v>
      </c>
      <c r="L1632" t="s">
        <v>35</v>
      </c>
      <c r="M1632">
        <v>0</v>
      </c>
      <c r="N1632">
        <v>0</v>
      </c>
      <c r="O1632" s="17" t="s">
        <v>1073</v>
      </c>
      <c r="P1632" s="17" t="s">
        <v>1074</v>
      </c>
      <c r="R1632" t="s">
        <v>63</v>
      </c>
      <c r="T1632">
        <v>18</v>
      </c>
      <c r="V1632">
        <v>16</v>
      </c>
      <c r="W1632">
        <v>13</v>
      </c>
      <c r="X1632">
        <v>25.6</v>
      </c>
      <c r="AB1632" t="s">
        <v>121</v>
      </c>
      <c r="AC1632" t="s">
        <v>59</v>
      </c>
    </row>
    <row r="1633" spans="1:28" x14ac:dyDescent="0.2">
      <c r="A1633" s="3">
        <v>42493</v>
      </c>
      <c r="B1633" t="s">
        <v>23</v>
      </c>
      <c r="C1633">
        <v>203</v>
      </c>
      <c r="D1633" s="4">
        <v>10</v>
      </c>
      <c r="E1633">
        <v>1</v>
      </c>
      <c r="F1633" t="s">
        <v>24</v>
      </c>
      <c r="G1633" t="s">
        <v>25</v>
      </c>
      <c r="H1633" t="s">
        <v>26</v>
      </c>
      <c r="I1633" t="s">
        <v>47</v>
      </c>
      <c r="J1633" t="s">
        <v>48</v>
      </c>
      <c r="Z1633" t="s">
        <v>32</v>
      </c>
      <c r="AB1633" t="s">
        <v>44</v>
      </c>
    </row>
    <row r="1634" spans="1:28" x14ac:dyDescent="0.2">
      <c r="A1634" s="3">
        <v>42495</v>
      </c>
      <c r="B1634" t="s">
        <v>23</v>
      </c>
      <c r="C1634">
        <v>202</v>
      </c>
      <c r="D1634">
        <v>6</v>
      </c>
      <c r="E1634">
        <v>1</v>
      </c>
      <c r="F1634" t="s">
        <v>33</v>
      </c>
      <c r="G1634" t="s">
        <v>25</v>
      </c>
      <c r="H1634" t="s">
        <v>26</v>
      </c>
      <c r="I1634" t="s">
        <v>47</v>
      </c>
      <c r="J1634" t="s">
        <v>56</v>
      </c>
      <c r="Z1634" t="s">
        <v>32</v>
      </c>
    </row>
    <row r="1635" spans="1:28" x14ac:dyDescent="0.2">
      <c r="A1635" s="3">
        <v>42500</v>
      </c>
      <c r="B1635" t="s">
        <v>23</v>
      </c>
      <c r="C1635">
        <v>701</v>
      </c>
      <c r="D1635">
        <v>4</v>
      </c>
      <c r="E1635">
        <v>1</v>
      </c>
      <c r="F1635" t="s">
        <v>33</v>
      </c>
      <c r="G1635" t="s">
        <v>25</v>
      </c>
      <c r="H1635" t="s">
        <v>26</v>
      </c>
      <c r="I1635" t="s">
        <v>47</v>
      </c>
      <c r="J1635" t="s">
        <v>56</v>
      </c>
      <c r="Z1635" t="s">
        <v>32</v>
      </c>
    </row>
    <row r="1636" spans="1:28" x14ac:dyDescent="0.2">
      <c r="A1636" s="3">
        <v>42500</v>
      </c>
      <c r="B1636" t="s">
        <v>23</v>
      </c>
      <c r="C1636">
        <v>701</v>
      </c>
      <c r="D1636">
        <v>6</v>
      </c>
      <c r="E1636">
        <v>1</v>
      </c>
      <c r="F1636" t="s">
        <v>33</v>
      </c>
      <c r="G1636" t="s">
        <v>25</v>
      </c>
      <c r="H1636" t="s">
        <v>26</v>
      </c>
      <c r="I1636" t="s">
        <v>47</v>
      </c>
      <c r="J1636" t="s">
        <v>56</v>
      </c>
      <c r="Z1636" t="s">
        <v>32</v>
      </c>
    </row>
    <row r="1637" spans="1:28" x14ac:dyDescent="0.2">
      <c r="A1637" s="3">
        <v>42508</v>
      </c>
      <c r="B1637" t="s">
        <v>23</v>
      </c>
      <c r="C1637">
        <v>202</v>
      </c>
      <c r="D1637">
        <v>6</v>
      </c>
      <c r="E1637">
        <v>1</v>
      </c>
      <c r="F1637" t="s">
        <v>33</v>
      </c>
      <c r="G1637" t="s">
        <v>25</v>
      </c>
      <c r="H1637" t="s">
        <v>26</v>
      </c>
      <c r="I1637" t="s">
        <v>47</v>
      </c>
      <c r="J1637" t="s">
        <v>56</v>
      </c>
      <c r="Z1637" t="s">
        <v>32</v>
      </c>
    </row>
    <row r="1638" spans="1:28" x14ac:dyDescent="0.2">
      <c r="A1638" s="3">
        <v>42509</v>
      </c>
      <c r="B1638" t="s">
        <v>23</v>
      </c>
      <c r="C1638">
        <v>203</v>
      </c>
      <c r="D1638">
        <v>7</v>
      </c>
      <c r="E1638">
        <v>1</v>
      </c>
      <c r="F1638" t="s">
        <v>33</v>
      </c>
      <c r="G1638" t="s">
        <v>25</v>
      </c>
      <c r="H1638" t="s">
        <v>26</v>
      </c>
      <c r="I1638" t="s">
        <v>47</v>
      </c>
      <c r="J1638" t="s">
        <v>56</v>
      </c>
      <c r="Z1638" t="s">
        <v>32</v>
      </c>
    </row>
    <row r="1639" spans="1:28" x14ac:dyDescent="0.2">
      <c r="A1639" s="3">
        <v>42528</v>
      </c>
      <c r="B1639" t="s">
        <v>23</v>
      </c>
      <c r="C1639">
        <v>202</v>
      </c>
      <c r="D1639">
        <v>6</v>
      </c>
      <c r="E1639">
        <v>1</v>
      </c>
      <c r="F1639" t="s">
        <v>24</v>
      </c>
      <c r="G1639" t="s">
        <v>25</v>
      </c>
      <c r="H1639" t="s">
        <v>26</v>
      </c>
      <c r="I1639" t="s">
        <v>47</v>
      </c>
      <c r="Z1639" t="s">
        <v>32</v>
      </c>
    </row>
    <row r="1640" spans="1:28" x14ac:dyDescent="0.2">
      <c r="A1640" s="3">
        <v>42528</v>
      </c>
      <c r="B1640" t="s">
        <v>23</v>
      </c>
      <c r="C1640">
        <v>304</v>
      </c>
      <c r="D1640">
        <v>5</v>
      </c>
      <c r="E1640">
        <v>1</v>
      </c>
      <c r="F1640" t="s">
        <v>24</v>
      </c>
      <c r="G1640" t="s">
        <v>25</v>
      </c>
      <c r="H1640" t="s">
        <v>26</v>
      </c>
      <c r="I1640" t="s">
        <v>47</v>
      </c>
      <c r="Z1640" t="s">
        <v>32</v>
      </c>
    </row>
    <row r="1641" spans="1:28" x14ac:dyDescent="0.2">
      <c r="A1641" s="3">
        <v>42529</v>
      </c>
      <c r="B1641" t="s">
        <v>23</v>
      </c>
      <c r="C1641">
        <v>304</v>
      </c>
      <c r="D1641">
        <v>5</v>
      </c>
      <c r="E1641">
        <v>1</v>
      </c>
      <c r="F1641" t="s">
        <v>33</v>
      </c>
      <c r="G1641" t="s">
        <v>25</v>
      </c>
      <c r="H1641" t="s">
        <v>26</v>
      </c>
      <c r="I1641" t="s">
        <v>47</v>
      </c>
      <c r="J1641" t="s">
        <v>56</v>
      </c>
      <c r="Z1641" t="s">
        <v>32</v>
      </c>
    </row>
    <row r="1642" spans="1:28" x14ac:dyDescent="0.2">
      <c r="A1642" s="3">
        <v>42530</v>
      </c>
      <c r="B1642" t="s">
        <v>23</v>
      </c>
      <c r="C1642">
        <v>304</v>
      </c>
      <c r="D1642">
        <v>5</v>
      </c>
      <c r="E1642">
        <v>1</v>
      </c>
      <c r="F1642" t="s">
        <v>24</v>
      </c>
      <c r="G1642" t="s">
        <v>25</v>
      </c>
      <c r="H1642" t="s">
        <v>26</v>
      </c>
      <c r="I1642" t="s">
        <v>47</v>
      </c>
      <c r="Z1642" t="s">
        <v>32</v>
      </c>
    </row>
    <row r="1643" spans="1:28" x14ac:dyDescent="0.2">
      <c r="A1643" s="3">
        <v>42535</v>
      </c>
      <c r="B1643" t="s">
        <v>23</v>
      </c>
      <c r="C1643">
        <v>503</v>
      </c>
      <c r="D1643">
        <v>6</v>
      </c>
      <c r="E1643">
        <v>1</v>
      </c>
      <c r="F1643" t="s">
        <v>24</v>
      </c>
      <c r="G1643" t="s">
        <v>25</v>
      </c>
      <c r="H1643" t="s">
        <v>26</v>
      </c>
      <c r="I1643" t="s">
        <v>47</v>
      </c>
      <c r="Z1643" t="s">
        <v>32</v>
      </c>
    </row>
    <row r="1644" spans="1:28" x14ac:dyDescent="0.2">
      <c r="A1644" s="3">
        <v>42535</v>
      </c>
      <c r="B1644" t="s">
        <v>23</v>
      </c>
      <c r="C1644">
        <v>303</v>
      </c>
      <c r="D1644">
        <v>6</v>
      </c>
      <c r="E1644">
        <v>1</v>
      </c>
      <c r="F1644" t="s">
        <v>24</v>
      </c>
      <c r="G1644" t="s">
        <v>25</v>
      </c>
      <c r="H1644" t="s">
        <v>26</v>
      </c>
      <c r="I1644" t="s">
        <v>47</v>
      </c>
      <c r="Z1644" t="s">
        <v>32</v>
      </c>
    </row>
    <row r="1645" spans="1:28" x14ac:dyDescent="0.2">
      <c r="A1645" s="3">
        <v>42535</v>
      </c>
      <c r="B1645" t="s">
        <v>23</v>
      </c>
      <c r="C1645">
        <v>703</v>
      </c>
      <c r="D1645">
        <v>5</v>
      </c>
      <c r="E1645">
        <v>1</v>
      </c>
      <c r="F1645" t="s">
        <v>33</v>
      </c>
      <c r="G1645" t="s">
        <v>25</v>
      </c>
      <c r="H1645" t="s">
        <v>26</v>
      </c>
      <c r="I1645" t="s">
        <v>47</v>
      </c>
      <c r="J1645" t="s">
        <v>206</v>
      </c>
      <c r="Z1645" t="s">
        <v>32</v>
      </c>
    </row>
    <row r="1646" spans="1:28" x14ac:dyDescent="0.2">
      <c r="A1646" s="3">
        <v>42535</v>
      </c>
      <c r="B1646" t="s">
        <v>23</v>
      </c>
      <c r="C1646">
        <v>701</v>
      </c>
      <c r="D1646">
        <v>2</v>
      </c>
      <c r="E1646">
        <v>1</v>
      </c>
      <c r="F1646" t="s">
        <v>33</v>
      </c>
      <c r="G1646" t="s">
        <v>25</v>
      </c>
      <c r="H1646" t="s">
        <v>26</v>
      </c>
      <c r="I1646" t="s">
        <v>47</v>
      </c>
      <c r="J1646" t="s">
        <v>56</v>
      </c>
      <c r="Z1646" t="s">
        <v>32</v>
      </c>
    </row>
    <row r="1647" spans="1:28" x14ac:dyDescent="0.2">
      <c r="A1647" s="3">
        <v>42535</v>
      </c>
      <c r="B1647" t="s">
        <v>23</v>
      </c>
      <c r="C1647">
        <v>901</v>
      </c>
      <c r="D1647">
        <v>2</v>
      </c>
      <c r="E1647">
        <v>1</v>
      </c>
      <c r="F1647" t="s">
        <v>33</v>
      </c>
      <c r="G1647" t="s">
        <v>25</v>
      </c>
      <c r="H1647" t="s">
        <v>26</v>
      </c>
      <c r="I1647" t="s">
        <v>47</v>
      </c>
      <c r="J1647" t="s">
        <v>56</v>
      </c>
      <c r="Z1647" t="s">
        <v>32</v>
      </c>
    </row>
    <row r="1648" spans="1:28" x14ac:dyDescent="0.2">
      <c r="A1648" s="3">
        <v>42536</v>
      </c>
      <c r="B1648" t="s">
        <v>23</v>
      </c>
      <c r="C1648">
        <v>503</v>
      </c>
      <c r="D1648">
        <v>5</v>
      </c>
      <c r="E1648">
        <v>1</v>
      </c>
      <c r="F1648" t="s">
        <v>24</v>
      </c>
      <c r="G1648" t="s">
        <v>25</v>
      </c>
      <c r="H1648" t="s">
        <v>26</v>
      </c>
      <c r="I1648" t="s">
        <v>47</v>
      </c>
      <c r="Z1648" t="s">
        <v>32</v>
      </c>
    </row>
    <row r="1649" spans="1:26" x14ac:dyDescent="0.2">
      <c r="A1649" s="3">
        <v>42537</v>
      </c>
      <c r="B1649" t="s">
        <v>23</v>
      </c>
      <c r="C1649">
        <v>703</v>
      </c>
      <c r="D1649">
        <v>5</v>
      </c>
      <c r="E1649">
        <v>1</v>
      </c>
      <c r="F1649" t="s">
        <v>33</v>
      </c>
      <c r="G1649" t="s">
        <v>25</v>
      </c>
      <c r="H1649" t="s">
        <v>26</v>
      </c>
      <c r="I1649" t="s">
        <v>47</v>
      </c>
      <c r="J1649" t="s">
        <v>56</v>
      </c>
      <c r="Z1649" t="s">
        <v>32</v>
      </c>
    </row>
    <row r="1650" spans="1:26" x14ac:dyDescent="0.2">
      <c r="A1650" s="3">
        <v>42542</v>
      </c>
      <c r="B1650" t="s">
        <v>23</v>
      </c>
      <c r="C1650">
        <v>202</v>
      </c>
      <c r="D1650">
        <v>5</v>
      </c>
      <c r="E1650">
        <v>2</v>
      </c>
      <c r="F1650" t="s">
        <v>33</v>
      </c>
      <c r="G1650" t="s">
        <v>25</v>
      </c>
      <c r="H1650" t="s">
        <v>26</v>
      </c>
      <c r="I1650" t="s">
        <v>47</v>
      </c>
      <c r="J1650" t="s">
        <v>206</v>
      </c>
      <c r="Z1650" t="s">
        <v>32</v>
      </c>
    </row>
    <row r="1651" spans="1:26" x14ac:dyDescent="0.2">
      <c r="A1651" s="3">
        <v>42542</v>
      </c>
      <c r="B1651" t="s">
        <v>23</v>
      </c>
      <c r="C1651">
        <v>111</v>
      </c>
      <c r="D1651">
        <v>8</v>
      </c>
      <c r="E1651">
        <v>2</v>
      </c>
      <c r="F1651" t="s">
        <v>24</v>
      </c>
      <c r="G1651" t="s">
        <v>25</v>
      </c>
      <c r="H1651" t="s">
        <v>26</v>
      </c>
      <c r="I1651" t="s">
        <v>47</v>
      </c>
      <c r="Z1651" t="s">
        <v>32</v>
      </c>
    </row>
    <row r="1652" spans="1:26" x14ac:dyDescent="0.2">
      <c r="A1652" s="3">
        <v>42543</v>
      </c>
      <c r="B1652" t="s">
        <v>23</v>
      </c>
      <c r="C1652">
        <v>203</v>
      </c>
      <c r="D1652">
        <v>3</v>
      </c>
      <c r="E1652">
        <v>1</v>
      </c>
      <c r="F1652" t="s">
        <v>33</v>
      </c>
      <c r="G1652" t="s">
        <v>25</v>
      </c>
      <c r="H1652" t="s">
        <v>26</v>
      </c>
      <c r="I1652" t="s">
        <v>47</v>
      </c>
      <c r="J1652" t="s">
        <v>56</v>
      </c>
      <c r="Z1652" t="s">
        <v>32</v>
      </c>
    </row>
    <row r="1653" spans="1:26" x14ac:dyDescent="0.2">
      <c r="A1653" s="3">
        <v>42543</v>
      </c>
      <c r="B1653" t="s">
        <v>23</v>
      </c>
      <c r="C1653">
        <v>304</v>
      </c>
      <c r="D1653">
        <v>7</v>
      </c>
      <c r="E1653">
        <v>1</v>
      </c>
      <c r="F1653" t="s">
        <v>33</v>
      </c>
      <c r="G1653" t="s">
        <v>25</v>
      </c>
      <c r="H1653" t="s">
        <v>26</v>
      </c>
      <c r="I1653" t="s">
        <v>47</v>
      </c>
      <c r="J1653" t="s">
        <v>56</v>
      </c>
      <c r="Z1653" t="s">
        <v>32</v>
      </c>
    </row>
    <row r="1654" spans="1:26" x14ac:dyDescent="0.2">
      <c r="A1654" s="3">
        <v>42549</v>
      </c>
      <c r="B1654" t="s">
        <v>23</v>
      </c>
      <c r="C1654">
        <v>703</v>
      </c>
      <c r="D1654">
        <v>7</v>
      </c>
      <c r="E1654">
        <v>1</v>
      </c>
      <c r="F1654" t="s">
        <v>24</v>
      </c>
      <c r="G1654" t="s">
        <v>25</v>
      </c>
      <c r="H1654" t="s">
        <v>26</v>
      </c>
      <c r="I1654" t="s">
        <v>47</v>
      </c>
      <c r="J1654" t="s">
        <v>56</v>
      </c>
      <c r="Z1654" t="s">
        <v>32</v>
      </c>
    </row>
    <row r="1655" spans="1:26" x14ac:dyDescent="0.2">
      <c r="A1655" s="3">
        <v>42549</v>
      </c>
      <c r="B1655" t="s">
        <v>23</v>
      </c>
      <c r="C1655">
        <v>801</v>
      </c>
      <c r="D1655">
        <v>1</v>
      </c>
      <c r="E1655">
        <v>2</v>
      </c>
      <c r="F1655" t="s">
        <v>24</v>
      </c>
      <c r="G1655" t="s">
        <v>25</v>
      </c>
      <c r="H1655" t="s">
        <v>26</v>
      </c>
      <c r="I1655" t="s">
        <v>47</v>
      </c>
      <c r="J1655" t="s">
        <v>56</v>
      </c>
      <c r="Z1655" t="s">
        <v>32</v>
      </c>
    </row>
    <row r="1656" spans="1:26" x14ac:dyDescent="0.2">
      <c r="A1656" s="3">
        <v>42549</v>
      </c>
      <c r="B1656" t="s">
        <v>23</v>
      </c>
      <c r="C1656">
        <v>801</v>
      </c>
      <c r="D1656">
        <v>2</v>
      </c>
      <c r="E1656">
        <v>2</v>
      </c>
      <c r="F1656" t="s">
        <v>24</v>
      </c>
      <c r="G1656" t="s">
        <v>25</v>
      </c>
      <c r="H1656" t="s">
        <v>26</v>
      </c>
      <c r="I1656" t="s">
        <v>47</v>
      </c>
      <c r="J1656" t="s">
        <v>206</v>
      </c>
      <c r="Z1656" t="s">
        <v>32</v>
      </c>
    </row>
    <row r="1657" spans="1:26" x14ac:dyDescent="0.2">
      <c r="A1657" s="3">
        <v>42549</v>
      </c>
      <c r="B1657" t="s">
        <v>23</v>
      </c>
      <c r="C1657">
        <v>801</v>
      </c>
      <c r="D1657">
        <v>9</v>
      </c>
      <c r="E1657">
        <v>1</v>
      </c>
      <c r="F1657" t="s">
        <v>24</v>
      </c>
      <c r="G1657" t="s">
        <v>25</v>
      </c>
      <c r="H1657" t="s">
        <v>26</v>
      </c>
      <c r="I1657" t="s">
        <v>47</v>
      </c>
      <c r="J1657" t="s">
        <v>56</v>
      </c>
      <c r="Z1657" t="s">
        <v>32</v>
      </c>
    </row>
    <row r="1658" spans="1:26" x14ac:dyDescent="0.2">
      <c r="A1658" s="3">
        <v>42550</v>
      </c>
      <c r="B1658" t="s">
        <v>23</v>
      </c>
      <c r="C1658">
        <v>501</v>
      </c>
      <c r="D1658">
        <v>4</v>
      </c>
      <c r="E1658">
        <v>1</v>
      </c>
      <c r="F1658" t="s">
        <v>33</v>
      </c>
      <c r="G1658" t="s">
        <v>25</v>
      </c>
      <c r="H1658" t="s">
        <v>26</v>
      </c>
      <c r="I1658" t="s">
        <v>47</v>
      </c>
      <c r="J1658" t="s">
        <v>56</v>
      </c>
      <c r="Z1658" t="s">
        <v>32</v>
      </c>
    </row>
    <row r="1659" spans="1:26" x14ac:dyDescent="0.2">
      <c r="A1659" s="3">
        <v>42550</v>
      </c>
      <c r="B1659" t="s">
        <v>23</v>
      </c>
      <c r="C1659">
        <v>303</v>
      </c>
      <c r="D1659">
        <v>7</v>
      </c>
      <c r="E1659">
        <v>1</v>
      </c>
      <c r="F1659" t="s">
        <v>33</v>
      </c>
      <c r="G1659" t="s">
        <v>25</v>
      </c>
      <c r="H1659" t="s">
        <v>26</v>
      </c>
      <c r="I1659" t="s">
        <v>47</v>
      </c>
      <c r="J1659" t="s">
        <v>56</v>
      </c>
      <c r="Z1659" t="s">
        <v>32</v>
      </c>
    </row>
    <row r="1660" spans="1:26" x14ac:dyDescent="0.2">
      <c r="A1660" s="3">
        <v>42550</v>
      </c>
      <c r="B1660" t="s">
        <v>23</v>
      </c>
      <c r="C1660">
        <v>703</v>
      </c>
      <c r="D1660">
        <v>5</v>
      </c>
      <c r="E1660">
        <v>2</v>
      </c>
      <c r="F1660" t="s">
        <v>24</v>
      </c>
      <c r="G1660" t="s">
        <v>25</v>
      </c>
      <c r="H1660" t="s">
        <v>26</v>
      </c>
      <c r="I1660" t="s">
        <v>47</v>
      </c>
      <c r="J1660" t="s">
        <v>56</v>
      </c>
      <c r="Z1660" t="s">
        <v>32</v>
      </c>
    </row>
    <row r="1661" spans="1:26" x14ac:dyDescent="0.2">
      <c r="A1661" s="3">
        <v>42550</v>
      </c>
      <c r="B1661" t="s">
        <v>23</v>
      </c>
      <c r="C1661">
        <v>701</v>
      </c>
      <c r="D1661">
        <v>8</v>
      </c>
      <c r="E1661">
        <v>2</v>
      </c>
      <c r="F1661" t="s">
        <v>24</v>
      </c>
      <c r="G1661" t="s">
        <v>25</v>
      </c>
      <c r="H1661" t="s">
        <v>26</v>
      </c>
      <c r="I1661" t="s">
        <v>47</v>
      </c>
      <c r="J1661" t="s">
        <v>56</v>
      </c>
      <c r="Z1661" t="s">
        <v>32</v>
      </c>
    </row>
    <row r="1662" spans="1:26" x14ac:dyDescent="0.2">
      <c r="A1662" s="3">
        <v>42550</v>
      </c>
      <c r="B1662" t="s">
        <v>23</v>
      </c>
      <c r="C1662">
        <v>801</v>
      </c>
      <c r="D1662">
        <v>5</v>
      </c>
      <c r="E1662">
        <v>2</v>
      </c>
      <c r="F1662" t="s">
        <v>24</v>
      </c>
      <c r="G1662" t="s">
        <v>25</v>
      </c>
      <c r="H1662" t="s">
        <v>26</v>
      </c>
      <c r="I1662" t="s">
        <v>47</v>
      </c>
      <c r="J1662" t="s">
        <v>56</v>
      </c>
      <c r="Z1662" t="s">
        <v>32</v>
      </c>
    </row>
    <row r="1663" spans="1:26" x14ac:dyDescent="0.2">
      <c r="A1663" s="3">
        <v>42551</v>
      </c>
      <c r="B1663" t="s">
        <v>23</v>
      </c>
      <c r="C1663">
        <v>503</v>
      </c>
      <c r="D1663">
        <v>1</v>
      </c>
      <c r="E1663">
        <v>1</v>
      </c>
      <c r="F1663" t="s">
        <v>33</v>
      </c>
      <c r="G1663" t="s">
        <v>25</v>
      </c>
      <c r="H1663" t="s">
        <v>26</v>
      </c>
      <c r="I1663" t="s">
        <v>47</v>
      </c>
      <c r="J1663" t="s">
        <v>56</v>
      </c>
      <c r="Z1663" t="s">
        <v>32</v>
      </c>
    </row>
    <row r="1664" spans="1:26" x14ac:dyDescent="0.2">
      <c r="A1664" s="3">
        <v>42551</v>
      </c>
      <c r="B1664" t="s">
        <v>23</v>
      </c>
      <c r="C1664">
        <v>503</v>
      </c>
      <c r="D1664">
        <v>1</v>
      </c>
      <c r="E1664">
        <v>2</v>
      </c>
      <c r="F1664" t="s">
        <v>33</v>
      </c>
      <c r="G1664" t="s">
        <v>25</v>
      </c>
      <c r="H1664" t="s">
        <v>26</v>
      </c>
      <c r="I1664" t="s">
        <v>47</v>
      </c>
      <c r="J1664" t="s">
        <v>56</v>
      </c>
      <c r="Z1664" t="s">
        <v>32</v>
      </c>
    </row>
    <row r="1665" spans="1:26" x14ac:dyDescent="0.2">
      <c r="A1665" s="3">
        <v>42551</v>
      </c>
      <c r="B1665" t="s">
        <v>23</v>
      </c>
      <c r="C1665">
        <v>503</v>
      </c>
      <c r="D1665">
        <v>8</v>
      </c>
      <c r="E1665">
        <v>2</v>
      </c>
      <c r="F1665" t="s">
        <v>33</v>
      </c>
      <c r="G1665" t="s">
        <v>25</v>
      </c>
      <c r="H1665" t="s">
        <v>26</v>
      </c>
      <c r="I1665" t="s">
        <v>47</v>
      </c>
      <c r="J1665" t="s">
        <v>56</v>
      </c>
      <c r="Z1665" t="s">
        <v>32</v>
      </c>
    </row>
    <row r="1666" spans="1:26" x14ac:dyDescent="0.2">
      <c r="A1666" s="3">
        <v>42551</v>
      </c>
      <c r="B1666" t="s">
        <v>23</v>
      </c>
      <c r="C1666">
        <v>303</v>
      </c>
      <c r="D1666">
        <v>9</v>
      </c>
      <c r="E1666">
        <v>1</v>
      </c>
      <c r="F1666" t="s">
        <v>33</v>
      </c>
      <c r="G1666" t="s">
        <v>25</v>
      </c>
      <c r="H1666" t="s">
        <v>26</v>
      </c>
      <c r="I1666" t="s">
        <v>47</v>
      </c>
      <c r="J1666" t="s">
        <v>56</v>
      </c>
      <c r="Z1666" t="s">
        <v>32</v>
      </c>
    </row>
    <row r="1667" spans="1:26" x14ac:dyDescent="0.2">
      <c r="A1667" s="3">
        <v>42551</v>
      </c>
      <c r="B1667" t="s">
        <v>23</v>
      </c>
      <c r="C1667">
        <v>703</v>
      </c>
      <c r="D1667">
        <v>3</v>
      </c>
      <c r="E1667">
        <v>1</v>
      </c>
      <c r="F1667" t="s">
        <v>24</v>
      </c>
      <c r="G1667" t="s">
        <v>25</v>
      </c>
      <c r="H1667" t="s">
        <v>26</v>
      </c>
      <c r="I1667" t="s">
        <v>47</v>
      </c>
      <c r="J1667" t="s">
        <v>56</v>
      </c>
      <c r="Z1667" t="s">
        <v>32</v>
      </c>
    </row>
    <row r="1668" spans="1:26" x14ac:dyDescent="0.2">
      <c r="A1668" s="3">
        <v>42551</v>
      </c>
      <c r="B1668" t="s">
        <v>23</v>
      </c>
      <c r="C1668">
        <v>801</v>
      </c>
      <c r="D1668">
        <v>4</v>
      </c>
      <c r="E1668">
        <v>1</v>
      </c>
      <c r="F1668" t="s">
        <v>24</v>
      </c>
      <c r="G1668" t="s">
        <v>25</v>
      </c>
      <c r="H1668" t="s">
        <v>26</v>
      </c>
      <c r="I1668" t="s">
        <v>47</v>
      </c>
      <c r="J1668" t="s">
        <v>56</v>
      </c>
      <c r="Z1668" t="s">
        <v>32</v>
      </c>
    </row>
    <row r="1669" spans="1:26" x14ac:dyDescent="0.2">
      <c r="A1669" s="3">
        <v>42556</v>
      </c>
      <c r="B1669" t="s">
        <v>23</v>
      </c>
      <c r="C1669">
        <v>304</v>
      </c>
      <c r="D1669">
        <v>9</v>
      </c>
      <c r="E1669">
        <v>2</v>
      </c>
      <c r="F1669" t="s">
        <v>33</v>
      </c>
      <c r="G1669" t="s">
        <v>25</v>
      </c>
      <c r="H1669" t="s">
        <v>26</v>
      </c>
      <c r="I1669" t="s">
        <v>47</v>
      </c>
      <c r="J1669" t="s">
        <v>206</v>
      </c>
      <c r="Z1669" t="s">
        <v>32</v>
      </c>
    </row>
    <row r="1670" spans="1:26" x14ac:dyDescent="0.2">
      <c r="A1670" s="3">
        <v>42556</v>
      </c>
      <c r="B1670" t="s">
        <v>23</v>
      </c>
      <c r="C1670">
        <v>203</v>
      </c>
      <c r="D1670">
        <v>1</v>
      </c>
      <c r="E1670">
        <v>1</v>
      </c>
      <c r="F1670" t="s">
        <v>24</v>
      </c>
      <c r="G1670" t="s">
        <v>25</v>
      </c>
      <c r="H1670" t="s">
        <v>26</v>
      </c>
      <c r="I1670" t="s">
        <v>47</v>
      </c>
      <c r="J1670" t="s">
        <v>56</v>
      </c>
      <c r="Z1670" t="s">
        <v>32</v>
      </c>
    </row>
    <row r="1671" spans="1:26" x14ac:dyDescent="0.2">
      <c r="A1671" s="3">
        <v>42556</v>
      </c>
      <c r="B1671" t="s">
        <v>23</v>
      </c>
      <c r="C1671">
        <v>202</v>
      </c>
      <c r="D1671">
        <v>8</v>
      </c>
      <c r="E1671">
        <v>1</v>
      </c>
      <c r="F1671" t="s">
        <v>24</v>
      </c>
      <c r="G1671" t="s">
        <v>25</v>
      </c>
      <c r="H1671" t="s">
        <v>26</v>
      </c>
      <c r="I1671" t="s">
        <v>47</v>
      </c>
      <c r="J1671" t="s">
        <v>56</v>
      </c>
      <c r="Z1671" t="s">
        <v>32</v>
      </c>
    </row>
    <row r="1672" spans="1:26" x14ac:dyDescent="0.2">
      <c r="A1672" s="3">
        <v>42557</v>
      </c>
      <c r="B1672" t="s">
        <v>23</v>
      </c>
      <c r="C1672">
        <v>304</v>
      </c>
      <c r="D1672">
        <v>5</v>
      </c>
      <c r="E1672">
        <v>2</v>
      </c>
      <c r="F1672" t="s">
        <v>33</v>
      </c>
      <c r="G1672" t="s">
        <v>25</v>
      </c>
      <c r="H1672" t="s">
        <v>26</v>
      </c>
      <c r="I1672" t="s">
        <v>47</v>
      </c>
      <c r="J1672" t="s">
        <v>56</v>
      </c>
    </row>
    <row r="1673" spans="1:26" x14ac:dyDescent="0.2">
      <c r="A1673" s="3">
        <v>42557</v>
      </c>
      <c r="B1673" t="s">
        <v>23</v>
      </c>
      <c r="C1673">
        <v>201</v>
      </c>
      <c r="D1673">
        <v>4</v>
      </c>
      <c r="E1673">
        <v>1</v>
      </c>
      <c r="F1673" t="s">
        <v>24</v>
      </c>
      <c r="G1673" t="s">
        <v>25</v>
      </c>
      <c r="H1673" t="s">
        <v>26</v>
      </c>
      <c r="I1673" t="s">
        <v>47</v>
      </c>
      <c r="J1673" t="s">
        <v>56</v>
      </c>
    </row>
    <row r="1674" spans="1:26" x14ac:dyDescent="0.2">
      <c r="A1674" s="3">
        <v>42557</v>
      </c>
      <c r="B1674" t="s">
        <v>23</v>
      </c>
      <c r="C1674">
        <v>203</v>
      </c>
      <c r="D1674">
        <v>9</v>
      </c>
      <c r="E1674">
        <v>1</v>
      </c>
      <c r="F1674" t="s">
        <v>24</v>
      </c>
      <c r="G1674" t="s">
        <v>25</v>
      </c>
      <c r="H1674" t="s">
        <v>26</v>
      </c>
      <c r="I1674" t="s">
        <v>47</v>
      </c>
      <c r="J1674" t="s">
        <v>56</v>
      </c>
    </row>
    <row r="1675" spans="1:26" x14ac:dyDescent="0.2">
      <c r="A1675" s="3">
        <v>42558</v>
      </c>
      <c r="B1675" t="s">
        <v>23</v>
      </c>
      <c r="C1675">
        <v>203</v>
      </c>
      <c r="D1675">
        <v>1</v>
      </c>
      <c r="E1675">
        <v>1</v>
      </c>
      <c r="F1675" t="s">
        <v>24</v>
      </c>
      <c r="G1675" t="s">
        <v>25</v>
      </c>
      <c r="H1675" t="s">
        <v>26</v>
      </c>
      <c r="I1675" t="s">
        <v>47</v>
      </c>
      <c r="J1675" t="s">
        <v>56</v>
      </c>
    </row>
    <row r="1676" spans="1:26" x14ac:dyDescent="0.2">
      <c r="A1676" s="3">
        <v>42558</v>
      </c>
      <c r="B1676" t="s">
        <v>23</v>
      </c>
      <c r="C1676">
        <v>203</v>
      </c>
      <c r="D1676">
        <v>8</v>
      </c>
      <c r="E1676">
        <v>2</v>
      </c>
      <c r="F1676" t="s">
        <v>24</v>
      </c>
      <c r="G1676" t="s">
        <v>25</v>
      </c>
      <c r="H1676" t="s">
        <v>26</v>
      </c>
      <c r="I1676" t="s">
        <v>47</v>
      </c>
      <c r="J1676" t="s">
        <v>56</v>
      </c>
    </row>
    <row r="1677" spans="1:26" x14ac:dyDescent="0.2">
      <c r="A1677" s="3">
        <v>42558</v>
      </c>
      <c r="B1677" t="s">
        <v>23</v>
      </c>
      <c r="C1677">
        <v>202</v>
      </c>
      <c r="D1677">
        <v>4</v>
      </c>
      <c r="E1677">
        <v>2</v>
      </c>
      <c r="F1677" t="s">
        <v>24</v>
      </c>
      <c r="G1677" t="s">
        <v>25</v>
      </c>
      <c r="H1677" t="s">
        <v>26</v>
      </c>
      <c r="I1677" t="s">
        <v>47</v>
      </c>
      <c r="J1677" t="s">
        <v>56</v>
      </c>
    </row>
    <row r="1678" spans="1:26" x14ac:dyDescent="0.2">
      <c r="A1678" s="3">
        <v>42563</v>
      </c>
      <c r="B1678" t="s">
        <v>23</v>
      </c>
      <c r="C1678">
        <v>503</v>
      </c>
      <c r="D1678">
        <v>2</v>
      </c>
      <c r="E1678">
        <v>1</v>
      </c>
      <c r="F1678" t="s">
        <v>24</v>
      </c>
      <c r="G1678" t="s">
        <v>25</v>
      </c>
      <c r="H1678" t="s">
        <v>26</v>
      </c>
      <c r="I1678" t="s">
        <v>47</v>
      </c>
      <c r="J1678" t="s">
        <v>206</v>
      </c>
    </row>
    <row r="1679" spans="1:26" x14ac:dyDescent="0.2">
      <c r="A1679" s="3">
        <v>42563</v>
      </c>
      <c r="B1679" t="s">
        <v>23</v>
      </c>
      <c r="C1679">
        <v>503</v>
      </c>
      <c r="D1679">
        <v>3</v>
      </c>
      <c r="E1679">
        <v>2</v>
      </c>
      <c r="F1679" t="s">
        <v>24</v>
      </c>
      <c r="G1679" t="s">
        <v>25</v>
      </c>
      <c r="H1679" t="s">
        <v>26</v>
      </c>
      <c r="I1679" t="s">
        <v>47</v>
      </c>
      <c r="J1679" t="s">
        <v>206</v>
      </c>
    </row>
    <row r="1680" spans="1:26" x14ac:dyDescent="0.2">
      <c r="A1680" s="3">
        <v>42563</v>
      </c>
      <c r="B1680" t="s">
        <v>23</v>
      </c>
      <c r="C1680">
        <v>303</v>
      </c>
      <c r="D1680">
        <v>6</v>
      </c>
      <c r="E1680">
        <v>2</v>
      </c>
      <c r="F1680" t="s">
        <v>24</v>
      </c>
      <c r="G1680" t="s">
        <v>25</v>
      </c>
      <c r="H1680" t="s">
        <v>26</v>
      </c>
      <c r="I1680" t="s">
        <v>47</v>
      </c>
      <c r="J1680" t="s">
        <v>56</v>
      </c>
    </row>
    <row r="1681" spans="1:10" x14ac:dyDescent="0.2">
      <c r="A1681" s="3">
        <v>42563</v>
      </c>
      <c r="B1681" t="s">
        <v>23</v>
      </c>
      <c r="C1681">
        <v>703</v>
      </c>
      <c r="D1681">
        <v>6</v>
      </c>
      <c r="E1681">
        <v>1</v>
      </c>
      <c r="F1681" t="s">
        <v>33</v>
      </c>
      <c r="G1681" t="s">
        <v>25</v>
      </c>
      <c r="H1681" t="s">
        <v>26</v>
      </c>
      <c r="I1681" t="s">
        <v>47</v>
      </c>
      <c r="J1681" t="s">
        <v>56</v>
      </c>
    </row>
    <row r="1682" spans="1:10" x14ac:dyDescent="0.2">
      <c r="A1682" s="3">
        <v>42563</v>
      </c>
      <c r="B1682" t="s">
        <v>23</v>
      </c>
      <c r="C1682">
        <v>701</v>
      </c>
      <c r="D1682">
        <v>3</v>
      </c>
      <c r="E1682">
        <v>1</v>
      </c>
      <c r="F1682" t="s">
        <v>33</v>
      </c>
      <c r="G1682" t="s">
        <v>25</v>
      </c>
      <c r="H1682" t="s">
        <v>26</v>
      </c>
      <c r="I1682" t="s">
        <v>47</v>
      </c>
      <c r="J1682" t="s">
        <v>56</v>
      </c>
    </row>
    <row r="1683" spans="1:10" x14ac:dyDescent="0.2">
      <c r="A1683" s="3">
        <v>42563</v>
      </c>
      <c r="B1683" t="s">
        <v>23</v>
      </c>
      <c r="C1683">
        <v>801</v>
      </c>
      <c r="D1683">
        <v>3</v>
      </c>
      <c r="E1683">
        <v>1</v>
      </c>
      <c r="F1683" t="s">
        <v>33</v>
      </c>
      <c r="G1683" t="s">
        <v>25</v>
      </c>
      <c r="H1683" t="s">
        <v>26</v>
      </c>
      <c r="I1683" t="s">
        <v>47</v>
      </c>
      <c r="J1683" t="s">
        <v>56</v>
      </c>
    </row>
    <row r="1684" spans="1:10" x14ac:dyDescent="0.2">
      <c r="A1684" s="3">
        <v>42564</v>
      </c>
      <c r="B1684" t="s">
        <v>23</v>
      </c>
      <c r="C1684">
        <v>503</v>
      </c>
      <c r="D1684">
        <v>2</v>
      </c>
      <c r="E1684">
        <v>1</v>
      </c>
      <c r="F1684" t="s">
        <v>24</v>
      </c>
      <c r="G1684" t="s">
        <v>25</v>
      </c>
      <c r="H1684" t="s">
        <v>26</v>
      </c>
      <c r="I1684" t="s">
        <v>47</v>
      </c>
      <c r="J1684" t="s">
        <v>56</v>
      </c>
    </row>
    <row r="1685" spans="1:10" x14ac:dyDescent="0.2">
      <c r="A1685" s="3">
        <v>42564</v>
      </c>
      <c r="B1685" t="s">
        <v>23</v>
      </c>
      <c r="C1685">
        <v>503</v>
      </c>
      <c r="D1685">
        <v>8</v>
      </c>
      <c r="E1685">
        <v>1</v>
      </c>
      <c r="F1685" t="s">
        <v>24</v>
      </c>
      <c r="G1685" t="s">
        <v>25</v>
      </c>
      <c r="H1685" t="s">
        <v>26</v>
      </c>
      <c r="I1685" t="s">
        <v>47</v>
      </c>
      <c r="J1685" t="s">
        <v>56</v>
      </c>
    </row>
    <row r="1686" spans="1:10" x14ac:dyDescent="0.2">
      <c r="A1686" s="3">
        <v>42564</v>
      </c>
      <c r="B1686" t="s">
        <v>23</v>
      </c>
      <c r="C1686">
        <v>303</v>
      </c>
      <c r="D1686">
        <v>2</v>
      </c>
      <c r="E1686">
        <v>2</v>
      </c>
      <c r="F1686" t="s">
        <v>24</v>
      </c>
      <c r="G1686" t="s">
        <v>25</v>
      </c>
      <c r="H1686" t="s">
        <v>26</v>
      </c>
      <c r="I1686" t="s">
        <v>47</v>
      </c>
      <c r="J1686" t="s">
        <v>56</v>
      </c>
    </row>
    <row r="1687" spans="1:10" x14ac:dyDescent="0.2">
      <c r="A1687" s="3">
        <v>42564</v>
      </c>
      <c r="B1687" t="s">
        <v>23</v>
      </c>
      <c r="C1687">
        <v>303</v>
      </c>
      <c r="D1687">
        <v>7</v>
      </c>
      <c r="E1687">
        <v>1</v>
      </c>
      <c r="F1687" t="s">
        <v>24</v>
      </c>
      <c r="G1687" t="s">
        <v>25</v>
      </c>
      <c r="H1687" t="s">
        <v>26</v>
      </c>
      <c r="I1687" t="s">
        <v>47</v>
      </c>
      <c r="J1687" t="s">
        <v>206</v>
      </c>
    </row>
    <row r="1688" spans="1:10" x14ac:dyDescent="0.2">
      <c r="A1688" s="3">
        <v>42564</v>
      </c>
      <c r="B1688" t="s">
        <v>23</v>
      </c>
      <c r="C1688">
        <v>401</v>
      </c>
      <c r="D1688">
        <v>5</v>
      </c>
      <c r="E1688">
        <v>1</v>
      </c>
      <c r="F1688" t="s">
        <v>24</v>
      </c>
      <c r="G1688" t="s">
        <v>25</v>
      </c>
      <c r="H1688" t="s">
        <v>26</v>
      </c>
      <c r="I1688" t="s">
        <v>47</v>
      </c>
      <c r="J1688" t="s">
        <v>56</v>
      </c>
    </row>
    <row r="1689" spans="1:10" x14ac:dyDescent="0.2">
      <c r="A1689" s="3">
        <v>42564</v>
      </c>
      <c r="B1689" t="s">
        <v>23</v>
      </c>
      <c r="C1689">
        <v>703</v>
      </c>
      <c r="D1689">
        <v>5</v>
      </c>
      <c r="E1689">
        <v>2</v>
      </c>
      <c r="F1689" t="s">
        <v>33</v>
      </c>
      <c r="G1689" t="s">
        <v>25</v>
      </c>
      <c r="H1689" t="s">
        <v>26</v>
      </c>
      <c r="I1689" t="s">
        <v>47</v>
      </c>
      <c r="J1689" t="s">
        <v>56</v>
      </c>
    </row>
    <row r="1690" spans="1:10" x14ac:dyDescent="0.2">
      <c r="A1690" s="3">
        <v>42564</v>
      </c>
      <c r="B1690" t="s">
        <v>23</v>
      </c>
      <c r="C1690">
        <v>701</v>
      </c>
      <c r="D1690">
        <v>6</v>
      </c>
      <c r="E1690">
        <v>1</v>
      </c>
      <c r="F1690" t="s">
        <v>33</v>
      </c>
      <c r="G1690" t="s">
        <v>25</v>
      </c>
      <c r="H1690" t="s">
        <v>26</v>
      </c>
      <c r="I1690" t="s">
        <v>47</v>
      </c>
      <c r="J1690" t="s">
        <v>56</v>
      </c>
    </row>
    <row r="1691" spans="1:10" x14ac:dyDescent="0.2">
      <c r="A1691" s="3">
        <v>42565</v>
      </c>
      <c r="B1691" t="s">
        <v>23</v>
      </c>
      <c r="C1691">
        <v>303</v>
      </c>
      <c r="D1691">
        <v>7</v>
      </c>
      <c r="E1691">
        <v>2</v>
      </c>
      <c r="F1691" t="s">
        <v>24</v>
      </c>
      <c r="G1691" t="s">
        <v>25</v>
      </c>
      <c r="H1691" t="s">
        <v>26</v>
      </c>
      <c r="I1691" t="s">
        <v>47</v>
      </c>
      <c r="J1691" t="s">
        <v>56</v>
      </c>
    </row>
    <row r="1692" spans="1:10" x14ac:dyDescent="0.2">
      <c r="A1692" s="3">
        <v>42565</v>
      </c>
      <c r="B1692" t="s">
        <v>23</v>
      </c>
      <c r="C1692">
        <v>401</v>
      </c>
      <c r="D1692">
        <v>2</v>
      </c>
      <c r="E1692">
        <v>1</v>
      </c>
      <c r="F1692" t="s">
        <v>24</v>
      </c>
      <c r="G1692" t="s">
        <v>25</v>
      </c>
      <c r="H1692" t="s">
        <v>26</v>
      </c>
      <c r="I1692" t="s">
        <v>47</v>
      </c>
      <c r="J1692" t="s">
        <v>56</v>
      </c>
    </row>
    <row r="1693" spans="1:10" x14ac:dyDescent="0.2">
      <c r="A1693" s="3">
        <v>42565</v>
      </c>
      <c r="B1693" t="s">
        <v>23</v>
      </c>
      <c r="C1693">
        <v>401</v>
      </c>
      <c r="D1693">
        <v>5</v>
      </c>
      <c r="E1693">
        <v>1</v>
      </c>
      <c r="F1693" t="s">
        <v>24</v>
      </c>
      <c r="G1693" t="s">
        <v>25</v>
      </c>
      <c r="H1693" t="s">
        <v>26</v>
      </c>
      <c r="I1693" t="s">
        <v>47</v>
      </c>
      <c r="J1693" t="s">
        <v>56</v>
      </c>
    </row>
    <row r="1694" spans="1:10" x14ac:dyDescent="0.2">
      <c r="A1694" s="3">
        <v>42565</v>
      </c>
      <c r="B1694" t="s">
        <v>23</v>
      </c>
      <c r="C1694">
        <v>401</v>
      </c>
      <c r="D1694">
        <v>8</v>
      </c>
      <c r="E1694">
        <v>1</v>
      </c>
      <c r="F1694" t="s">
        <v>24</v>
      </c>
      <c r="G1694" t="s">
        <v>25</v>
      </c>
      <c r="H1694" t="s">
        <v>26</v>
      </c>
      <c r="I1694" t="s">
        <v>47</v>
      </c>
      <c r="J1694" t="s">
        <v>56</v>
      </c>
    </row>
    <row r="1695" spans="1:10" x14ac:dyDescent="0.2">
      <c r="A1695" s="3">
        <v>42565</v>
      </c>
      <c r="B1695" t="s">
        <v>23</v>
      </c>
      <c r="C1695">
        <v>401</v>
      </c>
      <c r="D1695">
        <v>9</v>
      </c>
      <c r="E1695">
        <v>1</v>
      </c>
      <c r="F1695" t="s">
        <v>24</v>
      </c>
      <c r="G1695" t="s">
        <v>25</v>
      </c>
      <c r="H1695" t="s">
        <v>26</v>
      </c>
      <c r="I1695" t="s">
        <v>47</v>
      </c>
      <c r="J1695" t="s">
        <v>56</v>
      </c>
    </row>
    <row r="1696" spans="1:10" x14ac:dyDescent="0.2">
      <c r="A1696" s="3">
        <v>42565</v>
      </c>
      <c r="B1696" t="s">
        <v>23</v>
      </c>
      <c r="C1696">
        <v>701</v>
      </c>
      <c r="D1696">
        <v>1</v>
      </c>
      <c r="E1696">
        <v>2</v>
      </c>
      <c r="F1696" t="s">
        <v>33</v>
      </c>
      <c r="G1696" t="s">
        <v>25</v>
      </c>
      <c r="H1696" t="s">
        <v>26</v>
      </c>
      <c r="I1696" t="s">
        <v>47</v>
      </c>
      <c r="J1696" t="s">
        <v>56</v>
      </c>
    </row>
    <row r="1697" spans="1:10" x14ac:dyDescent="0.2">
      <c r="A1697" s="3">
        <v>42565</v>
      </c>
      <c r="B1697" t="s">
        <v>23</v>
      </c>
      <c r="C1697">
        <v>801</v>
      </c>
      <c r="D1697">
        <v>1</v>
      </c>
      <c r="E1697">
        <v>1</v>
      </c>
      <c r="F1697" t="s">
        <v>33</v>
      </c>
      <c r="G1697" t="s">
        <v>25</v>
      </c>
      <c r="H1697" t="s">
        <v>26</v>
      </c>
      <c r="I1697" t="s">
        <v>47</v>
      </c>
      <c r="J1697" t="s">
        <v>56</v>
      </c>
    </row>
    <row r="1698" spans="1:10" x14ac:dyDescent="0.2">
      <c r="A1698" s="3">
        <v>42570</v>
      </c>
      <c r="B1698" t="s">
        <v>23</v>
      </c>
      <c r="C1698">
        <v>112</v>
      </c>
      <c r="D1698">
        <v>4</v>
      </c>
      <c r="E1698">
        <v>2</v>
      </c>
      <c r="F1698" t="s">
        <v>24</v>
      </c>
      <c r="G1698" t="s">
        <v>25</v>
      </c>
      <c r="H1698" t="s">
        <v>26</v>
      </c>
      <c r="I1698" t="s">
        <v>47</v>
      </c>
      <c r="J1698" t="s">
        <v>56</v>
      </c>
    </row>
    <row r="1699" spans="1:10" x14ac:dyDescent="0.2">
      <c r="A1699" s="3">
        <v>42570</v>
      </c>
      <c r="B1699" t="s">
        <v>23</v>
      </c>
      <c r="C1699">
        <v>112</v>
      </c>
      <c r="D1699">
        <v>7</v>
      </c>
      <c r="E1699">
        <v>2</v>
      </c>
      <c r="F1699" t="s">
        <v>24</v>
      </c>
      <c r="G1699" t="s">
        <v>25</v>
      </c>
      <c r="H1699" t="s">
        <v>26</v>
      </c>
      <c r="I1699" t="s">
        <v>47</v>
      </c>
      <c r="J1699" t="s">
        <v>56</v>
      </c>
    </row>
    <row r="1700" spans="1:10" x14ac:dyDescent="0.2">
      <c r="A1700" s="3">
        <v>42571</v>
      </c>
      <c r="B1700" t="s">
        <v>23</v>
      </c>
      <c r="C1700">
        <v>203</v>
      </c>
      <c r="D1700">
        <v>1</v>
      </c>
      <c r="E1700">
        <v>1</v>
      </c>
      <c r="F1700" t="s">
        <v>33</v>
      </c>
      <c r="G1700" t="s">
        <v>25</v>
      </c>
      <c r="H1700" t="s">
        <v>26</v>
      </c>
      <c r="I1700" t="s">
        <v>47</v>
      </c>
      <c r="J1700" t="s">
        <v>56</v>
      </c>
    </row>
    <row r="1701" spans="1:10" x14ac:dyDescent="0.2">
      <c r="A1701" s="3">
        <v>42571</v>
      </c>
      <c r="B1701" t="s">
        <v>23</v>
      </c>
      <c r="C1701">
        <v>304</v>
      </c>
      <c r="D1701">
        <v>3</v>
      </c>
      <c r="E1701">
        <v>1</v>
      </c>
      <c r="F1701" t="s">
        <v>33</v>
      </c>
      <c r="G1701" t="s">
        <v>25</v>
      </c>
      <c r="H1701" t="s">
        <v>26</v>
      </c>
      <c r="I1701" t="s">
        <v>47</v>
      </c>
      <c r="J1701" t="s">
        <v>56</v>
      </c>
    </row>
    <row r="1702" spans="1:10" x14ac:dyDescent="0.2">
      <c r="A1702" s="3">
        <v>42571</v>
      </c>
      <c r="B1702" t="s">
        <v>23</v>
      </c>
      <c r="C1702">
        <v>304</v>
      </c>
      <c r="D1702">
        <v>10</v>
      </c>
      <c r="E1702">
        <v>1</v>
      </c>
      <c r="F1702" t="s">
        <v>33</v>
      </c>
      <c r="G1702" t="s">
        <v>25</v>
      </c>
      <c r="H1702" t="s">
        <v>26</v>
      </c>
      <c r="I1702" t="s">
        <v>47</v>
      </c>
      <c r="J1702" t="s">
        <v>56</v>
      </c>
    </row>
    <row r="1703" spans="1:10" x14ac:dyDescent="0.2">
      <c r="A1703" s="3">
        <v>42572</v>
      </c>
      <c r="B1703" t="s">
        <v>23</v>
      </c>
      <c r="C1703">
        <v>402</v>
      </c>
      <c r="D1703">
        <v>4</v>
      </c>
      <c r="E1703">
        <v>1</v>
      </c>
      <c r="F1703" t="s">
        <v>24</v>
      </c>
      <c r="G1703" t="s">
        <v>25</v>
      </c>
      <c r="H1703" t="s">
        <v>26</v>
      </c>
      <c r="I1703" t="s">
        <v>47</v>
      </c>
      <c r="J1703" t="s">
        <v>56</v>
      </c>
    </row>
    <row r="1704" spans="1:10" x14ac:dyDescent="0.2">
      <c r="A1704" s="3">
        <v>42572</v>
      </c>
      <c r="B1704" t="s">
        <v>23</v>
      </c>
      <c r="C1704">
        <v>402</v>
      </c>
      <c r="D1704">
        <v>10</v>
      </c>
      <c r="E1704">
        <v>1</v>
      </c>
      <c r="F1704" t="s">
        <v>24</v>
      </c>
      <c r="G1704" t="s">
        <v>25</v>
      </c>
      <c r="H1704" t="s">
        <v>26</v>
      </c>
      <c r="I1704" t="s">
        <v>47</v>
      </c>
      <c r="J1704" t="s">
        <v>56</v>
      </c>
    </row>
    <row r="1705" spans="1:10" x14ac:dyDescent="0.2">
      <c r="A1705" s="3">
        <v>42574</v>
      </c>
      <c r="B1705" t="s">
        <v>23</v>
      </c>
      <c r="C1705">
        <v>501</v>
      </c>
      <c r="D1705">
        <v>2</v>
      </c>
      <c r="E1705">
        <v>1</v>
      </c>
      <c r="F1705" t="s">
        <v>33</v>
      </c>
      <c r="G1705" t="s">
        <v>25</v>
      </c>
      <c r="H1705" t="s">
        <v>26</v>
      </c>
      <c r="I1705" t="s">
        <v>47</v>
      </c>
      <c r="J1705" t="s">
        <v>56</v>
      </c>
    </row>
    <row r="1706" spans="1:10" x14ac:dyDescent="0.2">
      <c r="A1706" s="3">
        <v>42574</v>
      </c>
      <c r="B1706" t="s">
        <v>23</v>
      </c>
      <c r="C1706">
        <v>503</v>
      </c>
      <c r="D1706">
        <v>5</v>
      </c>
      <c r="E1706">
        <v>1</v>
      </c>
      <c r="F1706" t="s">
        <v>33</v>
      </c>
      <c r="G1706" t="s">
        <v>25</v>
      </c>
      <c r="H1706" t="s">
        <v>26</v>
      </c>
      <c r="I1706" t="s">
        <v>47</v>
      </c>
      <c r="J1706" t="s">
        <v>206</v>
      </c>
    </row>
    <row r="1707" spans="1:10" x14ac:dyDescent="0.2">
      <c r="A1707" s="3">
        <v>42574</v>
      </c>
      <c r="B1707" t="s">
        <v>23</v>
      </c>
      <c r="C1707">
        <v>503</v>
      </c>
      <c r="D1707">
        <v>5</v>
      </c>
      <c r="E1707">
        <v>2</v>
      </c>
      <c r="F1707" t="s">
        <v>33</v>
      </c>
      <c r="G1707" t="s">
        <v>25</v>
      </c>
      <c r="H1707" t="s">
        <v>26</v>
      </c>
      <c r="I1707" t="s">
        <v>47</v>
      </c>
      <c r="J1707" t="s">
        <v>206</v>
      </c>
    </row>
    <row r="1708" spans="1:10" x14ac:dyDescent="0.2">
      <c r="A1708" s="3">
        <v>42574</v>
      </c>
      <c r="B1708" t="s">
        <v>23</v>
      </c>
      <c r="C1708">
        <v>303</v>
      </c>
      <c r="D1708">
        <v>4</v>
      </c>
      <c r="E1708">
        <v>2</v>
      </c>
      <c r="F1708" t="s">
        <v>33</v>
      </c>
      <c r="G1708" t="s">
        <v>25</v>
      </c>
      <c r="H1708" t="s">
        <v>26</v>
      </c>
      <c r="I1708" t="s">
        <v>47</v>
      </c>
      <c r="J1708" t="s">
        <v>56</v>
      </c>
    </row>
    <row r="1709" spans="1:10" x14ac:dyDescent="0.2">
      <c r="A1709" s="3">
        <v>42574</v>
      </c>
      <c r="B1709" t="s">
        <v>23</v>
      </c>
      <c r="C1709">
        <v>303</v>
      </c>
      <c r="D1709">
        <v>7</v>
      </c>
      <c r="E1709">
        <v>2</v>
      </c>
      <c r="F1709" t="s">
        <v>33</v>
      </c>
      <c r="G1709" t="s">
        <v>25</v>
      </c>
      <c r="H1709" t="s">
        <v>26</v>
      </c>
      <c r="I1709" t="s">
        <v>47</v>
      </c>
      <c r="J1709" t="s">
        <v>56</v>
      </c>
    </row>
    <row r="1710" spans="1:10" x14ac:dyDescent="0.2">
      <c r="A1710" s="3">
        <v>42574</v>
      </c>
      <c r="B1710" t="s">
        <v>23</v>
      </c>
      <c r="C1710">
        <v>303</v>
      </c>
      <c r="D1710">
        <v>10</v>
      </c>
      <c r="E1710">
        <v>1</v>
      </c>
      <c r="F1710" t="s">
        <v>33</v>
      </c>
      <c r="G1710" t="s">
        <v>25</v>
      </c>
      <c r="H1710" t="s">
        <v>26</v>
      </c>
      <c r="I1710" t="s">
        <v>47</v>
      </c>
      <c r="J1710" t="s">
        <v>56</v>
      </c>
    </row>
    <row r="1711" spans="1:10" x14ac:dyDescent="0.2">
      <c r="A1711" s="3">
        <v>42574</v>
      </c>
      <c r="B1711" t="s">
        <v>23</v>
      </c>
      <c r="C1711">
        <v>401</v>
      </c>
      <c r="D1711">
        <v>6</v>
      </c>
      <c r="E1711">
        <v>1</v>
      </c>
      <c r="F1711" t="s">
        <v>33</v>
      </c>
      <c r="G1711" t="s">
        <v>25</v>
      </c>
      <c r="H1711" t="s">
        <v>26</v>
      </c>
      <c r="I1711" t="s">
        <v>47</v>
      </c>
      <c r="J1711" t="s">
        <v>56</v>
      </c>
    </row>
    <row r="1712" spans="1:10" x14ac:dyDescent="0.2">
      <c r="A1712" s="3">
        <v>42574</v>
      </c>
      <c r="B1712" t="s">
        <v>23</v>
      </c>
      <c r="C1712">
        <v>703</v>
      </c>
      <c r="D1712">
        <v>9</v>
      </c>
      <c r="E1712">
        <v>2</v>
      </c>
      <c r="F1712" t="s">
        <v>24</v>
      </c>
      <c r="G1712" t="s">
        <v>25</v>
      </c>
      <c r="H1712" t="s">
        <v>26</v>
      </c>
      <c r="I1712" t="s">
        <v>47</v>
      </c>
      <c r="J1712" t="s">
        <v>56</v>
      </c>
    </row>
    <row r="1713" spans="1:29" x14ac:dyDescent="0.2">
      <c r="A1713" s="3">
        <v>42574</v>
      </c>
      <c r="B1713" t="s">
        <v>23</v>
      </c>
      <c r="C1713">
        <v>701</v>
      </c>
      <c r="D1713">
        <v>4</v>
      </c>
      <c r="E1713">
        <v>2</v>
      </c>
      <c r="F1713" t="s">
        <v>24</v>
      </c>
      <c r="G1713" t="s">
        <v>25</v>
      </c>
      <c r="H1713" t="s">
        <v>26</v>
      </c>
      <c r="I1713" t="s">
        <v>47</v>
      </c>
      <c r="J1713" t="s">
        <v>56</v>
      </c>
    </row>
    <row r="1714" spans="1:29" x14ac:dyDescent="0.2">
      <c r="A1714" s="3">
        <v>42574</v>
      </c>
      <c r="B1714" t="s">
        <v>23</v>
      </c>
      <c r="C1714">
        <v>701</v>
      </c>
      <c r="D1714">
        <v>5</v>
      </c>
      <c r="E1714">
        <v>2</v>
      </c>
      <c r="F1714" t="s">
        <v>24</v>
      </c>
      <c r="G1714" t="s">
        <v>25</v>
      </c>
      <c r="H1714" t="s">
        <v>26</v>
      </c>
      <c r="I1714" t="s">
        <v>47</v>
      </c>
      <c r="J1714" t="s">
        <v>56</v>
      </c>
    </row>
    <row r="1715" spans="1:29" x14ac:dyDescent="0.2">
      <c r="A1715" s="3">
        <v>42574</v>
      </c>
      <c r="B1715" t="s">
        <v>23</v>
      </c>
      <c r="C1715">
        <v>801</v>
      </c>
      <c r="D1715">
        <v>7</v>
      </c>
      <c r="E1715">
        <v>1</v>
      </c>
      <c r="F1715" t="s">
        <v>24</v>
      </c>
      <c r="G1715" t="s">
        <v>25</v>
      </c>
      <c r="H1715" t="s">
        <v>26</v>
      </c>
      <c r="I1715" t="s">
        <v>47</v>
      </c>
      <c r="J1715" t="s">
        <v>56</v>
      </c>
      <c r="AB1715" t="s">
        <v>582</v>
      </c>
      <c r="AC1715" t="s">
        <v>59</v>
      </c>
    </row>
    <row r="1716" spans="1:29" x14ac:dyDescent="0.2">
      <c r="A1716" s="3">
        <v>42575</v>
      </c>
      <c r="B1716" t="s">
        <v>23</v>
      </c>
      <c r="C1716">
        <v>501</v>
      </c>
      <c r="D1716">
        <v>8</v>
      </c>
      <c r="E1716">
        <v>2</v>
      </c>
      <c r="F1716" t="s">
        <v>33</v>
      </c>
      <c r="G1716" t="s">
        <v>25</v>
      </c>
      <c r="H1716" t="s">
        <v>26</v>
      </c>
      <c r="I1716" t="s">
        <v>47</v>
      </c>
      <c r="J1716" t="s">
        <v>56</v>
      </c>
    </row>
    <row r="1717" spans="1:29" x14ac:dyDescent="0.2">
      <c r="A1717" s="3">
        <v>42575</v>
      </c>
      <c r="B1717" t="s">
        <v>23</v>
      </c>
      <c r="C1717">
        <v>503</v>
      </c>
      <c r="D1717">
        <v>6</v>
      </c>
      <c r="E1717">
        <v>1</v>
      </c>
      <c r="F1717" t="s">
        <v>33</v>
      </c>
      <c r="G1717" t="s">
        <v>25</v>
      </c>
      <c r="H1717" t="s">
        <v>26</v>
      </c>
      <c r="I1717" t="s">
        <v>47</v>
      </c>
      <c r="J1717" t="s">
        <v>56</v>
      </c>
    </row>
    <row r="1718" spans="1:29" x14ac:dyDescent="0.2">
      <c r="A1718" s="3">
        <v>42575</v>
      </c>
      <c r="B1718" t="s">
        <v>23</v>
      </c>
      <c r="C1718">
        <v>503</v>
      </c>
      <c r="D1718">
        <v>10</v>
      </c>
      <c r="E1718">
        <v>1</v>
      </c>
      <c r="F1718" t="s">
        <v>33</v>
      </c>
      <c r="G1718" t="s">
        <v>25</v>
      </c>
      <c r="H1718" t="s">
        <v>26</v>
      </c>
      <c r="I1718" t="s">
        <v>47</v>
      </c>
      <c r="J1718" t="s">
        <v>56</v>
      </c>
    </row>
    <row r="1719" spans="1:29" x14ac:dyDescent="0.2">
      <c r="A1719" s="3">
        <v>42575</v>
      </c>
      <c r="B1719" t="s">
        <v>23</v>
      </c>
      <c r="C1719">
        <v>401</v>
      </c>
      <c r="D1719">
        <v>5</v>
      </c>
      <c r="E1719">
        <v>2</v>
      </c>
      <c r="F1719" t="s">
        <v>33</v>
      </c>
      <c r="G1719" t="s">
        <v>25</v>
      </c>
      <c r="H1719" t="s">
        <v>26</v>
      </c>
      <c r="I1719" t="s">
        <v>47</v>
      </c>
      <c r="J1719" t="s">
        <v>56</v>
      </c>
    </row>
    <row r="1720" spans="1:29" x14ac:dyDescent="0.2">
      <c r="A1720" s="3">
        <v>42575</v>
      </c>
      <c r="B1720" t="s">
        <v>23</v>
      </c>
      <c r="C1720">
        <v>703</v>
      </c>
      <c r="D1720">
        <v>10</v>
      </c>
      <c r="E1720">
        <v>1</v>
      </c>
      <c r="F1720" t="s">
        <v>24</v>
      </c>
      <c r="G1720" t="s">
        <v>25</v>
      </c>
      <c r="H1720" t="s">
        <v>26</v>
      </c>
      <c r="I1720" t="s">
        <v>47</v>
      </c>
      <c r="J1720" t="s">
        <v>206</v>
      </c>
    </row>
    <row r="1721" spans="1:29" x14ac:dyDescent="0.2">
      <c r="A1721" s="3">
        <v>42575</v>
      </c>
      <c r="B1721" t="s">
        <v>23</v>
      </c>
      <c r="C1721">
        <v>701</v>
      </c>
      <c r="D1721">
        <v>8</v>
      </c>
      <c r="E1721">
        <v>1</v>
      </c>
      <c r="F1721" t="s">
        <v>24</v>
      </c>
      <c r="G1721" t="s">
        <v>25</v>
      </c>
      <c r="H1721" t="s">
        <v>26</v>
      </c>
      <c r="I1721" t="s">
        <v>47</v>
      </c>
      <c r="J1721" t="s">
        <v>56</v>
      </c>
    </row>
    <row r="1722" spans="1:29" x14ac:dyDescent="0.2">
      <c r="A1722" s="3">
        <v>42576</v>
      </c>
      <c r="B1722" t="s">
        <v>23</v>
      </c>
      <c r="C1722">
        <v>501</v>
      </c>
      <c r="D1722">
        <v>4</v>
      </c>
      <c r="E1722">
        <v>2</v>
      </c>
      <c r="F1722" t="s">
        <v>33</v>
      </c>
      <c r="G1722" t="s">
        <v>25</v>
      </c>
      <c r="H1722" t="s">
        <v>26</v>
      </c>
      <c r="I1722" t="s">
        <v>47</v>
      </c>
      <c r="J1722" t="s">
        <v>56</v>
      </c>
    </row>
    <row r="1723" spans="1:29" x14ac:dyDescent="0.2">
      <c r="A1723" s="3">
        <v>42576</v>
      </c>
      <c r="B1723" t="s">
        <v>23</v>
      </c>
      <c r="C1723">
        <v>501</v>
      </c>
      <c r="D1723">
        <v>8</v>
      </c>
      <c r="E1723">
        <v>1</v>
      </c>
      <c r="F1723" t="s">
        <v>33</v>
      </c>
      <c r="G1723" t="s">
        <v>25</v>
      </c>
      <c r="H1723" t="s">
        <v>26</v>
      </c>
      <c r="I1723" t="s">
        <v>47</v>
      </c>
      <c r="J1723" t="s">
        <v>56</v>
      </c>
    </row>
    <row r="1724" spans="1:29" x14ac:dyDescent="0.2">
      <c r="A1724" s="3">
        <v>42576</v>
      </c>
      <c r="B1724" t="s">
        <v>23</v>
      </c>
      <c r="C1724">
        <v>303</v>
      </c>
      <c r="D1724">
        <v>1</v>
      </c>
      <c r="E1724">
        <v>2</v>
      </c>
      <c r="F1724" t="s">
        <v>33</v>
      </c>
      <c r="G1724" t="s">
        <v>25</v>
      </c>
      <c r="H1724" t="s">
        <v>26</v>
      </c>
      <c r="I1724" t="s">
        <v>47</v>
      </c>
      <c r="J1724" t="s">
        <v>56</v>
      </c>
    </row>
    <row r="1725" spans="1:29" x14ac:dyDescent="0.2">
      <c r="A1725" s="3">
        <v>42576</v>
      </c>
      <c r="B1725" t="s">
        <v>23</v>
      </c>
      <c r="C1725">
        <v>303</v>
      </c>
      <c r="D1725">
        <v>4</v>
      </c>
      <c r="E1725">
        <v>1</v>
      </c>
      <c r="F1725" t="s">
        <v>33</v>
      </c>
      <c r="G1725" t="s">
        <v>25</v>
      </c>
      <c r="H1725" t="s">
        <v>26</v>
      </c>
      <c r="I1725" t="s">
        <v>47</v>
      </c>
      <c r="J1725" t="s">
        <v>206</v>
      </c>
    </row>
    <row r="1726" spans="1:29" x14ac:dyDescent="0.2">
      <c r="A1726" s="3">
        <v>42576</v>
      </c>
      <c r="B1726" t="s">
        <v>23</v>
      </c>
      <c r="C1726">
        <v>401</v>
      </c>
      <c r="D1726">
        <v>5</v>
      </c>
      <c r="E1726">
        <v>1</v>
      </c>
      <c r="F1726" t="s">
        <v>33</v>
      </c>
      <c r="G1726" t="s">
        <v>25</v>
      </c>
      <c r="H1726" t="s">
        <v>26</v>
      </c>
      <c r="I1726" t="s">
        <v>47</v>
      </c>
      <c r="J1726" t="s">
        <v>56</v>
      </c>
    </row>
    <row r="1727" spans="1:29" x14ac:dyDescent="0.2">
      <c r="A1727" s="3">
        <v>42576</v>
      </c>
      <c r="B1727" t="s">
        <v>23</v>
      </c>
      <c r="C1727">
        <v>701</v>
      </c>
      <c r="D1727">
        <v>1</v>
      </c>
      <c r="E1727">
        <v>1</v>
      </c>
      <c r="F1727" t="s">
        <v>66</v>
      </c>
      <c r="G1727" t="s">
        <v>25</v>
      </c>
      <c r="H1727" t="s">
        <v>26</v>
      </c>
      <c r="I1727" t="s">
        <v>47</v>
      </c>
      <c r="J1727" t="s">
        <v>56</v>
      </c>
    </row>
    <row r="1728" spans="1:29" x14ac:dyDescent="0.2">
      <c r="A1728" s="3">
        <v>42576</v>
      </c>
      <c r="B1728" t="s">
        <v>23</v>
      </c>
      <c r="C1728">
        <v>701</v>
      </c>
      <c r="D1728">
        <v>8</v>
      </c>
      <c r="E1728">
        <v>2</v>
      </c>
      <c r="F1728" t="s">
        <v>66</v>
      </c>
      <c r="G1728" t="s">
        <v>25</v>
      </c>
      <c r="H1728" t="s">
        <v>26</v>
      </c>
      <c r="I1728" t="s">
        <v>47</v>
      </c>
      <c r="J1728" t="s">
        <v>56</v>
      </c>
    </row>
    <row r="1729" spans="1:29" x14ac:dyDescent="0.2">
      <c r="A1729" s="3">
        <v>42576</v>
      </c>
      <c r="B1729" t="s">
        <v>23</v>
      </c>
      <c r="C1729">
        <v>701</v>
      </c>
      <c r="D1729">
        <v>9</v>
      </c>
      <c r="E1729">
        <v>1</v>
      </c>
      <c r="F1729" t="s">
        <v>66</v>
      </c>
      <c r="G1729" t="s">
        <v>25</v>
      </c>
      <c r="H1729" t="s">
        <v>26</v>
      </c>
      <c r="I1729" t="s">
        <v>47</v>
      </c>
      <c r="J1729" t="s">
        <v>206</v>
      </c>
    </row>
    <row r="1730" spans="1:29" x14ac:dyDescent="0.2">
      <c r="A1730" s="3">
        <v>42576</v>
      </c>
      <c r="B1730" t="s">
        <v>23</v>
      </c>
      <c r="C1730">
        <v>801</v>
      </c>
      <c r="D1730">
        <v>8</v>
      </c>
      <c r="E1730">
        <v>1</v>
      </c>
      <c r="F1730" t="s">
        <v>66</v>
      </c>
      <c r="G1730" t="s">
        <v>25</v>
      </c>
      <c r="H1730" t="s">
        <v>26</v>
      </c>
      <c r="I1730" t="s">
        <v>47</v>
      </c>
      <c r="J1730" t="s">
        <v>56</v>
      </c>
    </row>
    <row r="1731" spans="1:29" x14ac:dyDescent="0.2">
      <c r="A1731" s="3">
        <v>42584</v>
      </c>
      <c r="B1731" t="s">
        <v>23</v>
      </c>
      <c r="C1731">
        <v>113</v>
      </c>
      <c r="D1731">
        <v>3</v>
      </c>
      <c r="E1731">
        <v>1</v>
      </c>
      <c r="F1731" t="s">
        <v>33</v>
      </c>
      <c r="G1731" t="s">
        <v>25</v>
      </c>
      <c r="H1731" t="s">
        <v>26</v>
      </c>
      <c r="I1731" t="s">
        <v>47</v>
      </c>
      <c r="J1731" t="s">
        <v>56</v>
      </c>
    </row>
    <row r="1732" spans="1:29" x14ac:dyDescent="0.2">
      <c r="A1732" s="3">
        <v>42584</v>
      </c>
      <c r="B1732" t="s">
        <v>23</v>
      </c>
      <c r="C1732">
        <v>203</v>
      </c>
      <c r="D1732">
        <v>1</v>
      </c>
      <c r="E1732">
        <v>2</v>
      </c>
      <c r="F1732" t="s">
        <v>24</v>
      </c>
      <c r="G1732" t="s">
        <v>25</v>
      </c>
      <c r="H1732" t="s">
        <v>26</v>
      </c>
      <c r="I1732" t="s">
        <v>47</v>
      </c>
      <c r="J1732" t="s">
        <v>56</v>
      </c>
      <c r="AB1732" t="s">
        <v>44</v>
      </c>
      <c r="AC1732" t="s">
        <v>59</v>
      </c>
    </row>
    <row r="1733" spans="1:29" x14ac:dyDescent="0.2">
      <c r="A1733" s="3">
        <v>42584</v>
      </c>
      <c r="B1733" t="s">
        <v>23</v>
      </c>
      <c r="C1733">
        <v>202</v>
      </c>
      <c r="D1733">
        <v>4</v>
      </c>
      <c r="E1733">
        <v>2</v>
      </c>
      <c r="F1733" t="s">
        <v>24</v>
      </c>
      <c r="G1733" t="s">
        <v>25</v>
      </c>
      <c r="H1733" t="s">
        <v>26</v>
      </c>
      <c r="I1733" t="s">
        <v>47</v>
      </c>
      <c r="J1733" t="s">
        <v>56</v>
      </c>
    </row>
    <row r="1734" spans="1:29" x14ac:dyDescent="0.2">
      <c r="A1734" s="3">
        <v>42584</v>
      </c>
      <c r="B1734" t="s">
        <v>23</v>
      </c>
      <c r="C1734">
        <v>202</v>
      </c>
      <c r="D1734">
        <v>8</v>
      </c>
      <c r="E1734">
        <v>2</v>
      </c>
      <c r="F1734" t="s">
        <v>24</v>
      </c>
      <c r="G1734" t="s">
        <v>25</v>
      </c>
      <c r="H1734" t="s">
        <v>26</v>
      </c>
      <c r="I1734" t="s">
        <v>47</v>
      </c>
      <c r="J1734" t="s">
        <v>56</v>
      </c>
    </row>
    <row r="1735" spans="1:29" x14ac:dyDescent="0.2">
      <c r="A1735" s="3">
        <v>42584</v>
      </c>
      <c r="B1735" t="s">
        <v>23</v>
      </c>
      <c r="C1735">
        <v>304</v>
      </c>
      <c r="D1735">
        <v>9</v>
      </c>
      <c r="E1735">
        <v>1</v>
      </c>
      <c r="F1735" t="s">
        <v>24</v>
      </c>
      <c r="G1735" t="s">
        <v>25</v>
      </c>
      <c r="H1735" t="s">
        <v>26</v>
      </c>
      <c r="I1735" t="s">
        <v>47</v>
      </c>
      <c r="J1735" t="s">
        <v>56</v>
      </c>
    </row>
    <row r="1736" spans="1:29" x14ac:dyDescent="0.2">
      <c r="A1736" s="3">
        <v>42584</v>
      </c>
      <c r="B1736" t="s">
        <v>23</v>
      </c>
      <c r="C1736">
        <v>304</v>
      </c>
      <c r="D1736">
        <v>6</v>
      </c>
      <c r="E1736">
        <v>2</v>
      </c>
      <c r="F1736" t="s">
        <v>24</v>
      </c>
      <c r="G1736" t="s">
        <v>25</v>
      </c>
      <c r="H1736" t="s">
        <v>26</v>
      </c>
      <c r="I1736" t="s">
        <v>47</v>
      </c>
      <c r="J1736" t="s">
        <v>56</v>
      </c>
    </row>
    <row r="1737" spans="1:29" x14ac:dyDescent="0.2">
      <c r="A1737" s="3">
        <v>42584</v>
      </c>
      <c r="B1737" t="s">
        <v>23</v>
      </c>
      <c r="C1737">
        <v>304</v>
      </c>
      <c r="D1737">
        <v>5</v>
      </c>
      <c r="E1737">
        <v>2</v>
      </c>
      <c r="F1737" t="s">
        <v>24</v>
      </c>
      <c r="G1737" t="s">
        <v>25</v>
      </c>
      <c r="H1737" t="s">
        <v>26</v>
      </c>
      <c r="I1737" t="s">
        <v>47</v>
      </c>
      <c r="J1737" t="s">
        <v>56</v>
      </c>
    </row>
    <row r="1738" spans="1:29" x14ac:dyDescent="0.2">
      <c r="A1738" s="3">
        <v>42585</v>
      </c>
      <c r="B1738" t="s">
        <v>23</v>
      </c>
      <c r="C1738">
        <v>203</v>
      </c>
      <c r="D1738">
        <v>1</v>
      </c>
      <c r="E1738">
        <v>1</v>
      </c>
      <c r="F1738" t="s">
        <v>24</v>
      </c>
      <c r="G1738" t="s">
        <v>25</v>
      </c>
      <c r="H1738" t="s">
        <v>26</v>
      </c>
      <c r="I1738" t="s">
        <v>47</v>
      </c>
      <c r="J1738" t="s">
        <v>56</v>
      </c>
    </row>
    <row r="1739" spans="1:29" x14ac:dyDescent="0.2">
      <c r="A1739" s="3">
        <v>42585</v>
      </c>
      <c r="B1739" t="s">
        <v>23</v>
      </c>
      <c r="C1739">
        <v>203</v>
      </c>
      <c r="D1739">
        <v>6</v>
      </c>
      <c r="E1739">
        <v>1</v>
      </c>
      <c r="F1739" t="s">
        <v>24</v>
      </c>
      <c r="G1739" t="s">
        <v>25</v>
      </c>
      <c r="H1739" t="s">
        <v>26</v>
      </c>
      <c r="I1739" t="s">
        <v>47</v>
      </c>
      <c r="J1739" t="s">
        <v>56</v>
      </c>
    </row>
    <row r="1740" spans="1:29" x14ac:dyDescent="0.2">
      <c r="A1740" s="3">
        <v>42585</v>
      </c>
      <c r="B1740" t="s">
        <v>23</v>
      </c>
      <c r="C1740">
        <v>403</v>
      </c>
      <c r="D1740">
        <v>5</v>
      </c>
      <c r="E1740">
        <v>1</v>
      </c>
      <c r="F1740" t="s">
        <v>24</v>
      </c>
      <c r="G1740" t="s">
        <v>25</v>
      </c>
      <c r="H1740" t="s">
        <v>26</v>
      </c>
      <c r="I1740" t="s">
        <v>47</v>
      </c>
      <c r="J1740" t="s">
        <v>56</v>
      </c>
    </row>
    <row r="1741" spans="1:29" x14ac:dyDescent="0.2">
      <c r="A1741" s="3">
        <v>42585</v>
      </c>
      <c r="B1741" t="s">
        <v>23</v>
      </c>
      <c r="C1741">
        <v>113</v>
      </c>
      <c r="D1741">
        <v>3</v>
      </c>
      <c r="E1741">
        <v>2</v>
      </c>
      <c r="F1741" t="s">
        <v>64</v>
      </c>
      <c r="G1741" t="s">
        <v>25</v>
      </c>
      <c r="H1741" t="s">
        <v>26</v>
      </c>
      <c r="I1741" t="s">
        <v>47</v>
      </c>
      <c r="J1741" t="s">
        <v>56</v>
      </c>
    </row>
    <row r="1742" spans="1:29" x14ac:dyDescent="0.2">
      <c r="A1742" s="3">
        <v>42585</v>
      </c>
      <c r="B1742" t="s">
        <v>23</v>
      </c>
      <c r="C1742">
        <v>304</v>
      </c>
      <c r="D1742">
        <v>10</v>
      </c>
      <c r="E1742">
        <v>2</v>
      </c>
      <c r="F1742" t="s">
        <v>64</v>
      </c>
      <c r="G1742" t="s">
        <v>25</v>
      </c>
      <c r="H1742" t="s">
        <v>26</v>
      </c>
      <c r="I1742" t="s">
        <v>47</v>
      </c>
      <c r="J1742" t="s">
        <v>56</v>
      </c>
    </row>
    <row r="1743" spans="1:29" x14ac:dyDescent="0.2">
      <c r="A1743" s="3">
        <v>42585</v>
      </c>
      <c r="B1743" t="s">
        <v>23</v>
      </c>
      <c r="C1743">
        <v>304</v>
      </c>
      <c r="D1743">
        <v>3</v>
      </c>
      <c r="E1743">
        <v>1</v>
      </c>
      <c r="F1743" t="s">
        <v>64</v>
      </c>
      <c r="G1743" t="s">
        <v>25</v>
      </c>
      <c r="H1743" t="s">
        <v>26</v>
      </c>
      <c r="I1743" t="s">
        <v>47</v>
      </c>
      <c r="J1743" t="s">
        <v>56</v>
      </c>
    </row>
    <row r="1744" spans="1:29" x14ac:dyDescent="0.2">
      <c r="A1744" s="3">
        <v>42586</v>
      </c>
      <c r="B1744" t="s">
        <v>23</v>
      </c>
      <c r="C1744">
        <v>203</v>
      </c>
      <c r="D1744">
        <v>6</v>
      </c>
      <c r="E1744">
        <v>1</v>
      </c>
      <c r="F1744" t="s">
        <v>24</v>
      </c>
      <c r="G1744" t="s">
        <v>25</v>
      </c>
      <c r="H1744" t="s">
        <v>26</v>
      </c>
      <c r="I1744" t="s">
        <v>47</v>
      </c>
      <c r="J1744" t="s">
        <v>56</v>
      </c>
      <c r="AB1744" t="s">
        <v>44</v>
      </c>
      <c r="AC1744" t="s">
        <v>59</v>
      </c>
    </row>
    <row r="1745" spans="1:29" x14ac:dyDescent="0.2">
      <c r="A1745" s="3">
        <v>42586</v>
      </c>
      <c r="B1745" t="s">
        <v>23</v>
      </c>
      <c r="C1745">
        <v>112</v>
      </c>
      <c r="D1745">
        <v>3</v>
      </c>
      <c r="E1745">
        <v>1</v>
      </c>
      <c r="F1745" t="s">
        <v>64</v>
      </c>
      <c r="G1745" t="s">
        <v>25</v>
      </c>
      <c r="H1745" t="s">
        <v>26</v>
      </c>
      <c r="I1745" t="s">
        <v>47</v>
      </c>
      <c r="J1745" t="s">
        <v>56</v>
      </c>
    </row>
    <row r="1746" spans="1:29" x14ac:dyDescent="0.2">
      <c r="A1746" s="3">
        <v>42588</v>
      </c>
      <c r="B1746" t="s">
        <v>23</v>
      </c>
      <c r="C1746">
        <v>113</v>
      </c>
      <c r="D1746">
        <v>8</v>
      </c>
      <c r="E1746">
        <v>1</v>
      </c>
      <c r="F1746" t="s">
        <v>24</v>
      </c>
      <c r="G1746" t="s">
        <v>25</v>
      </c>
      <c r="H1746" t="s">
        <v>26</v>
      </c>
      <c r="I1746" t="s">
        <v>47</v>
      </c>
      <c r="J1746" t="s">
        <v>56</v>
      </c>
      <c r="AB1746" t="s">
        <v>121</v>
      </c>
      <c r="AC1746" t="s">
        <v>59</v>
      </c>
    </row>
    <row r="1747" spans="1:29" x14ac:dyDescent="0.2">
      <c r="A1747" s="3">
        <v>42588</v>
      </c>
      <c r="B1747" t="s">
        <v>23</v>
      </c>
      <c r="C1747">
        <v>113</v>
      </c>
      <c r="D1747">
        <v>3</v>
      </c>
      <c r="E1747">
        <v>1</v>
      </c>
      <c r="F1747" t="s">
        <v>64</v>
      </c>
      <c r="G1747" t="s">
        <v>25</v>
      </c>
      <c r="H1747" t="s">
        <v>26</v>
      </c>
      <c r="I1747" t="s">
        <v>47</v>
      </c>
      <c r="J1747" t="s">
        <v>56</v>
      </c>
    </row>
    <row r="1748" spans="1:29" x14ac:dyDescent="0.2">
      <c r="A1748" s="3">
        <v>42589</v>
      </c>
      <c r="B1748" t="s">
        <v>23</v>
      </c>
      <c r="C1748">
        <v>402</v>
      </c>
      <c r="D1748">
        <v>4</v>
      </c>
      <c r="E1748">
        <v>1</v>
      </c>
      <c r="F1748" t="s">
        <v>64</v>
      </c>
      <c r="G1748" t="s">
        <v>25</v>
      </c>
      <c r="H1748" t="s">
        <v>26</v>
      </c>
      <c r="I1748" t="s">
        <v>47</v>
      </c>
      <c r="J1748" t="s">
        <v>56</v>
      </c>
    </row>
    <row r="1749" spans="1:29" x14ac:dyDescent="0.2">
      <c r="A1749" s="3">
        <v>42589</v>
      </c>
      <c r="B1749" t="s">
        <v>23</v>
      </c>
      <c r="C1749">
        <v>402</v>
      </c>
      <c r="D1749">
        <v>8</v>
      </c>
      <c r="E1749">
        <v>1</v>
      </c>
      <c r="F1749" t="s">
        <v>64</v>
      </c>
      <c r="G1749" t="s">
        <v>25</v>
      </c>
      <c r="H1749" t="s">
        <v>26</v>
      </c>
      <c r="I1749" t="s">
        <v>47</v>
      </c>
      <c r="J1749" t="s">
        <v>56</v>
      </c>
    </row>
    <row r="1750" spans="1:29" x14ac:dyDescent="0.2">
      <c r="A1750" s="3">
        <v>42591</v>
      </c>
      <c r="B1750" t="s">
        <v>23</v>
      </c>
      <c r="C1750">
        <v>501</v>
      </c>
      <c r="D1750">
        <v>4</v>
      </c>
      <c r="E1750">
        <v>1</v>
      </c>
      <c r="F1750" t="s">
        <v>24</v>
      </c>
      <c r="G1750" t="s">
        <v>25</v>
      </c>
      <c r="H1750" t="s">
        <v>26</v>
      </c>
      <c r="I1750" t="s">
        <v>47</v>
      </c>
      <c r="J1750" t="s">
        <v>56</v>
      </c>
    </row>
    <row r="1751" spans="1:29" x14ac:dyDescent="0.2">
      <c r="A1751" s="3">
        <v>42591</v>
      </c>
      <c r="B1751" t="s">
        <v>23</v>
      </c>
      <c r="C1751">
        <v>501</v>
      </c>
      <c r="D1751">
        <v>8</v>
      </c>
      <c r="E1751">
        <v>2</v>
      </c>
      <c r="F1751" t="s">
        <v>24</v>
      </c>
      <c r="G1751" t="s">
        <v>25</v>
      </c>
      <c r="H1751" t="s">
        <v>26</v>
      </c>
      <c r="I1751" t="s">
        <v>47</v>
      </c>
      <c r="J1751" t="s">
        <v>56</v>
      </c>
    </row>
    <row r="1752" spans="1:29" x14ac:dyDescent="0.2">
      <c r="A1752" s="3">
        <v>42591</v>
      </c>
      <c r="B1752" t="s">
        <v>23</v>
      </c>
      <c r="C1752">
        <v>501</v>
      </c>
      <c r="D1752">
        <v>9</v>
      </c>
      <c r="E1752">
        <v>2</v>
      </c>
      <c r="F1752" t="s">
        <v>24</v>
      </c>
      <c r="G1752" t="s">
        <v>25</v>
      </c>
      <c r="H1752" t="s">
        <v>26</v>
      </c>
      <c r="I1752" t="s">
        <v>47</v>
      </c>
      <c r="J1752" t="s">
        <v>56</v>
      </c>
    </row>
    <row r="1753" spans="1:29" x14ac:dyDescent="0.2">
      <c r="A1753" s="3">
        <v>42591</v>
      </c>
      <c r="B1753" t="s">
        <v>23</v>
      </c>
      <c r="C1753">
        <v>503</v>
      </c>
      <c r="D1753">
        <v>4</v>
      </c>
      <c r="E1753">
        <v>2</v>
      </c>
      <c r="F1753" t="s">
        <v>24</v>
      </c>
      <c r="G1753" t="s">
        <v>25</v>
      </c>
      <c r="H1753" t="s">
        <v>26</v>
      </c>
      <c r="I1753" t="s">
        <v>47</v>
      </c>
      <c r="J1753" t="s">
        <v>206</v>
      </c>
    </row>
    <row r="1754" spans="1:29" x14ac:dyDescent="0.2">
      <c r="A1754" s="3">
        <v>42591</v>
      </c>
      <c r="B1754" t="s">
        <v>23</v>
      </c>
      <c r="C1754">
        <v>503</v>
      </c>
      <c r="D1754">
        <v>10</v>
      </c>
      <c r="E1754">
        <v>2</v>
      </c>
      <c r="F1754" t="s">
        <v>24</v>
      </c>
      <c r="G1754" t="s">
        <v>25</v>
      </c>
      <c r="H1754" t="s">
        <v>26</v>
      </c>
      <c r="I1754" t="s">
        <v>47</v>
      </c>
      <c r="J1754" t="s">
        <v>56</v>
      </c>
    </row>
    <row r="1755" spans="1:29" x14ac:dyDescent="0.2">
      <c r="A1755" s="3">
        <v>42591</v>
      </c>
      <c r="B1755" t="s">
        <v>23</v>
      </c>
      <c r="C1755">
        <v>303</v>
      </c>
      <c r="D1755">
        <v>4</v>
      </c>
      <c r="E1755">
        <v>1</v>
      </c>
      <c r="F1755" t="s">
        <v>24</v>
      </c>
      <c r="G1755" t="s">
        <v>25</v>
      </c>
      <c r="H1755" t="s">
        <v>26</v>
      </c>
      <c r="I1755" t="s">
        <v>47</v>
      </c>
      <c r="J1755" t="s">
        <v>56</v>
      </c>
    </row>
    <row r="1756" spans="1:29" x14ac:dyDescent="0.2">
      <c r="A1756" s="3">
        <v>42591</v>
      </c>
      <c r="B1756" t="s">
        <v>23</v>
      </c>
      <c r="C1756">
        <v>303</v>
      </c>
      <c r="D1756">
        <v>4</v>
      </c>
      <c r="E1756">
        <v>2</v>
      </c>
      <c r="F1756" t="s">
        <v>24</v>
      </c>
      <c r="G1756" t="s">
        <v>25</v>
      </c>
      <c r="H1756" t="s">
        <v>26</v>
      </c>
      <c r="I1756" t="s">
        <v>47</v>
      </c>
      <c r="J1756" t="s">
        <v>56</v>
      </c>
    </row>
    <row r="1757" spans="1:29" x14ac:dyDescent="0.2">
      <c r="A1757" s="3">
        <v>42591</v>
      </c>
      <c r="B1757" t="s">
        <v>23</v>
      </c>
      <c r="C1757">
        <v>303</v>
      </c>
      <c r="D1757">
        <v>7</v>
      </c>
      <c r="E1757">
        <v>1</v>
      </c>
      <c r="F1757" t="s">
        <v>24</v>
      </c>
      <c r="G1757" t="s">
        <v>25</v>
      </c>
      <c r="H1757" t="s">
        <v>26</v>
      </c>
      <c r="I1757" t="s">
        <v>47</v>
      </c>
      <c r="J1757" t="s">
        <v>56</v>
      </c>
    </row>
    <row r="1758" spans="1:29" x14ac:dyDescent="0.2">
      <c r="A1758" s="3">
        <v>42591</v>
      </c>
      <c r="B1758" t="s">
        <v>23</v>
      </c>
      <c r="C1758">
        <v>401</v>
      </c>
      <c r="D1758">
        <v>2</v>
      </c>
      <c r="E1758">
        <v>1</v>
      </c>
      <c r="F1758" t="s">
        <v>24</v>
      </c>
      <c r="G1758" t="s">
        <v>25</v>
      </c>
      <c r="H1758" t="s">
        <v>26</v>
      </c>
      <c r="I1758" t="s">
        <v>47</v>
      </c>
      <c r="J1758" t="s">
        <v>56</v>
      </c>
    </row>
    <row r="1759" spans="1:29" x14ac:dyDescent="0.2">
      <c r="A1759" s="3">
        <v>42591</v>
      </c>
      <c r="B1759" t="s">
        <v>23</v>
      </c>
      <c r="C1759">
        <v>701</v>
      </c>
      <c r="D1759">
        <v>8</v>
      </c>
      <c r="E1759">
        <v>1</v>
      </c>
      <c r="F1759" t="s">
        <v>64</v>
      </c>
      <c r="G1759" t="s">
        <v>25</v>
      </c>
      <c r="H1759" t="s">
        <v>26</v>
      </c>
      <c r="I1759" t="s">
        <v>47</v>
      </c>
      <c r="J1759" t="s">
        <v>56</v>
      </c>
    </row>
    <row r="1760" spans="1:29" x14ac:dyDescent="0.2">
      <c r="A1760" s="3">
        <v>42591</v>
      </c>
      <c r="B1760" t="s">
        <v>23</v>
      </c>
      <c r="C1760">
        <v>701</v>
      </c>
      <c r="D1760">
        <v>10</v>
      </c>
      <c r="E1760">
        <v>2</v>
      </c>
      <c r="F1760" t="s">
        <v>64</v>
      </c>
      <c r="G1760" t="s">
        <v>25</v>
      </c>
      <c r="H1760" t="s">
        <v>26</v>
      </c>
      <c r="I1760" t="s">
        <v>47</v>
      </c>
      <c r="J1760" t="s">
        <v>56</v>
      </c>
    </row>
    <row r="1761" spans="1:30" x14ac:dyDescent="0.2">
      <c r="A1761" s="3">
        <v>42591</v>
      </c>
      <c r="B1761" t="s">
        <v>23</v>
      </c>
      <c r="C1761">
        <v>801</v>
      </c>
      <c r="D1761">
        <v>2</v>
      </c>
      <c r="E1761">
        <v>1</v>
      </c>
      <c r="F1761" t="s">
        <v>64</v>
      </c>
      <c r="G1761" t="s">
        <v>25</v>
      </c>
      <c r="H1761" t="s">
        <v>26</v>
      </c>
      <c r="I1761" t="s">
        <v>47</v>
      </c>
      <c r="J1761" t="s">
        <v>56</v>
      </c>
    </row>
    <row r="1762" spans="1:30" x14ac:dyDescent="0.2">
      <c r="A1762" s="3">
        <v>42591</v>
      </c>
      <c r="B1762" t="s">
        <v>23</v>
      </c>
      <c r="C1762">
        <v>801</v>
      </c>
      <c r="D1762">
        <v>6</v>
      </c>
      <c r="E1762">
        <v>1</v>
      </c>
      <c r="F1762" t="s">
        <v>64</v>
      </c>
      <c r="G1762" t="s">
        <v>25</v>
      </c>
      <c r="H1762" t="s">
        <v>26</v>
      </c>
      <c r="I1762" t="s">
        <v>47</v>
      </c>
      <c r="J1762" t="s">
        <v>56</v>
      </c>
    </row>
    <row r="1763" spans="1:30" x14ac:dyDescent="0.2">
      <c r="A1763" s="3">
        <v>42592</v>
      </c>
      <c r="B1763" t="s">
        <v>23</v>
      </c>
      <c r="C1763">
        <v>703</v>
      </c>
      <c r="D1763">
        <v>3</v>
      </c>
      <c r="E1763">
        <v>2</v>
      </c>
      <c r="F1763" t="s">
        <v>64</v>
      </c>
      <c r="G1763" t="s">
        <v>25</v>
      </c>
      <c r="H1763" t="s">
        <v>26</v>
      </c>
      <c r="I1763" t="s">
        <v>47</v>
      </c>
      <c r="J1763" t="s">
        <v>56</v>
      </c>
    </row>
    <row r="1764" spans="1:30" x14ac:dyDescent="0.2">
      <c r="A1764" s="3">
        <v>42592</v>
      </c>
      <c r="B1764" t="s">
        <v>23</v>
      </c>
      <c r="C1764">
        <v>801</v>
      </c>
      <c r="D1764">
        <v>2</v>
      </c>
      <c r="E1764">
        <v>1</v>
      </c>
      <c r="F1764" t="s">
        <v>64</v>
      </c>
      <c r="G1764" t="s">
        <v>25</v>
      </c>
      <c r="H1764" t="s">
        <v>26</v>
      </c>
      <c r="I1764" t="s">
        <v>47</v>
      </c>
      <c r="J1764" t="s">
        <v>56</v>
      </c>
    </row>
    <row r="1765" spans="1:30" x14ac:dyDescent="0.2">
      <c r="A1765" s="3">
        <v>42592</v>
      </c>
      <c r="B1765" t="s">
        <v>23</v>
      </c>
      <c r="C1765">
        <v>803</v>
      </c>
      <c r="D1765">
        <v>8</v>
      </c>
      <c r="E1765">
        <v>1</v>
      </c>
      <c r="F1765" t="s">
        <v>64</v>
      </c>
      <c r="G1765" t="s">
        <v>25</v>
      </c>
      <c r="H1765" t="s">
        <v>26</v>
      </c>
      <c r="I1765" t="s">
        <v>47</v>
      </c>
      <c r="J1765" t="s">
        <v>56</v>
      </c>
    </row>
    <row r="1766" spans="1:30" x14ac:dyDescent="0.2">
      <c r="A1766" s="3">
        <v>42592</v>
      </c>
      <c r="B1766" t="s">
        <v>23</v>
      </c>
      <c r="C1766">
        <v>901</v>
      </c>
      <c r="D1766">
        <v>4</v>
      </c>
      <c r="E1766">
        <v>1</v>
      </c>
      <c r="F1766" t="s">
        <v>64</v>
      </c>
      <c r="G1766" t="s">
        <v>25</v>
      </c>
      <c r="H1766" t="s">
        <v>26</v>
      </c>
      <c r="I1766" t="s">
        <v>47</v>
      </c>
      <c r="J1766" t="s">
        <v>56</v>
      </c>
    </row>
    <row r="1767" spans="1:30" x14ac:dyDescent="0.2">
      <c r="A1767" s="3">
        <v>42592</v>
      </c>
      <c r="B1767" t="s">
        <v>23</v>
      </c>
      <c r="C1767">
        <v>501</v>
      </c>
      <c r="D1767">
        <v>5</v>
      </c>
      <c r="E1767">
        <v>1</v>
      </c>
      <c r="F1767" t="s">
        <v>24</v>
      </c>
      <c r="G1767" t="s">
        <v>25</v>
      </c>
      <c r="H1767" t="s">
        <v>26</v>
      </c>
      <c r="I1767" t="s">
        <v>47</v>
      </c>
      <c r="J1767" t="s">
        <v>56</v>
      </c>
      <c r="AB1767" t="s">
        <v>44</v>
      </c>
      <c r="AC1767" t="s">
        <v>59</v>
      </c>
      <c r="AD1767" t="s">
        <v>1247</v>
      </c>
    </row>
    <row r="1768" spans="1:30" x14ac:dyDescent="0.2">
      <c r="A1768" s="3">
        <v>42592</v>
      </c>
      <c r="B1768" t="s">
        <v>23</v>
      </c>
      <c r="C1768">
        <v>503</v>
      </c>
      <c r="D1768">
        <v>1</v>
      </c>
      <c r="E1768">
        <v>1</v>
      </c>
      <c r="F1768" t="s">
        <v>24</v>
      </c>
      <c r="G1768" t="s">
        <v>25</v>
      </c>
      <c r="H1768" t="s">
        <v>26</v>
      </c>
      <c r="I1768" t="s">
        <v>47</v>
      </c>
      <c r="J1768" t="s">
        <v>56</v>
      </c>
    </row>
    <row r="1769" spans="1:30" x14ac:dyDescent="0.2">
      <c r="A1769" s="3">
        <v>42592</v>
      </c>
      <c r="B1769" t="s">
        <v>23</v>
      </c>
      <c r="C1769">
        <v>503</v>
      </c>
      <c r="D1769">
        <v>5</v>
      </c>
      <c r="E1769">
        <v>1</v>
      </c>
      <c r="F1769" t="s">
        <v>24</v>
      </c>
      <c r="G1769" t="s">
        <v>25</v>
      </c>
      <c r="H1769" t="s">
        <v>26</v>
      </c>
      <c r="I1769" t="s">
        <v>47</v>
      </c>
      <c r="J1769" t="s">
        <v>56</v>
      </c>
    </row>
    <row r="1770" spans="1:30" x14ac:dyDescent="0.2">
      <c r="A1770" s="3">
        <v>42592</v>
      </c>
      <c r="B1770" t="s">
        <v>23</v>
      </c>
      <c r="C1770">
        <v>503</v>
      </c>
      <c r="D1770">
        <v>8</v>
      </c>
      <c r="E1770">
        <v>2</v>
      </c>
      <c r="F1770" t="s">
        <v>24</v>
      </c>
      <c r="G1770" t="s">
        <v>25</v>
      </c>
      <c r="H1770" t="s">
        <v>26</v>
      </c>
      <c r="I1770" t="s">
        <v>47</v>
      </c>
      <c r="J1770" t="s">
        <v>56</v>
      </c>
    </row>
    <row r="1771" spans="1:30" x14ac:dyDescent="0.2">
      <c r="A1771" s="3">
        <v>42592</v>
      </c>
      <c r="B1771" t="s">
        <v>23</v>
      </c>
      <c r="C1771">
        <v>303</v>
      </c>
      <c r="D1771">
        <v>3</v>
      </c>
      <c r="E1771">
        <v>2</v>
      </c>
      <c r="F1771" t="s">
        <v>24</v>
      </c>
      <c r="G1771" t="s">
        <v>25</v>
      </c>
      <c r="H1771" t="s">
        <v>26</v>
      </c>
      <c r="I1771" t="s">
        <v>47</v>
      </c>
      <c r="J1771" t="s">
        <v>56</v>
      </c>
    </row>
    <row r="1772" spans="1:30" x14ac:dyDescent="0.2">
      <c r="A1772" s="3">
        <v>42592</v>
      </c>
      <c r="B1772" t="s">
        <v>23</v>
      </c>
      <c r="C1772">
        <v>303</v>
      </c>
      <c r="D1772">
        <v>7</v>
      </c>
      <c r="E1772">
        <v>1</v>
      </c>
      <c r="F1772" t="s">
        <v>24</v>
      </c>
      <c r="G1772" t="s">
        <v>25</v>
      </c>
      <c r="H1772" t="s">
        <v>26</v>
      </c>
      <c r="I1772" t="s">
        <v>47</v>
      </c>
      <c r="J1772" t="s">
        <v>56</v>
      </c>
    </row>
    <row r="1773" spans="1:30" x14ac:dyDescent="0.2">
      <c r="A1773" s="3">
        <v>42592</v>
      </c>
      <c r="B1773" t="s">
        <v>23</v>
      </c>
      <c r="C1773">
        <v>401</v>
      </c>
      <c r="D1773">
        <v>7</v>
      </c>
      <c r="E1773">
        <v>2</v>
      </c>
      <c r="F1773" t="s">
        <v>24</v>
      </c>
      <c r="G1773" t="s">
        <v>25</v>
      </c>
      <c r="H1773" t="s">
        <v>26</v>
      </c>
      <c r="I1773" t="s">
        <v>47</v>
      </c>
      <c r="J1773" t="s">
        <v>56</v>
      </c>
    </row>
    <row r="1774" spans="1:30" x14ac:dyDescent="0.2">
      <c r="A1774" s="3">
        <v>42593</v>
      </c>
      <c r="B1774" t="s">
        <v>23</v>
      </c>
      <c r="C1774">
        <v>501</v>
      </c>
      <c r="D1774">
        <v>1</v>
      </c>
      <c r="E1774">
        <v>2</v>
      </c>
      <c r="F1774" t="s">
        <v>24</v>
      </c>
      <c r="G1774" t="s">
        <v>25</v>
      </c>
      <c r="H1774" t="s">
        <v>26</v>
      </c>
      <c r="I1774" t="s">
        <v>47</v>
      </c>
      <c r="J1774" t="s">
        <v>56</v>
      </c>
    </row>
    <row r="1775" spans="1:30" x14ac:dyDescent="0.2">
      <c r="A1775" s="3">
        <v>42593</v>
      </c>
      <c r="B1775" t="s">
        <v>23</v>
      </c>
      <c r="C1775">
        <v>501</v>
      </c>
      <c r="D1775">
        <v>8</v>
      </c>
      <c r="E1775">
        <v>1</v>
      </c>
      <c r="F1775" t="s">
        <v>24</v>
      </c>
      <c r="G1775" t="s">
        <v>25</v>
      </c>
      <c r="H1775" t="s">
        <v>26</v>
      </c>
      <c r="I1775" t="s">
        <v>47</v>
      </c>
      <c r="J1775" t="s">
        <v>206</v>
      </c>
    </row>
    <row r="1776" spans="1:30" x14ac:dyDescent="0.2">
      <c r="A1776" s="3">
        <v>42593</v>
      </c>
      <c r="B1776" t="s">
        <v>23</v>
      </c>
      <c r="C1776">
        <v>503</v>
      </c>
      <c r="D1776">
        <v>3</v>
      </c>
      <c r="E1776">
        <v>2</v>
      </c>
      <c r="F1776" t="s">
        <v>24</v>
      </c>
      <c r="G1776" t="s">
        <v>25</v>
      </c>
      <c r="H1776" t="s">
        <v>26</v>
      </c>
      <c r="I1776" t="s">
        <v>47</v>
      </c>
      <c r="J1776" t="s">
        <v>206</v>
      </c>
    </row>
    <row r="1777" spans="1:29" x14ac:dyDescent="0.2">
      <c r="A1777" s="3">
        <v>42593</v>
      </c>
      <c r="B1777" t="s">
        <v>23</v>
      </c>
      <c r="C1777">
        <v>303</v>
      </c>
      <c r="D1777">
        <v>1</v>
      </c>
      <c r="E1777">
        <v>1</v>
      </c>
      <c r="F1777" t="s">
        <v>24</v>
      </c>
      <c r="G1777" t="s">
        <v>25</v>
      </c>
      <c r="H1777" t="s">
        <v>26</v>
      </c>
      <c r="I1777" t="s">
        <v>47</v>
      </c>
      <c r="J1777" t="s">
        <v>56</v>
      </c>
      <c r="AB1777" t="s">
        <v>44</v>
      </c>
      <c r="AC1777" t="s">
        <v>122</v>
      </c>
    </row>
    <row r="1778" spans="1:29" x14ac:dyDescent="0.2">
      <c r="A1778" s="3">
        <v>42593</v>
      </c>
      <c r="B1778" t="s">
        <v>23</v>
      </c>
      <c r="C1778">
        <v>303</v>
      </c>
      <c r="D1778">
        <v>6</v>
      </c>
      <c r="E1778">
        <v>1</v>
      </c>
      <c r="F1778" t="s">
        <v>24</v>
      </c>
      <c r="G1778" t="s">
        <v>25</v>
      </c>
      <c r="H1778" t="s">
        <v>26</v>
      </c>
      <c r="I1778" t="s">
        <v>47</v>
      </c>
      <c r="J1778" t="s">
        <v>56</v>
      </c>
      <c r="AB1778" t="s">
        <v>44</v>
      </c>
      <c r="AC1778" t="s">
        <v>122</v>
      </c>
    </row>
    <row r="1779" spans="1:29" x14ac:dyDescent="0.2">
      <c r="A1779" s="3">
        <v>42593</v>
      </c>
      <c r="B1779" t="s">
        <v>23</v>
      </c>
      <c r="C1779">
        <v>303</v>
      </c>
      <c r="D1779">
        <v>10</v>
      </c>
      <c r="E1779">
        <v>1</v>
      </c>
      <c r="F1779" t="s">
        <v>24</v>
      </c>
      <c r="G1779" t="s">
        <v>25</v>
      </c>
      <c r="H1779" t="s">
        <v>26</v>
      </c>
      <c r="I1779" t="s">
        <v>47</v>
      </c>
      <c r="J1779" t="s">
        <v>56</v>
      </c>
    </row>
    <row r="1780" spans="1:29" x14ac:dyDescent="0.2">
      <c r="A1780" s="3">
        <v>42593</v>
      </c>
      <c r="B1780" t="s">
        <v>23</v>
      </c>
      <c r="C1780">
        <v>401</v>
      </c>
      <c r="D1780">
        <v>3</v>
      </c>
      <c r="E1780">
        <v>1</v>
      </c>
      <c r="F1780" t="s">
        <v>24</v>
      </c>
      <c r="G1780" t="s">
        <v>25</v>
      </c>
      <c r="H1780" t="s">
        <v>26</v>
      </c>
      <c r="I1780" t="s">
        <v>47</v>
      </c>
      <c r="J1780" t="s">
        <v>56</v>
      </c>
    </row>
    <row r="1781" spans="1:29" x14ac:dyDescent="0.2">
      <c r="A1781" s="3">
        <v>42593</v>
      </c>
      <c r="B1781" t="s">
        <v>23</v>
      </c>
      <c r="C1781">
        <v>703</v>
      </c>
      <c r="D1781">
        <v>3</v>
      </c>
      <c r="E1781">
        <v>1</v>
      </c>
      <c r="F1781" t="s">
        <v>64</v>
      </c>
      <c r="G1781" t="s">
        <v>25</v>
      </c>
      <c r="H1781" t="s">
        <v>26</v>
      </c>
      <c r="I1781" t="s">
        <v>47</v>
      </c>
      <c r="J1781" t="s">
        <v>56</v>
      </c>
    </row>
    <row r="1782" spans="1:29" x14ac:dyDescent="0.2">
      <c r="A1782" s="3">
        <v>42593</v>
      </c>
      <c r="B1782" t="s">
        <v>23</v>
      </c>
      <c r="C1782">
        <v>801</v>
      </c>
      <c r="D1782">
        <v>6</v>
      </c>
      <c r="E1782">
        <v>1</v>
      </c>
      <c r="F1782" t="s">
        <v>64</v>
      </c>
      <c r="G1782" t="s">
        <v>25</v>
      </c>
      <c r="H1782" t="s">
        <v>26</v>
      </c>
      <c r="I1782" t="s">
        <v>47</v>
      </c>
      <c r="J1782" t="s">
        <v>56</v>
      </c>
    </row>
    <row r="1783" spans="1:29" x14ac:dyDescent="0.2">
      <c r="A1783" s="3">
        <v>42593</v>
      </c>
      <c r="B1783" t="s">
        <v>23</v>
      </c>
      <c r="C1783">
        <v>803</v>
      </c>
      <c r="D1783">
        <v>4</v>
      </c>
      <c r="E1783">
        <v>2</v>
      </c>
      <c r="F1783" t="s">
        <v>64</v>
      </c>
      <c r="G1783" t="s">
        <v>25</v>
      </c>
      <c r="H1783" t="s">
        <v>26</v>
      </c>
      <c r="I1783" t="s">
        <v>47</v>
      </c>
      <c r="J1783" t="s">
        <v>56</v>
      </c>
    </row>
    <row r="1784" spans="1:29" x14ac:dyDescent="0.2">
      <c r="A1784" s="3">
        <v>42598</v>
      </c>
      <c r="B1784" t="s">
        <v>23</v>
      </c>
      <c r="C1784">
        <v>203</v>
      </c>
      <c r="D1784">
        <v>7</v>
      </c>
      <c r="E1784">
        <v>1</v>
      </c>
      <c r="F1784" t="s">
        <v>64</v>
      </c>
      <c r="G1784" t="s">
        <v>25</v>
      </c>
      <c r="H1784" t="s">
        <v>26</v>
      </c>
      <c r="I1784" t="s">
        <v>47</v>
      </c>
      <c r="J1784" t="s">
        <v>56</v>
      </c>
    </row>
    <row r="1785" spans="1:29" x14ac:dyDescent="0.2">
      <c r="A1785" s="3">
        <v>42598</v>
      </c>
      <c r="B1785" t="s">
        <v>23</v>
      </c>
      <c r="C1785">
        <v>202</v>
      </c>
      <c r="D1785">
        <v>6</v>
      </c>
      <c r="E1785">
        <v>1</v>
      </c>
      <c r="F1785" t="s">
        <v>64</v>
      </c>
      <c r="G1785" t="s">
        <v>25</v>
      </c>
      <c r="H1785" t="s">
        <v>26</v>
      </c>
      <c r="I1785" t="s">
        <v>47</v>
      </c>
      <c r="J1785" t="s">
        <v>56</v>
      </c>
    </row>
    <row r="1786" spans="1:29" x14ac:dyDescent="0.2">
      <c r="A1786" s="3">
        <v>42598</v>
      </c>
      <c r="B1786" t="s">
        <v>23</v>
      </c>
      <c r="C1786">
        <v>111</v>
      </c>
      <c r="D1786">
        <v>3</v>
      </c>
      <c r="E1786">
        <v>2</v>
      </c>
      <c r="F1786" t="s">
        <v>24</v>
      </c>
      <c r="G1786" t="s">
        <v>25</v>
      </c>
      <c r="H1786" t="s">
        <v>26</v>
      </c>
      <c r="I1786" t="s">
        <v>47</v>
      </c>
      <c r="J1786" t="s">
        <v>56</v>
      </c>
    </row>
    <row r="1787" spans="1:29" x14ac:dyDescent="0.2">
      <c r="A1787" s="3">
        <v>42598</v>
      </c>
      <c r="B1787" t="s">
        <v>23</v>
      </c>
      <c r="C1787">
        <v>112</v>
      </c>
      <c r="D1787">
        <v>6</v>
      </c>
      <c r="E1787">
        <v>2</v>
      </c>
      <c r="F1787" t="s">
        <v>24</v>
      </c>
      <c r="G1787" t="s">
        <v>25</v>
      </c>
      <c r="H1787" t="s">
        <v>26</v>
      </c>
      <c r="I1787" t="s">
        <v>47</v>
      </c>
      <c r="J1787" t="s">
        <v>56</v>
      </c>
    </row>
    <row r="1788" spans="1:29" x14ac:dyDescent="0.2">
      <c r="A1788" s="3">
        <v>42598</v>
      </c>
      <c r="B1788" t="s">
        <v>23</v>
      </c>
      <c r="C1788">
        <v>402</v>
      </c>
      <c r="D1788">
        <v>9</v>
      </c>
      <c r="E1788">
        <v>1</v>
      </c>
      <c r="F1788" t="s">
        <v>24</v>
      </c>
      <c r="G1788" t="s">
        <v>25</v>
      </c>
      <c r="H1788" t="s">
        <v>26</v>
      </c>
      <c r="I1788" t="s">
        <v>47</v>
      </c>
      <c r="J1788" t="s">
        <v>56</v>
      </c>
    </row>
    <row r="1789" spans="1:29" x14ac:dyDescent="0.2">
      <c r="A1789" s="3">
        <v>42599</v>
      </c>
      <c r="B1789" t="s">
        <v>23</v>
      </c>
      <c r="C1789">
        <v>113</v>
      </c>
      <c r="D1789">
        <v>9</v>
      </c>
      <c r="E1789">
        <v>2</v>
      </c>
      <c r="F1789" t="s">
        <v>24</v>
      </c>
      <c r="G1789" t="s">
        <v>25</v>
      </c>
      <c r="H1789" t="s">
        <v>26</v>
      </c>
      <c r="I1789" t="s">
        <v>47</v>
      </c>
      <c r="J1789" t="s">
        <v>56</v>
      </c>
    </row>
    <row r="1790" spans="1:29" x14ac:dyDescent="0.2">
      <c r="A1790" s="3">
        <v>42599</v>
      </c>
      <c r="B1790" t="s">
        <v>23</v>
      </c>
      <c r="C1790">
        <v>402</v>
      </c>
      <c r="D1790">
        <v>1</v>
      </c>
      <c r="E1790">
        <v>2</v>
      </c>
      <c r="F1790" t="s">
        <v>24</v>
      </c>
      <c r="G1790" t="s">
        <v>25</v>
      </c>
      <c r="H1790" t="s">
        <v>26</v>
      </c>
      <c r="I1790" t="s">
        <v>47</v>
      </c>
      <c r="J1790" t="s">
        <v>56</v>
      </c>
    </row>
    <row r="1791" spans="1:29" x14ac:dyDescent="0.2">
      <c r="A1791" s="3">
        <v>42599</v>
      </c>
      <c r="B1791" t="s">
        <v>23</v>
      </c>
      <c r="C1791">
        <v>201</v>
      </c>
      <c r="D1791">
        <v>4</v>
      </c>
      <c r="E1791">
        <v>2</v>
      </c>
      <c r="F1791" t="s">
        <v>64</v>
      </c>
      <c r="G1791" t="s">
        <v>25</v>
      </c>
      <c r="H1791" t="s">
        <v>26</v>
      </c>
      <c r="I1791" t="s">
        <v>47</v>
      </c>
      <c r="J1791" t="s">
        <v>56</v>
      </c>
    </row>
    <row r="1792" spans="1:29" x14ac:dyDescent="0.2">
      <c r="A1792" s="3">
        <v>42599</v>
      </c>
      <c r="B1792" t="s">
        <v>23</v>
      </c>
      <c r="C1792">
        <v>201</v>
      </c>
      <c r="D1792">
        <v>5</v>
      </c>
      <c r="E1792">
        <v>2</v>
      </c>
      <c r="F1792" t="s">
        <v>64</v>
      </c>
      <c r="G1792" t="s">
        <v>25</v>
      </c>
      <c r="H1792" t="s">
        <v>26</v>
      </c>
      <c r="I1792" t="s">
        <v>47</v>
      </c>
      <c r="J1792" t="s">
        <v>56</v>
      </c>
    </row>
    <row r="1793" spans="1:29" x14ac:dyDescent="0.2">
      <c r="A1793" s="3">
        <v>42599</v>
      </c>
      <c r="B1793" t="s">
        <v>23</v>
      </c>
      <c r="C1793">
        <v>203</v>
      </c>
      <c r="D1793">
        <v>10</v>
      </c>
      <c r="E1793">
        <v>1</v>
      </c>
      <c r="F1793" t="s">
        <v>64</v>
      </c>
      <c r="G1793" t="s">
        <v>25</v>
      </c>
      <c r="H1793" t="s">
        <v>26</v>
      </c>
      <c r="I1793" t="s">
        <v>47</v>
      </c>
      <c r="J1793" t="s">
        <v>56</v>
      </c>
    </row>
    <row r="1794" spans="1:29" x14ac:dyDescent="0.2">
      <c r="A1794" s="3">
        <v>42599</v>
      </c>
      <c r="B1794" t="s">
        <v>23</v>
      </c>
      <c r="C1794">
        <v>202</v>
      </c>
      <c r="D1794">
        <v>5</v>
      </c>
      <c r="E1794">
        <v>2</v>
      </c>
      <c r="F1794" t="s">
        <v>64</v>
      </c>
      <c r="G1794" t="s">
        <v>25</v>
      </c>
      <c r="H1794" t="s">
        <v>26</v>
      </c>
      <c r="I1794" t="s">
        <v>47</v>
      </c>
      <c r="J1794" t="s">
        <v>56</v>
      </c>
    </row>
    <row r="1795" spans="1:29" x14ac:dyDescent="0.2">
      <c r="A1795" s="3">
        <v>42600</v>
      </c>
      <c r="B1795" t="s">
        <v>23</v>
      </c>
      <c r="C1795">
        <v>202</v>
      </c>
      <c r="D1795">
        <v>5</v>
      </c>
      <c r="E1795">
        <v>1</v>
      </c>
      <c r="F1795" t="s">
        <v>64</v>
      </c>
      <c r="G1795" t="s">
        <v>25</v>
      </c>
      <c r="H1795" t="s">
        <v>26</v>
      </c>
      <c r="I1795" t="s">
        <v>47</v>
      </c>
      <c r="J1795" t="s">
        <v>56</v>
      </c>
    </row>
    <row r="1796" spans="1:29" x14ac:dyDescent="0.2">
      <c r="A1796" s="3">
        <v>42600</v>
      </c>
      <c r="B1796" t="s">
        <v>23</v>
      </c>
      <c r="C1796">
        <v>202</v>
      </c>
      <c r="D1796">
        <v>6</v>
      </c>
      <c r="E1796">
        <v>1</v>
      </c>
      <c r="F1796" t="s">
        <v>64</v>
      </c>
      <c r="G1796" t="s">
        <v>25</v>
      </c>
      <c r="H1796" t="s">
        <v>26</v>
      </c>
      <c r="I1796" t="s">
        <v>47</v>
      </c>
      <c r="J1796" t="s">
        <v>56</v>
      </c>
    </row>
    <row r="1797" spans="1:29" x14ac:dyDescent="0.2">
      <c r="A1797" s="3">
        <v>42600</v>
      </c>
      <c r="B1797" t="s">
        <v>23</v>
      </c>
      <c r="C1797">
        <v>202</v>
      </c>
      <c r="D1797">
        <v>10</v>
      </c>
      <c r="E1797">
        <v>1</v>
      </c>
      <c r="F1797" t="s">
        <v>64</v>
      </c>
      <c r="G1797" t="s">
        <v>25</v>
      </c>
      <c r="H1797" t="s">
        <v>26</v>
      </c>
      <c r="I1797" t="s">
        <v>47</v>
      </c>
      <c r="J1797" t="s">
        <v>206</v>
      </c>
    </row>
    <row r="1798" spans="1:29" x14ac:dyDescent="0.2">
      <c r="A1798" s="3">
        <v>42604</v>
      </c>
      <c r="B1798" t="s">
        <v>23</v>
      </c>
      <c r="C1798">
        <v>703</v>
      </c>
      <c r="D1798">
        <v>1</v>
      </c>
      <c r="E1798">
        <v>1</v>
      </c>
      <c r="F1798" t="s">
        <v>24</v>
      </c>
      <c r="G1798" t="s">
        <v>25</v>
      </c>
      <c r="H1798" t="s">
        <v>26</v>
      </c>
      <c r="I1798" t="s">
        <v>47</v>
      </c>
      <c r="J1798" t="s">
        <v>56</v>
      </c>
    </row>
    <row r="1799" spans="1:29" x14ac:dyDescent="0.2">
      <c r="A1799" s="3">
        <v>42604</v>
      </c>
      <c r="B1799" t="s">
        <v>23</v>
      </c>
      <c r="C1799">
        <v>701</v>
      </c>
      <c r="D1799">
        <v>1</v>
      </c>
      <c r="E1799">
        <v>1</v>
      </c>
      <c r="F1799" t="s">
        <v>24</v>
      </c>
      <c r="G1799" t="s">
        <v>25</v>
      </c>
      <c r="H1799" t="s">
        <v>26</v>
      </c>
      <c r="I1799" t="s">
        <v>47</v>
      </c>
      <c r="J1799" t="s">
        <v>56</v>
      </c>
    </row>
    <row r="1800" spans="1:29" x14ac:dyDescent="0.2">
      <c r="A1800" s="3">
        <v>42604</v>
      </c>
      <c r="B1800" t="s">
        <v>23</v>
      </c>
      <c r="C1800">
        <v>701</v>
      </c>
      <c r="D1800">
        <v>4</v>
      </c>
      <c r="E1800">
        <v>2</v>
      </c>
      <c r="F1800" t="s">
        <v>24</v>
      </c>
      <c r="G1800" t="s">
        <v>25</v>
      </c>
      <c r="H1800" t="s">
        <v>26</v>
      </c>
      <c r="I1800" t="s">
        <v>47</v>
      </c>
      <c r="J1800" t="s">
        <v>56</v>
      </c>
      <c r="AB1800" t="s">
        <v>582</v>
      </c>
      <c r="AC1800" t="s">
        <v>116</v>
      </c>
    </row>
    <row r="1801" spans="1:29" x14ac:dyDescent="0.2">
      <c r="A1801" s="3">
        <v>42604</v>
      </c>
      <c r="B1801" t="s">
        <v>23</v>
      </c>
      <c r="C1801">
        <v>801</v>
      </c>
      <c r="D1801">
        <v>4</v>
      </c>
      <c r="E1801">
        <v>2</v>
      </c>
      <c r="F1801" t="s">
        <v>24</v>
      </c>
      <c r="G1801" t="s">
        <v>25</v>
      </c>
      <c r="H1801" t="s">
        <v>26</v>
      </c>
      <c r="I1801" t="s">
        <v>47</v>
      </c>
      <c r="J1801" t="s">
        <v>56</v>
      </c>
    </row>
    <row r="1802" spans="1:29" x14ac:dyDescent="0.2">
      <c r="A1802" s="3">
        <v>42604</v>
      </c>
      <c r="B1802" t="s">
        <v>23</v>
      </c>
      <c r="C1802">
        <v>803</v>
      </c>
      <c r="D1802">
        <v>6</v>
      </c>
      <c r="E1802">
        <v>1</v>
      </c>
      <c r="F1802" t="s">
        <v>24</v>
      </c>
      <c r="G1802" t="s">
        <v>25</v>
      </c>
      <c r="H1802" t="s">
        <v>26</v>
      </c>
      <c r="I1802" t="s">
        <v>47</v>
      </c>
      <c r="J1802" t="s">
        <v>56</v>
      </c>
    </row>
    <row r="1803" spans="1:29" x14ac:dyDescent="0.2">
      <c r="A1803" s="3">
        <v>42604</v>
      </c>
      <c r="B1803" t="s">
        <v>23</v>
      </c>
      <c r="C1803">
        <v>501</v>
      </c>
      <c r="D1803">
        <v>1</v>
      </c>
      <c r="E1803">
        <v>1</v>
      </c>
      <c r="F1803" t="s">
        <v>64</v>
      </c>
      <c r="G1803" t="s">
        <v>25</v>
      </c>
      <c r="H1803" t="s">
        <v>26</v>
      </c>
      <c r="I1803" t="s">
        <v>47</v>
      </c>
      <c r="J1803" t="s">
        <v>56</v>
      </c>
    </row>
    <row r="1804" spans="1:29" x14ac:dyDescent="0.2">
      <c r="A1804" s="3">
        <v>42604</v>
      </c>
      <c r="B1804" t="s">
        <v>23</v>
      </c>
      <c r="C1804">
        <v>501</v>
      </c>
      <c r="D1804">
        <v>2</v>
      </c>
      <c r="E1804">
        <v>1</v>
      </c>
      <c r="F1804" t="s">
        <v>64</v>
      </c>
      <c r="G1804" t="s">
        <v>25</v>
      </c>
      <c r="H1804" t="s">
        <v>26</v>
      </c>
      <c r="I1804" t="s">
        <v>47</v>
      </c>
      <c r="J1804" t="s">
        <v>56</v>
      </c>
    </row>
    <row r="1805" spans="1:29" x14ac:dyDescent="0.2">
      <c r="A1805" s="3">
        <v>42604</v>
      </c>
      <c r="B1805" t="s">
        <v>23</v>
      </c>
      <c r="C1805">
        <v>503</v>
      </c>
      <c r="D1805">
        <v>1</v>
      </c>
      <c r="E1805">
        <v>1</v>
      </c>
      <c r="F1805" t="s">
        <v>64</v>
      </c>
      <c r="G1805" t="s">
        <v>25</v>
      </c>
      <c r="H1805" t="s">
        <v>26</v>
      </c>
      <c r="I1805" t="s">
        <v>47</v>
      </c>
      <c r="J1805" t="s">
        <v>56</v>
      </c>
    </row>
    <row r="1806" spans="1:29" x14ac:dyDescent="0.2">
      <c r="A1806" s="3">
        <v>42604</v>
      </c>
      <c r="B1806" t="s">
        <v>23</v>
      </c>
      <c r="C1806">
        <v>503</v>
      </c>
      <c r="D1806">
        <v>3</v>
      </c>
      <c r="E1806">
        <v>2</v>
      </c>
      <c r="F1806" t="s">
        <v>64</v>
      </c>
      <c r="G1806" t="s">
        <v>25</v>
      </c>
      <c r="H1806" t="s">
        <v>26</v>
      </c>
      <c r="I1806" t="s">
        <v>47</v>
      </c>
      <c r="J1806" t="s">
        <v>56</v>
      </c>
    </row>
    <row r="1807" spans="1:29" x14ac:dyDescent="0.2">
      <c r="A1807" s="3">
        <v>42604</v>
      </c>
      <c r="B1807" t="s">
        <v>23</v>
      </c>
      <c r="C1807">
        <v>303</v>
      </c>
      <c r="D1807">
        <v>6</v>
      </c>
      <c r="E1807">
        <v>1</v>
      </c>
      <c r="F1807" t="s">
        <v>64</v>
      </c>
      <c r="G1807" t="s">
        <v>25</v>
      </c>
      <c r="H1807" t="s">
        <v>26</v>
      </c>
      <c r="I1807" t="s">
        <v>47</v>
      </c>
      <c r="J1807" t="s">
        <v>56</v>
      </c>
    </row>
    <row r="1808" spans="1:29" x14ac:dyDescent="0.2">
      <c r="A1808" s="3">
        <v>42604</v>
      </c>
      <c r="B1808" t="s">
        <v>23</v>
      </c>
      <c r="C1808">
        <v>401</v>
      </c>
      <c r="D1808">
        <v>4</v>
      </c>
      <c r="E1808">
        <v>1</v>
      </c>
      <c r="F1808" t="s">
        <v>64</v>
      </c>
      <c r="G1808" t="s">
        <v>25</v>
      </c>
      <c r="H1808" t="s">
        <v>26</v>
      </c>
      <c r="I1808" t="s">
        <v>47</v>
      </c>
      <c r="J1808" t="s">
        <v>56</v>
      </c>
    </row>
    <row r="1809" spans="1:30" x14ac:dyDescent="0.2">
      <c r="A1809" s="3">
        <v>42604</v>
      </c>
      <c r="B1809" t="s">
        <v>23</v>
      </c>
      <c r="C1809">
        <v>401</v>
      </c>
      <c r="D1809">
        <v>8</v>
      </c>
      <c r="E1809">
        <v>2</v>
      </c>
      <c r="F1809" t="s">
        <v>64</v>
      </c>
      <c r="G1809" t="s">
        <v>25</v>
      </c>
      <c r="H1809" t="s">
        <v>26</v>
      </c>
      <c r="I1809" t="s">
        <v>47</v>
      </c>
      <c r="J1809" t="s">
        <v>56</v>
      </c>
    </row>
    <row r="1810" spans="1:30" x14ac:dyDescent="0.2">
      <c r="A1810" s="3">
        <v>42605</v>
      </c>
      <c r="B1810" t="s">
        <v>23</v>
      </c>
      <c r="C1810">
        <v>701</v>
      </c>
      <c r="D1810">
        <v>8</v>
      </c>
      <c r="E1810">
        <v>1</v>
      </c>
      <c r="F1810" t="s">
        <v>24</v>
      </c>
      <c r="G1810" t="s">
        <v>25</v>
      </c>
      <c r="H1810" t="s">
        <v>26</v>
      </c>
      <c r="I1810" t="s">
        <v>47</v>
      </c>
      <c r="J1810" t="s">
        <v>56</v>
      </c>
      <c r="AB1810" t="s">
        <v>44</v>
      </c>
      <c r="AC1810" t="s">
        <v>59</v>
      </c>
    </row>
    <row r="1811" spans="1:30" x14ac:dyDescent="0.2">
      <c r="A1811" s="3">
        <v>42605</v>
      </c>
      <c r="B1811" t="s">
        <v>23</v>
      </c>
      <c r="C1811">
        <v>701</v>
      </c>
      <c r="D1811">
        <v>9</v>
      </c>
      <c r="E1811">
        <v>1</v>
      </c>
      <c r="F1811" t="s">
        <v>24</v>
      </c>
      <c r="G1811" t="s">
        <v>25</v>
      </c>
      <c r="H1811" t="s">
        <v>26</v>
      </c>
      <c r="I1811" t="s">
        <v>47</v>
      </c>
      <c r="J1811" t="s">
        <v>56</v>
      </c>
    </row>
    <row r="1812" spans="1:30" x14ac:dyDescent="0.2">
      <c r="A1812" s="3">
        <v>42605</v>
      </c>
      <c r="B1812" t="s">
        <v>23</v>
      </c>
      <c r="C1812">
        <v>801</v>
      </c>
      <c r="D1812">
        <v>2</v>
      </c>
      <c r="E1812">
        <v>2</v>
      </c>
      <c r="F1812" t="s">
        <v>24</v>
      </c>
      <c r="G1812" t="s">
        <v>25</v>
      </c>
      <c r="H1812" t="s">
        <v>26</v>
      </c>
      <c r="I1812" t="s">
        <v>47</v>
      </c>
      <c r="J1812" t="s">
        <v>56</v>
      </c>
    </row>
    <row r="1813" spans="1:30" x14ac:dyDescent="0.2">
      <c r="A1813" s="3">
        <v>42605</v>
      </c>
      <c r="B1813" t="s">
        <v>23</v>
      </c>
      <c r="C1813">
        <v>801</v>
      </c>
      <c r="D1813">
        <v>6</v>
      </c>
      <c r="E1813">
        <v>1</v>
      </c>
      <c r="F1813" t="s">
        <v>24</v>
      </c>
      <c r="G1813" t="s">
        <v>25</v>
      </c>
      <c r="H1813" t="s">
        <v>26</v>
      </c>
      <c r="I1813" t="s">
        <v>47</v>
      </c>
      <c r="J1813" t="s">
        <v>56</v>
      </c>
    </row>
    <row r="1814" spans="1:30" x14ac:dyDescent="0.2">
      <c r="A1814" s="3">
        <v>42605</v>
      </c>
      <c r="B1814" t="s">
        <v>23</v>
      </c>
      <c r="C1814">
        <v>803</v>
      </c>
      <c r="D1814">
        <v>9</v>
      </c>
      <c r="E1814">
        <v>1</v>
      </c>
      <c r="F1814" t="s">
        <v>24</v>
      </c>
      <c r="G1814" t="s">
        <v>25</v>
      </c>
      <c r="H1814" t="s">
        <v>26</v>
      </c>
      <c r="I1814" t="s">
        <v>47</v>
      </c>
      <c r="J1814" t="s">
        <v>56</v>
      </c>
    </row>
    <row r="1815" spans="1:30" x14ac:dyDescent="0.2">
      <c r="A1815" s="3">
        <v>42605</v>
      </c>
      <c r="B1815" t="s">
        <v>23</v>
      </c>
      <c r="C1815">
        <v>803</v>
      </c>
      <c r="D1815">
        <v>8</v>
      </c>
      <c r="E1815">
        <v>2</v>
      </c>
      <c r="F1815" t="s">
        <v>24</v>
      </c>
      <c r="G1815" t="s">
        <v>25</v>
      </c>
      <c r="H1815" t="s">
        <v>26</v>
      </c>
      <c r="I1815" t="s">
        <v>47</v>
      </c>
      <c r="J1815" t="s">
        <v>56</v>
      </c>
    </row>
    <row r="1816" spans="1:30" x14ac:dyDescent="0.2">
      <c r="A1816" s="3">
        <v>42605</v>
      </c>
      <c r="B1816" t="s">
        <v>23</v>
      </c>
      <c r="C1816">
        <v>803</v>
      </c>
      <c r="D1816">
        <v>2</v>
      </c>
      <c r="E1816">
        <v>2</v>
      </c>
      <c r="F1816" t="s">
        <v>24</v>
      </c>
      <c r="G1816" t="s">
        <v>25</v>
      </c>
      <c r="H1816" t="s">
        <v>26</v>
      </c>
      <c r="I1816" t="s">
        <v>47</v>
      </c>
      <c r="J1816" t="s">
        <v>56</v>
      </c>
    </row>
    <row r="1817" spans="1:30" x14ac:dyDescent="0.2">
      <c r="A1817" s="3">
        <v>42605</v>
      </c>
      <c r="B1817" t="s">
        <v>23</v>
      </c>
      <c r="C1817">
        <v>901</v>
      </c>
      <c r="D1817">
        <v>10</v>
      </c>
      <c r="E1817">
        <v>1</v>
      </c>
      <c r="F1817" t="s">
        <v>24</v>
      </c>
      <c r="G1817" t="s">
        <v>25</v>
      </c>
      <c r="H1817" t="s">
        <v>26</v>
      </c>
      <c r="I1817" t="s">
        <v>47</v>
      </c>
      <c r="J1817" t="s">
        <v>56</v>
      </c>
    </row>
    <row r="1818" spans="1:30" x14ac:dyDescent="0.2">
      <c r="A1818" s="3">
        <v>42605</v>
      </c>
      <c r="B1818" t="s">
        <v>23</v>
      </c>
      <c r="C1818">
        <v>503</v>
      </c>
      <c r="D1818">
        <v>6</v>
      </c>
      <c r="E1818">
        <v>1</v>
      </c>
      <c r="F1818" t="s">
        <v>64</v>
      </c>
      <c r="G1818" t="s">
        <v>25</v>
      </c>
      <c r="H1818" t="s">
        <v>26</v>
      </c>
      <c r="I1818" t="s">
        <v>47</v>
      </c>
      <c r="J1818" t="s">
        <v>56</v>
      </c>
    </row>
    <row r="1819" spans="1:30" x14ac:dyDescent="0.2">
      <c r="A1819" s="3">
        <v>42605</v>
      </c>
      <c r="B1819" t="s">
        <v>23</v>
      </c>
      <c r="C1819">
        <v>303</v>
      </c>
      <c r="D1819">
        <v>9</v>
      </c>
      <c r="E1819">
        <v>1</v>
      </c>
      <c r="F1819" t="s">
        <v>64</v>
      </c>
      <c r="G1819" t="s">
        <v>25</v>
      </c>
      <c r="H1819" t="s">
        <v>26</v>
      </c>
      <c r="I1819" t="s">
        <v>47</v>
      </c>
      <c r="J1819" t="s">
        <v>56</v>
      </c>
    </row>
    <row r="1820" spans="1:30" x14ac:dyDescent="0.2">
      <c r="A1820" s="3">
        <v>42605</v>
      </c>
      <c r="B1820" t="s">
        <v>23</v>
      </c>
      <c r="C1820">
        <v>401</v>
      </c>
      <c r="D1820">
        <v>5</v>
      </c>
      <c r="E1820">
        <v>1</v>
      </c>
      <c r="F1820" t="s">
        <v>64</v>
      </c>
      <c r="G1820" t="s">
        <v>25</v>
      </c>
      <c r="H1820" t="s">
        <v>26</v>
      </c>
      <c r="I1820" t="s">
        <v>47</v>
      </c>
      <c r="J1820" t="s">
        <v>56</v>
      </c>
      <c r="AD1820" t="s">
        <v>1247</v>
      </c>
    </row>
    <row r="1821" spans="1:30" x14ac:dyDescent="0.2">
      <c r="A1821" s="3">
        <v>42606</v>
      </c>
      <c r="B1821" t="s">
        <v>23</v>
      </c>
      <c r="C1821">
        <v>503</v>
      </c>
      <c r="D1821">
        <v>10</v>
      </c>
      <c r="E1821">
        <v>2</v>
      </c>
      <c r="F1821" t="s">
        <v>64</v>
      </c>
      <c r="G1821" t="s">
        <v>25</v>
      </c>
      <c r="H1821" t="s">
        <v>26</v>
      </c>
      <c r="I1821" t="s">
        <v>47</v>
      </c>
      <c r="J1821" t="s">
        <v>56</v>
      </c>
    </row>
    <row r="1822" spans="1:30" x14ac:dyDescent="0.2">
      <c r="A1822" s="3">
        <v>42606</v>
      </c>
      <c r="B1822" t="s">
        <v>23</v>
      </c>
      <c r="C1822">
        <v>303</v>
      </c>
      <c r="D1822">
        <v>7</v>
      </c>
      <c r="E1822">
        <v>1</v>
      </c>
      <c r="F1822" t="s">
        <v>64</v>
      </c>
      <c r="G1822" t="s">
        <v>25</v>
      </c>
      <c r="H1822" t="s">
        <v>26</v>
      </c>
      <c r="I1822" t="s">
        <v>47</v>
      </c>
      <c r="J1822" t="s">
        <v>56</v>
      </c>
    </row>
    <row r="1823" spans="1:30" x14ac:dyDescent="0.2">
      <c r="A1823" s="3">
        <v>42606</v>
      </c>
      <c r="B1823" t="s">
        <v>23</v>
      </c>
      <c r="C1823">
        <v>303</v>
      </c>
      <c r="D1823">
        <v>10</v>
      </c>
      <c r="E1823">
        <v>2</v>
      </c>
      <c r="F1823" t="s">
        <v>64</v>
      </c>
      <c r="G1823" t="s">
        <v>25</v>
      </c>
      <c r="H1823" t="s">
        <v>26</v>
      </c>
      <c r="I1823" t="s">
        <v>47</v>
      </c>
      <c r="J1823" t="s">
        <v>56</v>
      </c>
    </row>
    <row r="1824" spans="1:30" x14ac:dyDescent="0.2">
      <c r="A1824" s="3">
        <v>42606</v>
      </c>
      <c r="B1824" t="s">
        <v>23</v>
      </c>
      <c r="C1824">
        <v>401</v>
      </c>
      <c r="D1824">
        <v>5</v>
      </c>
      <c r="E1824">
        <v>2</v>
      </c>
      <c r="F1824" t="s">
        <v>64</v>
      </c>
      <c r="G1824" t="s">
        <v>25</v>
      </c>
      <c r="H1824" t="s">
        <v>26</v>
      </c>
      <c r="I1824" t="s">
        <v>47</v>
      </c>
      <c r="J1824" t="s">
        <v>56</v>
      </c>
    </row>
    <row r="1825" spans="1:29" x14ac:dyDescent="0.2">
      <c r="A1825" s="3">
        <v>42606</v>
      </c>
      <c r="B1825" t="s">
        <v>23</v>
      </c>
      <c r="C1825">
        <v>401</v>
      </c>
      <c r="D1825">
        <v>6</v>
      </c>
      <c r="E1825">
        <v>1</v>
      </c>
      <c r="F1825" t="s">
        <v>64</v>
      </c>
      <c r="G1825" t="s">
        <v>25</v>
      </c>
      <c r="H1825" t="s">
        <v>26</v>
      </c>
      <c r="I1825" t="s">
        <v>47</v>
      </c>
      <c r="J1825" t="s">
        <v>56</v>
      </c>
    </row>
    <row r="1826" spans="1:29" x14ac:dyDescent="0.2">
      <c r="A1826" s="3">
        <v>42606</v>
      </c>
      <c r="B1826" t="s">
        <v>23</v>
      </c>
      <c r="C1826">
        <v>703</v>
      </c>
      <c r="D1826">
        <v>7</v>
      </c>
      <c r="E1826">
        <v>2</v>
      </c>
      <c r="F1826" t="s">
        <v>24</v>
      </c>
      <c r="G1826" t="s">
        <v>25</v>
      </c>
      <c r="H1826" t="s">
        <v>26</v>
      </c>
      <c r="I1826" t="s">
        <v>47</v>
      </c>
      <c r="J1826" t="s">
        <v>56</v>
      </c>
    </row>
    <row r="1827" spans="1:29" x14ac:dyDescent="0.2">
      <c r="A1827" s="3">
        <v>42606</v>
      </c>
      <c r="B1827" t="s">
        <v>23</v>
      </c>
      <c r="C1827">
        <v>701</v>
      </c>
      <c r="D1827">
        <v>8</v>
      </c>
      <c r="E1827">
        <v>1</v>
      </c>
      <c r="F1827" t="s">
        <v>24</v>
      </c>
      <c r="G1827" t="s">
        <v>25</v>
      </c>
      <c r="H1827" t="s">
        <v>26</v>
      </c>
      <c r="I1827" t="s">
        <v>47</v>
      </c>
      <c r="J1827" t="s">
        <v>56</v>
      </c>
      <c r="AB1827" t="s">
        <v>44</v>
      </c>
      <c r="AC1827" t="s">
        <v>59</v>
      </c>
    </row>
    <row r="1828" spans="1:29" x14ac:dyDescent="0.2">
      <c r="A1828" s="3">
        <v>42606</v>
      </c>
      <c r="B1828" t="s">
        <v>23</v>
      </c>
      <c r="C1828">
        <v>801</v>
      </c>
      <c r="D1828">
        <v>10</v>
      </c>
      <c r="E1828">
        <v>1</v>
      </c>
      <c r="F1828" t="s">
        <v>24</v>
      </c>
      <c r="G1828" t="s">
        <v>25</v>
      </c>
      <c r="H1828" t="s">
        <v>26</v>
      </c>
      <c r="I1828" t="s">
        <v>47</v>
      </c>
      <c r="J1828" t="s">
        <v>56</v>
      </c>
      <c r="AB1828" t="s">
        <v>44</v>
      </c>
      <c r="AC1828" t="s">
        <v>59</v>
      </c>
    </row>
    <row r="1829" spans="1:29" x14ac:dyDescent="0.2">
      <c r="A1829" s="3">
        <v>42606</v>
      </c>
      <c r="B1829" t="s">
        <v>23</v>
      </c>
      <c r="C1829">
        <v>803</v>
      </c>
      <c r="D1829">
        <v>8</v>
      </c>
      <c r="E1829">
        <v>1</v>
      </c>
      <c r="F1829" t="s">
        <v>24</v>
      </c>
      <c r="G1829" t="s">
        <v>25</v>
      </c>
      <c r="H1829" t="s">
        <v>26</v>
      </c>
      <c r="I1829" t="s">
        <v>47</v>
      </c>
      <c r="J1829" t="s">
        <v>56</v>
      </c>
      <c r="AB1829" t="s">
        <v>44</v>
      </c>
      <c r="AC1829" t="s">
        <v>59</v>
      </c>
    </row>
    <row r="1830" spans="1:29" x14ac:dyDescent="0.2">
      <c r="A1830" s="3">
        <v>42606</v>
      </c>
      <c r="B1830" t="s">
        <v>23</v>
      </c>
      <c r="C1830">
        <v>803</v>
      </c>
      <c r="D1830">
        <v>8</v>
      </c>
      <c r="E1830">
        <v>2</v>
      </c>
      <c r="F1830" t="s">
        <v>24</v>
      </c>
      <c r="G1830" t="s">
        <v>25</v>
      </c>
      <c r="H1830" t="s">
        <v>26</v>
      </c>
      <c r="I1830" t="s">
        <v>47</v>
      </c>
      <c r="J1830" t="s">
        <v>56</v>
      </c>
      <c r="AB1830" t="s">
        <v>44</v>
      </c>
      <c r="AC1830" t="s">
        <v>59</v>
      </c>
    </row>
    <row r="1831" spans="1:29" x14ac:dyDescent="0.2">
      <c r="A1831" s="3">
        <v>42606</v>
      </c>
      <c r="B1831" t="s">
        <v>23</v>
      </c>
      <c r="C1831">
        <v>803</v>
      </c>
      <c r="D1831">
        <v>3</v>
      </c>
      <c r="E1831">
        <v>2</v>
      </c>
      <c r="F1831" t="s">
        <v>24</v>
      </c>
      <c r="G1831" t="s">
        <v>25</v>
      </c>
      <c r="H1831" t="s">
        <v>26</v>
      </c>
      <c r="I1831" t="s">
        <v>47</v>
      </c>
      <c r="J1831" t="s">
        <v>56</v>
      </c>
      <c r="AB1831" t="s">
        <v>44</v>
      </c>
      <c r="AC1831" t="s">
        <v>59</v>
      </c>
    </row>
    <row r="1832" spans="1:29" x14ac:dyDescent="0.2">
      <c r="A1832" s="3">
        <v>42501</v>
      </c>
      <c r="B1832" t="s">
        <v>23</v>
      </c>
      <c r="C1832">
        <v>303</v>
      </c>
      <c r="D1832">
        <v>9</v>
      </c>
      <c r="E1832">
        <v>1</v>
      </c>
      <c r="F1832" t="s">
        <v>24</v>
      </c>
      <c r="G1832" t="s">
        <v>25</v>
      </c>
      <c r="H1832" t="s">
        <v>26</v>
      </c>
      <c r="I1832" t="s">
        <v>72</v>
      </c>
      <c r="J1832" t="s">
        <v>56</v>
      </c>
      <c r="Z1832" t="s">
        <v>32</v>
      </c>
    </row>
    <row r="1833" spans="1:29" x14ac:dyDescent="0.2">
      <c r="A1833" s="3">
        <v>42551</v>
      </c>
      <c r="B1833" t="s">
        <v>23</v>
      </c>
      <c r="C1833">
        <v>503</v>
      </c>
      <c r="D1833">
        <v>6</v>
      </c>
      <c r="E1833">
        <v>1</v>
      </c>
      <c r="F1833" t="s">
        <v>33</v>
      </c>
      <c r="G1833" t="s">
        <v>25</v>
      </c>
      <c r="H1833" t="s">
        <v>26</v>
      </c>
      <c r="I1833" t="s">
        <v>72</v>
      </c>
      <c r="J1833" t="s">
        <v>206</v>
      </c>
      <c r="Z1833" t="s">
        <v>32</v>
      </c>
    </row>
    <row r="1834" spans="1:29" x14ac:dyDescent="0.2">
      <c r="A1834" s="3">
        <v>42551</v>
      </c>
      <c r="B1834" t="s">
        <v>23</v>
      </c>
      <c r="C1834">
        <v>801</v>
      </c>
      <c r="D1834">
        <v>9</v>
      </c>
      <c r="E1834">
        <v>1</v>
      </c>
      <c r="F1834" t="s">
        <v>24</v>
      </c>
      <c r="G1834" t="s">
        <v>25</v>
      </c>
      <c r="H1834" t="s">
        <v>26</v>
      </c>
      <c r="I1834" t="s">
        <v>72</v>
      </c>
      <c r="J1834" t="s">
        <v>56</v>
      </c>
      <c r="Z1834" t="s">
        <v>32</v>
      </c>
    </row>
    <row r="1835" spans="1:29" x14ac:dyDescent="0.2">
      <c r="A1835" s="3">
        <v>42558</v>
      </c>
      <c r="B1835" t="s">
        <v>23</v>
      </c>
      <c r="C1835">
        <v>304</v>
      </c>
      <c r="D1835">
        <v>2</v>
      </c>
      <c r="E1835">
        <v>1</v>
      </c>
      <c r="F1835" t="s">
        <v>24</v>
      </c>
      <c r="G1835" t="s">
        <v>25</v>
      </c>
      <c r="H1835" t="s">
        <v>26</v>
      </c>
      <c r="I1835" t="s">
        <v>72</v>
      </c>
      <c r="J1835" t="s">
        <v>56</v>
      </c>
    </row>
    <row r="1836" spans="1:29" x14ac:dyDescent="0.2">
      <c r="A1836" s="3">
        <v>42570</v>
      </c>
      <c r="B1836" t="s">
        <v>23</v>
      </c>
      <c r="C1836">
        <v>113</v>
      </c>
      <c r="D1836">
        <v>5</v>
      </c>
      <c r="E1836">
        <v>1</v>
      </c>
      <c r="F1836" t="s">
        <v>24</v>
      </c>
      <c r="G1836" t="s">
        <v>25</v>
      </c>
      <c r="H1836" t="s">
        <v>26</v>
      </c>
      <c r="I1836" t="s">
        <v>72</v>
      </c>
      <c r="J1836" t="s">
        <v>206</v>
      </c>
    </row>
    <row r="1837" spans="1:29" x14ac:dyDescent="0.2">
      <c r="A1837" s="3">
        <v>42575</v>
      </c>
      <c r="B1837" t="s">
        <v>23</v>
      </c>
      <c r="C1837">
        <v>503</v>
      </c>
      <c r="D1837">
        <v>10</v>
      </c>
      <c r="E1837">
        <v>2</v>
      </c>
      <c r="F1837" t="s">
        <v>33</v>
      </c>
      <c r="G1837" t="s">
        <v>25</v>
      </c>
      <c r="H1837" t="s">
        <v>26</v>
      </c>
      <c r="I1837" t="s">
        <v>72</v>
      </c>
      <c r="J1837" t="s">
        <v>206</v>
      </c>
    </row>
    <row r="1838" spans="1:29" x14ac:dyDescent="0.2">
      <c r="A1838" s="3">
        <v>42576</v>
      </c>
      <c r="B1838" t="s">
        <v>23</v>
      </c>
      <c r="C1838">
        <v>801</v>
      </c>
      <c r="D1838">
        <v>7</v>
      </c>
      <c r="E1838">
        <v>1</v>
      </c>
      <c r="F1838" t="s">
        <v>66</v>
      </c>
      <c r="G1838" t="s">
        <v>25</v>
      </c>
      <c r="H1838" t="s">
        <v>26</v>
      </c>
      <c r="I1838" t="s">
        <v>72</v>
      </c>
      <c r="J1838" t="s">
        <v>206</v>
      </c>
      <c r="AB1838" t="s">
        <v>121</v>
      </c>
      <c r="AC1838" t="s">
        <v>122</v>
      </c>
    </row>
    <row r="1839" spans="1:29" x14ac:dyDescent="0.2">
      <c r="A1839" s="3">
        <v>42576</v>
      </c>
      <c r="B1839" t="s">
        <v>23</v>
      </c>
      <c r="C1839">
        <v>801</v>
      </c>
      <c r="D1839">
        <v>10</v>
      </c>
      <c r="E1839">
        <v>2</v>
      </c>
      <c r="F1839" t="s">
        <v>66</v>
      </c>
      <c r="G1839" t="s">
        <v>25</v>
      </c>
      <c r="H1839" t="s">
        <v>26</v>
      </c>
      <c r="I1839" t="s">
        <v>72</v>
      </c>
      <c r="J1839" t="s">
        <v>206</v>
      </c>
    </row>
    <row r="1840" spans="1:29" x14ac:dyDescent="0.2">
      <c r="A1840" s="3">
        <v>42592</v>
      </c>
      <c r="B1840" t="s">
        <v>23</v>
      </c>
      <c r="C1840">
        <v>801</v>
      </c>
      <c r="D1840">
        <v>10</v>
      </c>
      <c r="E1840">
        <v>1</v>
      </c>
      <c r="F1840" t="s">
        <v>64</v>
      </c>
      <c r="G1840" t="s">
        <v>25</v>
      </c>
      <c r="H1840" t="s">
        <v>26</v>
      </c>
      <c r="I1840" t="s">
        <v>72</v>
      </c>
      <c r="J1840" t="s">
        <v>206</v>
      </c>
    </row>
    <row r="1841" spans="1:30" x14ac:dyDescent="0.2">
      <c r="A1841" s="3">
        <v>42592</v>
      </c>
      <c r="B1841" t="s">
        <v>23</v>
      </c>
      <c r="C1841">
        <v>503</v>
      </c>
      <c r="D1841">
        <v>4</v>
      </c>
      <c r="E1841">
        <v>1</v>
      </c>
      <c r="F1841" t="s">
        <v>24</v>
      </c>
      <c r="G1841" t="s">
        <v>25</v>
      </c>
      <c r="H1841" t="s">
        <v>26</v>
      </c>
      <c r="I1841" t="s">
        <v>72</v>
      </c>
      <c r="J1841" t="s">
        <v>206</v>
      </c>
    </row>
    <row r="1842" spans="1:30" x14ac:dyDescent="0.2">
      <c r="A1842" s="3">
        <v>42593</v>
      </c>
      <c r="B1842" t="s">
        <v>23</v>
      </c>
      <c r="C1842">
        <v>503</v>
      </c>
      <c r="D1842">
        <v>2</v>
      </c>
      <c r="E1842">
        <v>1</v>
      </c>
      <c r="F1842" t="s">
        <v>24</v>
      </c>
      <c r="G1842" t="s">
        <v>25</v>
      </c>
      <c r="H1842" t="s">
        <v>26</v>
      </c>
      <c r="I1842" t="s">
        <v>72</v>
      </c>
      <c r="J1842" t="s">
        <v>206</v>
      </c>
    </row>
    <row r="1843" spans="1:30" x14ac:dyDescent="0.2">
      <c r="A1843" s="3">
        <v>42593</v>
      </c>
      <c r="B1843" t="s">
        <v>23</v>
      </c>
      <c r="C1843">
        <v>503</v>
      </c>
      <c r="D1843">
        <v>6</v>
      </c>
      <c r="E1843">
        <v>2</v>
      </c>
      <c r="F1843" t="s">
        <v>24</v>
      </c>
      <c r="G1843" t="s">
        <v>25</v>
      </c>
      <c r="H1843" t="s">
        <v>26</v>
      </c>
      <c r="I1843" t="s">
        <v>72</v>
      </c>
      <c r="J1843" t="s">
        <v>206</v>
      </c>
    </row>
    <row r="1844" spans="1:30" x14ac:dyDescent="0.2">
      <c r="A1844" s="3">
        <v>42593</v>
      </c>
      <c r="B1844" t="s">
        <v>23</v>
      </c>
      <c r="C1844">
        <v>801</v>
      </c>
      <c r="D1844">
        <v>9</v>
      </c>
      <c r="E1844">
        <v>2</v>
      </c>
      <c r="F1844" t="s">
        <v>64</v>
      </c>
      <c r="G1844" t="s">
        <v>25</v>
      </c>
      <c r="H1844" t="s">
        <v>26</v>
      </c>
      <c r="I1844" t="s">
        <v>72</v>
      </c>
      <c r="J1844" t="s">
        <v>56</v>
      </c>
    </row>
    <row r="1845" spans="1:30" x14ac:dyDescent="0.2">
      <c r="A1845" s="3">
        <v>42593</v>
      </c>
      <c r="B1845" t="s">
        <v>23</v>
      </c>
      <c r="C1845">
        <v>801</v>
      </c>
      <c r="D1845">
        <v>10</v>
      </c>
      <c r="E1845">
        <v>1</v>
      </c>
      <c r="F1845" t="s">
        <v>64</v>
      </c>
      <c r="G1845" t="s">
        <v>25</v>
      </c>
      <c r="H1845" t="s">
        <v>26</v>
      </c>
      <c r="I1845" t="s">
        <v>72</v>
      </c>
      <c r="J1845" t="s">
        <v>56</v>
      </c>
    </row>
    <row r="1846" spans="1:30" x14ac:dyDescent="0.2">
      <c r="A1846" s="3">
        <v>42599</v>
      </c>
      <c r="B1846" t="s">
        <v>23</v>
      </c>
      <c r="C1846">
        <v>402</v>
      </c>
      <c r="D1846">
        <v>4</v>
      </c>
      <c r="E1846">
        <v>1</v>
      </c>
      <c r="F1846" t="s">
        <v>24</v>
      </c>
      <c r="G1846" t="s">
        <v>25</v>
      </c>
      <c r="H1846" t="s">
        <v>26</v>
      </c>
      <c r="I1846" t="s">
        <v>72</v>
      </c>
      <c r="J1846" t="s">
        <v>206</v>
      </c>
    </row>
    <row r="1847" spans="1:30" x14ac:dyDescent="0.2">
      <c r="A1847" s="3">
        <v>42604</v>
      </c>
      <c r="B1847" t="s">
        <v>23</v>
      </c>
      <c r="C1847">
        <v>503</v>
      </c>
      <c r="D1847">
        <v>9</v>
      </c>
      <c r="E1847">
        <v>2</v>
      </c>
      <c r="F1847" t="s">
        <v>64</v>
      </c>
      <c r="G1847" t="s">
        <v>25</v>
      </c>
      <c r="H1847" t="s">
        <v>26</v>
      </c>
      <c r="I1847" t="s">
        <v>72</v>
      </c>
      <c r="J1847" t="s">
        <v>206</v>
      </c>
    </row>
    <row r="1848" spans="1:30" x14ac:dyDescent="0.2">
      <c r="A1848" s="3">
        <v>42605</v>
      </c>
      <c r="B1848" t="s">
        <v>23</v>
      </c>
      <c r="C1848">
        <v>801</v>
      </c>
      <c r="D1848">
        <v>9</v>
      </c>
      <c r="E1848">
        <v>2</v>
      </c>
      <c r="F1848" t="s">
        <v>24</v>
      </c>
      <c r="G1848" t="s">
        <v>25</v>
      </c>
      <c r="H1848" t="s">
        <v>26</v>
      </c>
      <c r="I1848" t="s">
        <v>72</v>
      </c>
      <c r="J1848" t="s">
        <v>56</v>
      </c>
    </row>
    <row r="1849" spans="1:30" x14ac:dyDescent="0.2">
      <c r="A1849" s="3">
        <v>42605</v>
      </c>
      <c r="B1849" t="s">
        <v>23</v>
      </c>
      <c r="C1849">
        <v>803</v>
      </c>
      <c r="D1849">
        <v>7</v>
      </c>
      <c r="E1849">
        <v>2</v>
      </c>
      <c r="F1849" t="s">
        <v>24</v>
      </c>
      <c r="G1849" t="s">
        <v>25</v>
      </c>
      <c r="H1849" t="s">
        <v>26</v>
      </c>
      <c r="I1849" t="s">
        <v>72</v>
      </c>
      <c r="J1849" t="s">
        <v>56</v>
      </c>
    </row>
    <row r="1850" spans="1:30" x14ac:dyDescent="0.2">
      <c r="A1850" s="3">
        <v>42605</v>
      </c>
      <c r="B1850" t="s">
        <v>23</v>
      </c>
      <c r="C1850">
        <v>503</v>
      </c>
      <c r="D1850">
        <v>5</v>
      </c>
      <c r="E1850">
        <v>1</v>
      </c>
      <c r="F1850" t="s">
        <v>64</v>
      </c>
      <c r="G1850" t="s">
        <v>25</v>
      </c>
      <c r="H1850" t="s">
        <v>26</v>
      </c>
      <c r="I1850" t="s">
        <v>72</v>
      </c>
      <c r="J1850" t="s">
        <v>206</v>
      </c>
    </row>
    <row r="1851" spans="1:30" x14ac:dyDescent="0.2">
      <c r="A1851" s="3">
        <v>42605</v>
      </c>
      <c r="B1851" t="s">
        <v>23</v>
      </c>
      <c r="C1851">
        <v>503</v>
      </c>
      <c r="D1851">
        <v>8</v>
      </c>
      <c r="E1851">
        <v>1</v>
      </c>
      <c r="F1851" t="s">
        <v>64</v>
      </c>
      <c r="G1851" t="s">
        <v>25</v>
      </c>
      <c r="H1851" t="s">
        <v>26</v>
      </c>
      <c r="I1851" t="s">
        <v>72</v>
      </c>
      <c r="J1851" t="s">
        <v>206</v>
      </c>
    </row>
    <row r="1852" spans="1:30" x14ac:dyDescent="0.2">
      <c r="A1852" s="3">
        <v>42606</v>
      </c>
      <c r="B1852" t="s">
        <v>23</v>
      </c>
      <c r="C1852">
        <v>503</v>
      </c>
      <c r="D1852">
        <v>7</v>
      </c>
      <c r="E1852">
        <v>1</v>
      </c>
      <c r="F1852" t="s">
        <v>64</v>
      </c>
      <c r="G1852" t="s">
        <v>25</v>
      </c>
      <c r="H1852" t="s">
        <v>26</v>
      </c>
      <c r="I1852" t="s">
        <v>72</v>
      </c>
      <c r="J1852" t="s">
        <v>206</v>
      </c>
    </row>
    <row r="1853" spans="1:30" x14ac:dyDescent="0.2">
      <c r="A1853" s="3">
        <v>42606</v>
      </c>
      <c r="B1853" t="s">
        <v>23</v>
      </c>
      <c r="C1853">
        <v>801</v>
      </c>
      <c r="D1853">
        <v>2</v>
      </c>
      <c r="E1853">
        <v>2</v>
      </c>
      <c r="F1853" t="s">
        <v>24</v>
      </c>
      <c r="G1853" t="s">
        <v>25</v>
      </c>
      <c r="H1853" t="s">
        <v>26</v>
      </c>
      <c r="I1853" t="s">
        <v>72</v>
      </c>
      <c r="J1853" t="s">
        <v>206</v>
      </c>
    </row>
    <row r="1854" spans="1:30" x14ac:dyDescent="0.2">
      <c r="A1854" s="3">
        <v>42606</v>
      </c>
      <c r="B1854" t="s">
        <v>23</v>
      </c>
      <c r="C1854">
        <v>801</v>
      </c>
      <c r="D1854">
        <v>5</v>
      </c>
      <c r="E1854">
        <v>2</v>
      </c>
      <c r="F1854" t="s">
        <v>24</v>
      </c>
      <c r="G1854" t="s">
        <v>25</v>
      </c>
      <c r="H1854" t="s">
        <v>26</v>
      </c>
      <c r="I1854" t="s">
        <v>72</v>
      </c>
      <c r="J1854" t="s">
        <v>56</v>
      </c>
    </row>
    <row r="1855" spans="1:30" x14ac:dyDescent="0.2">
      <c r="A1855" s="3">
        <v>42508</v>
      </c>
      <c r="B1855" t="s">
        <v>23</v>
      </c>
      <c r="C1855">
        <v>201</v>
      </c>
      <c r="D1855">
        <v>8</v>
      </c>
      <c r="E1855">
        <v>2</v>
      </c>
      <c r="F1855" t="s">
        <v>33</v>
      </c>
      <c r="G1855" t="s">
        <v>25</v>
      </c>
      <c r="H1855" t="s">
        <v>26</v>
      </c>
      <c r="I1855" t="s">
        <v>119</v>
      </c>
      <c r="Z1855" t="s">
        <v>32</v>
      </c>
    </row>
    <row r="1856" spans="1:30" x14ac:dyDescent="0.2">
      <c r="A1856" s="3">
        <v>42543</v>
      </c>
      <c r="B1856" t="s">
        <v>23</v>
      </c>
      <c r="C1856">
        <v>201</v>
      </c>
      <c r="D1856">
        <v>2</v>
      </c>
      <c r="E1856">
        <v>1</v>
      </c>
      <c r="F1856" t="s">
        <v>33</v>
      </c>
      <c r="G1856" t="s">
        <v>25</v>
      </c>
      <c r="H1856" t="s">
        <v>26</v>
      </c>
      <c r="I1856" t="s">
        <v>119</v>
      </c>
      <c r="Z1856" t="s">
        <v>32</v>
      </c>
      <c r="AD1856" t="s">
        <v>288</v>
      </c>
    </row>
    <row r="1857" spans="1:26" x14ac:dyDescent="0.2">
      <c r="A1857" s="3">
        <v>42508</v>
      </c>
      <c r="B1857" t="s">
        <v>23</v>
      </c>
      <c r="C1857">
        <v>201</v>
      </c>
      <c r="D1857">
        <v>3</v>
      </c>
      <c r="E1857">
        <v>1</v>
      </c>
      <c r="F1857" t="s">
        <v>33</v>
      </c>
      <c r="G1857" t="s">
        <v>25</v>
      </c>
      <c r="H1857" t="s">
        <v>26</v>
      </c>
      <c r="I1857" t="s">
        <v>118</v>
      </c>
      <c r="Z1857" t="s">
        <v>32</v>
      </c>
    </row>
    <row r="1858" spans="1:26" x14ac:dyDescent="0.2">
      <c r="A1858" s="3">
        <v>42508</v>
      </c>
      <c r="B1858" t="s">
        <v>23</v>
      </c>
      <c r="C1858">
        <v>201</v>
      </c>
      <c r="D1858">
        <v>6</v>
      </c>
      <c r="E1858">
        <v>1</v>
      </c>
      <c r="F1858" t="s">
        <v>33</v>
      </c>
      <c r="G1858" t="s">
        <v>25</v>
      </c>
      <c r="H1858" t="s">
        <v>26</v>
      </c>
      <c r="I1858" t="s">
        <v>118</v>
      </c>
      <c r="Z1858" t="s">
        <v>32</v>
      </c>
    </row>
    <row r="1859" spans="1:26" x14ac:dyDescent="0.2">
      <c r="A1859" s="3">
        <v>42508</v>
      </c>
      <c r="B1859" t="s">
        <v>23</v>
      </c>
      <c r="C1859">
        <v>201</v>
      </c>
      <c r="D1859">
        <v>7</v>
      </c>
      <c r="E1859">
        <v>1</v>
      </c>
      <c r="F1859" t="s">
        <v>33</v>
      </c>
      <c r="G1859" t="s">
        <v>25</v>
      </c>
      <c r="H1859" t="s">
        <v>26</v>
      </c>
      <c r="I1859" t="s">
        <v>118</v>
      </c>
      <c r="Z1859" t="s">
        <v>32</v>
      </c>
    </row>
    <row r="1860" spans="1:26" x14ac:dyDescent="0.2">
      <c r="A1860" s="3">
        <v>42508</v>
      </c>
      <c r="B1860" t="s">
        <v>23</v>
      </c>
      <c r="C1860">
        <v>201</v>
      </c>
      <c r="D1860">
        <v>8</v>
      </c>
      <c r="E1860">
        <v>1</v>
      </c>
      <c r="F1860" t="s">
        <v>33</v>
      </c>
      <c r="G1860" t="s">
        <v>25</v>
      </c>
      <c r="H1860" t="s">
        <v>26</v>
      </c>
      <c r="I1860" t="s">
        <v>118</v>
      </c>
      <c r="Z1860" t="s">
        <v>32</v>
      </c>
    </row>
    <row r="1861" spans="1:26" x14ac:dyDescent="0.2">
      <c r="A1861" s="3">
        <v>42508</v>
      </c>
      <c r="B1861" t="s">
        <v>23</v>
      </c>
      <c r="C1861">
        <v>201</v>
      </c>
      <c r="D1861">
        <v>9</v>
      </c>
      <c r="E1861">
        <v>1</v>
      </c>
      <c r="F1861" t="s">
        <v>33</v>
      </c>
      <c r="G1861" t="s">
        <v>25</v>
      </c>
      <c r="H1861" t="s">
        <v>26</v>
      </c>
      <c r="I1861" t="s">
        <v>118</v>
      </c>
      <c r="Z1861" t="s">
        <v>32</v>
      </c>
    </row>
    <row r="1862" spans="1:26" x14ac:dyDescent="0.2">
      <c r="A1862" s="3">
        <v>42508</v>
      </c>
      <c r="B1862" t="s">
        <v>23</v>
      </c>
      <c r="C1862">
        <v>203</v>
      </c>
      <c r="D1862">
        <v>9</v>
      </c>
      <c r="E1862">
        <v>1</v>
      </c>
      <c r="F1862" t="s">
        <v>33</v>
      </c>
      <c r="G1862" t="s">
        <v>25</v>
      </c>
      <c r="H1862" t="s">
        <v>26</v>
      </c>
      <c r="I1862" t="s">
        <v>118</v>
      </c>
      <c r="Z1862" t="s">
        <v>32</v>
      </c>
    </row>
    <row r="1863" spans="1:26" x14ac:dyDescent="0.2">
      <c r="A1863" s="3">
        <v>42528</v>
      </c>
      <c r="B1863" t="s">
        <v>23</v>
      </c>
      <c r="C1863">
        <v>111</v>
      </c>
      <c r="D1863">
        <v>1</v>
      </c>
      <c r="E1863">
        <v>1</v>
      </c>
      <c r="F1863" t="s">
        <v>33</v>
      </c>
      <c r="G1863" t="s">
        <v>25</v>
      </c>
      <c r="H1863" t="s">
        <v>26</v>
      </c>
      <c r="I1863" t="s">
        <v>118</v>
      </c>
      <c r="Z1863" t="s">
        <v>32</v>
      </c>
    </row>
    <row r="1864" spans="1:26" x14ac:dyDescent="0.2">
      <c r="A1864" s="3">
        <v>42528</v>
      </c>
      <c r="B1864" t="s">
        <v>23</v>
      </c>
      <c r="C1864">
        <v>111</v>
      </c>
      <c r="D1864">
        <v>2</v>
      </c>
      <c r="E1864">
        <v>1</v>
      </c>
      <c r="F1864" t="s">
        <v>33</v>
      </c>
      <c r="G1864" t="s">
        <v>25</v>
      </c>
      <c r="H1864" t="s">
        <v>26</v>
      </c>
      <c r="I1864" t="s">
        <v>118</v>
      </c>
      <c r="Z1864" t="s">
        <v>32</v>
      </c>
    </row>
    <row r="1865" spans="1:26" x14ac:dyDescent="0.2">
      <c r="A1865" s="3">
        <v>42528</v>
      </c>
      <c r="B1865" t="s">
        <v>23</v>
      </c>
      <c r="C1865">
        <v>113</v>
      </c>
      <c r="D1865">
        <v>1</v>
      </c>
      <c r="E1865">
        <v>1</v>
      </c>
      <c r="F1865" t="s">
        <v>33</v>
      </c>
      <c r="G1865" t="s">
        <v>25</v>
      </c>
      <c r="H1865" t="s">
        <v>26</v>
      </c>
      <c r="I1865" t="s">
        <v>118</v>
      </c>
      <c r="Z1865" t="s">
        <v>32</v>
      </c>
    </row>
    <row r="1866" spans="1:26" x14ac:dyDescent="0.2">
      <c r="A1866" s="3">
        <v>42528</v>
      </c>
      <c r="B1866" t="s">
        <v>23</v>
      </c>
      <c r="C1866">
        <v>113</v>
      </c>
      <c r="D1866">
        <v>1</v>
      </c>
      <c r="E1866">
        <v>2</v>
      </c>
      <c r="F1866" t="s">
        <v>33</v>
      </c>
      <c r="G1866" t="s">
        <v>25</v>
      </c>
      <c r="H1866" t="s">
        <v>26</v>
      </c>
      <c r="I1866" t="s">
        <v>118</v>
      </c>
      <c r="Z1866" t="s">
        <v>32</v>
      </c>
    </row>
    <row r="1867" spans="1:26" x14ac:dyDescent="0.2">
      <c r="A1867" s="3">
        <v>42528</v>
      </c>
      <c r="B1867" t="s">
        <v>23</v>
      </c>
      <c r="C1867">
        <v>113</v>
      </c>
      <c r="D1867">
        <v>2</v>
      </c>
      <c r="E1867">
        <v>1</v>
      </c>
      <c r="F1867" t="s">
        <v>33</v>
      </c>
      <c r="G1867" t="s">
        <v>25</v>
      </c>
      <c r="H1867" t="s">
        <v>26</v>
      </c>
      <c r="I1867" t="s">
        <v>118</v>
      </c>
      <c r="Z1867" t="s">
        <v>32</v>
      </c>
    </row>
    <row r="1868" spans="1:26" x14ac:dyDescent="0.2">
      <c r="A1868" s="3">
        <v>42528</v>
      </c>
      <c r="B1868" t="s">
        <v>23</v>
      </c>
      <c r="C1868">
        <v>113</v>
      </c>
      <c r="D1868">
        <v>2</v>
      </c>
      <c r="E1868">
        <v>2</v>
      </c>
      <c r="F1868" t="s">
        <v>33</v>
      </c>
      <c r="G1868" t="s">
        <v>25</v>
      </c>
      <c r="H1868" t="s">
        <v>26</v>
      </c>
      <c r="I1868" t="s">
        <v>118</v>
      </c>
      <c r="Z1868" t="s">
        <v>32</v>
      </c>
    </row>
    <row r="1869" spans="1:26" x14ac:dyDescent="0.2">
      <c r="A1869" s="3">
        <v>42528</v>
      </c>
      <c r="B1869" t="s">
        <v>23</v>
      </c>
      <c r="C1869">
        <v>113</v>
      </c>
      <c r="D1869">
        <v>3</v>
      </c>
      <c r="E1869">
        <v>1</v>
      </c>
      <c r="F1869" t="s">
        <v>33</v>
      </c>
      <c r="G1869" t="s">
        <v>25</v>
      </c>
      <c r="H1869" t="s">
        <v>26</v>
      </c>
      <c r="I1869" t="s">
        <v>118</v>
      </c>
      <c r="Z1869" t="s">
        <v>32</v>
      </c>
    </row>
    <row r="1870" spans="1:26" x14ac:dyDescent="0.2">
      <c r="A1870" s="3">
        <v>42528</v>
      </c>
      <c r="B1870" t="s">
        <v>23</v>
      </c>
      <c r="C1870">
        <v>113</v>
      </c>
      <c r="D1870">
        <v>3</v>
      </c>
      <c r="E1870">
        <v>2</v>
      </c>
      <c r="F1870" t="s">
        <v>33</v>
      </c>
      <c r="G1870" t="s">
        <v>25</v>
      </c>
      <c r="H1870" t="s">
        <v>26</v>
      </c>
      <c r="I1870" t="s">
        <v>118</v>
      </c>
      <c r="Z1870" t="s">
        <v>32</v>
      </c>
    </row>
    <row r="1871" spans="1:26" x14ac:dyDescent="0.2">
      <c r="A1871" s="3">
        <v>42528</v>
      </c>
      <c r="B1871" t="s">
        <v>23</v>
      </c>
      <c r="C1871">
        <v>113</v>
      </c>
      <c r="D1871">
        <v>4</v>
      </c>
      <c r="E1871">
        <v>1</v>
      </c>
      <c r="F1871" t="s">
        <v>33</v>
      </c>
      <c r="G1871" t="s">
        <v>25</v>
      </c>
      <c r="H1871" t="s">
        <v>26</v>
      </c>
      <c r="I1871" t="s">
        <v>118</v>
      </c>
      <c r="Z1871" t="s">
        <v>32</v>
      </c>
    </row>
    <row r="1872" spans="1:26" x14ac:dyDescent="0.2">
      <c r="A1872" s="3">
        <v>42528</v>
      </c>
      <c r="B1872" t="s">
        <v>23</v>
      </c>
      <c r="C1872">
        <v>113</v>
      </c>
      <c r="D1872">
        <v>4</v>
      </c>
      <c r="E1872">
        <v>2</v>
      </c>
      <c r="F1872" t="s">
        <v>33</v>
      </c>
      <c r="G1872" t="s">
        <v>25</v>
      </c>
      <c r="H1872" t="s">
        <v>26</v>
      </c>
      <c r="I1872" t="s">
        <v>118</v>
      </c>
      <c r="Z1872" t="s">
        <v>32</v>
      </c>
    </row>
    <row r="1873" spans="1:26" x14ac:dyDescent="0.2">
      <c r="A1873" s="3">
        <v>42528</v>
      </c>
      <c r="B1873" t="s">
        <v>23</v>
      </c>
      <c r="C1873">
        <v>113</v>
      </c>
      <c r="D1873">
        <v>5</v>
      </c>
      <c r="E1873">
        <v>1</v>
      </c>
      <c r="F1873" t="s">
        <v>33</v>
      </c>
      <c r="G1873" t="s">
        <v>25</v>
      </c>
      <c r="H1873" t="s">
        <v>26</v>
      </c>
      <c r="I1873" t="s">
        <v>118</v>
      </c>
      <c r="Z1873" t="s">
        <v>32</v>
      </c>
    </row>
    <row r="1874" spans="1:26" x14ac:dyDescent="0.2">
      <c r="A1874" s="3">
        <v>42528</v>
      </c>
      <c r="B1874" t="s">
        <v>23</v>
      </c>
      <c r="C1874">
        <v>113</v>
      </c>
      <c r="D1874">
        <v>5</v>
      </c>
      <c r="E1874">
        <v>2</v>
      </c>
      <c r="F1874" t="s">
        <v>33</v>
      </c>
      <c r="G1874" t="s">
        <v>25</v>
      </c>
      <c r="H1874" t="s">
        <v>26</v>
      </c>
      <c r="I1874" t="s">
        <v>118</v>
      </c>
      <c r="Z1874" t="s">
        <v>32</v>
      </c>
    </row>
    <row r="1875" spans="1:26" x14ac:dyDescent="0.2">
      <c r="A1875" s="3">
        <v>42528</v>
      </c>
      <c r="B1875" t="s">
        <v>23</v>
      </c>
      <c r="C1875">
        <v>113</v>
      </c>
      <c r="D1875">
        <v>6</v>
      </c>
      <c r="E1875">
        <v>1</v>
      </c>
      <c r="F1875" t="s">
        <v>33</v>
      </c>
      <c r="G1875" t="s">
        <v>25</v>
      </c>
      <c r="H1875" t="s">
        <v>26</v>
      </c>
      <c r="I1875" t="s">
        <v>118</v>
      </c>
      <c r="Z1875" t="s">
        <v>32</v>
      </c>
    </row>
    <row r="1876" spans="1:26" x14ac:dyDescent="0.2">
      <c r="A1876" s="3">
        <v>42528</v>
      </c>
      <c r="B1876" t="s">
        <v>23</v>
      </c>
      <c r="C1876">
        <v>113</v>
      </c>
      <c r="D1876">
        <v>6</v>
      </c>
      <c r="E1876">
        <v>2</v>
      </c>
      <c r="F1876" t="s">
        <v>33</v>
      </c>
      <c r="G1876" t="s">
        <v>25</v>
      </c>
      <c r="H1876" t="s">
        <v>26</v>
      </c>
      <c r="I1876" t="s">
        <v>118</v>
      </c>
      <c r="Z1876" t="s">
        <v>32</v>
      </c>
    </row>
    <row r="1877" spans="1:26" x14ac:dyDescent="0.2">
      <c r="A1877" s="3">
        <v>42528</v>
      </c>
      <c r="B1877" t="s">
        <v>23</v>
      </c>
      <c r="C1877">
        <v>113</v>
      </c>
      <c r="D1877">
        <v>7</v>
      </c>
      <c r="E1877">
        <v>1</v>
      </c>
      <c r="F1877" t="s">
        <v>33</v>
      </c>
      <c r="G1877" t="s">
        <v>25</v>
      </c>
      <c r="H1877" t="s">
        <v>26</v>
      </c>
      <c r="I1877" t="s">
        <v>118</v>
      </c>
      <c r="Z1877" t="s">
        <v>32</v>
      </c>
    </row>
    <row r="1878" spans="1:26" x14ac:dyDescent="0.2">
      <c r="A1878" s="3">
        <v>42528</v>
      </c>
      <c r="B1878" t="s">
        <v>23</v>
      </c>
      <c r="C1878">
        <v>113</v>
      </c>
      <c r="D1878">
        <v>7</v>
      </c>
      <c r="E1878">
        <v>2</v>
      </c>
      <c r="F1878" t="s">
        <v>33</v>
      </c>
      <c r="G1878" t="s">
        <v>25</v>
      </c>
      <c r="H1878" t="s">
        <v>26</v>
      </c>
      <c r="I1878" t="s">
        <v>118</v>
      </c>
      <c r="Z1878" t="s">
        <v>32</v>
      </c>
    </row>
    <row r="1879" spans="1:26" x14ac:dyDescent="0.2">
      <c r="A1879" s="3">
        <v>42528</v>
      </c>
      <c r="B1879" t="s">
        <v>23</v>
      </c>
      <c r="C1879">
        <v>113</v>
      </c>
      <c r="D1879">
        <v>8</v>
      </c>
      <c r="E1879">
        <v>1</v>
      </c>
      <c r="F1879" t="s">
        <v>33</v>
      </c>
      <c r="G1879" t="s">
        <v>25</v>
      </c>
      <c r="H1879" t="s">
        <v>26</v>
      </c>
      <c r="I1879" t="s">
        <v>118</v>
      </c>
      <c r="Z1879" t="s">
        <v>32</v>
      </c>
    </row>
    <row r="1880" spans="1:26" x14ac:dyDescent="0.2">
      <c r="A1880" s="3">
        <v>42528</v>
      </c>
      <c r="B1880" t="s">
        <v>23</v>
      </c>
      <c r="C1880">
        <v>113</v>
      </c>
      <c r="D1880">
        <v>8</v>
      </c>
      <c r="E1880">
        <v>2</v>
      </c>
      <c r="F1880" t="s">
        <v>33</v>
      </c>
      <c r="G1880" t="s">
        <v>25</v>
      </c>
      <c r="H1880" t="s">
        <v>26</v>
      </c>
      <c r="I1880" t="s">
        <v>118</v>
      </c>
      <c r="Z1880" t="s">
        <v>32</v>
      </c>
    </row>
    <row r="1881" spans="1:26" x14ac:dyDescent="0.2">
      <c r="A1881" s="3">
        <v>42528</v>
      </c>
      <c r="B1881" t="s">
        <v>23</v>
      </c>
      <c r="C1881">
        <v>113</v>
      </c>
      <c r="D1881">
        <v>9</v>
      </c>
      <c r="E1881">
        <v>1</v>
      </c>
      <c r="F1881" t="s">
        <v>33</v>
      </c>
      <c r="G1881" t="s">
        <v>25</v>
      </c>
      <c r="H1881" t="s">
        <v>26</v>
      </c>
      <c r="I1881" t="s">
        <v>118</v>
      </c>
      <c r="Z1881" t="s">
        <v>32</v>
      </c>
    </row>
    <row r="1882" spans="1:26" x14ac:dyDescent="0.2">
      <c r="A1882" s="3">
        <v>42528</v>
      </c>
      <c r="B1882" t="s">
        <v>23</v>
      </c>
      <c r="C1882">
        <v>113</v>
      </c>
      <c r="D1882">
        <v>9</v>
      </c>
      <c r="E1882">
        <v>2</v>
      </c>
      <c r="F1882" t="s">
        <v>33</v>
      </c>
      <c r="G1882" t="s">
        <v>25</v>
      </c>
      <c r="H1882" t="s">
        <v>26</v>
      </c>
      <c r="I1882" t="s">
        <v>118</v>
      </c>
      <c r="Z1882" t="s">
        <v>32</v>
      </c>
    </row>
    <row r="1883" spans="1:26" x14ac:dyDescent="0.2">
      <c r="A1883" s="3">
        <v>42528</v>
      </c>
      <c r="B1883" t="s">
        <v>23</v>
      </c>
      <c r="C1883">
        <v>113</v>
      </c>
      <c r="D1883">
        <v>10</v>
      </c>
      <c r="E1883">
        <v>1</v>
      </c>
      <c r="F1883" t="s">
        <v>33</v>
      </c>
      <c r="G1883" t="s">
        <v>25</v>
      </c>
      <c r="H1883" t="s">
        <v>26</v>
      </c>
      <c r="I1883" t="s">
        <v>118</v>
      </c>
      <c r="Z1883" t="s">
        <v>32</v>
      </c>
    </row>
    <row r="1884" spans="1:26" x14ac:dyDescent="0.2">
      <c r="A1884" s="3">
        <v>42528</v>
      </c>
      <c r="B1884" t="s">
        <v>23</v>
      </c>
      <c r="C1884">
        <v>113</v>
      </c>
      <c r="D1884">
        <v>10</v>
      </c>
      <c r="E1884">
        <v>2</v>
      </c>
      <c r="F1884" t="s">
        <v>33</v>
      </c>
      <c r="G1884" t="s">
        <v>25</v>
      </c>
      <c r="H1884" t="s">
        <v>26</v>
      </c>
      <c r="I1884" t="s">
        <v>118</v>
      </c>
      <c r="Z1884" t="s">
        <v>32</v>
      </c>
    </row>
    <row r="1885" spans="1:26" x14ac:dyDescent="0.2">
      <c r="A1885" s="3">
        <v>42528</v>
      </c>
      <c r="B1885" t="s">
        <v>23</v>
      </c>
      <c r="C1885">
        <v>402</v>
      </c>
      <c r="D1885">
        <v>1</v>
      </c>
      <c r="E1885">
        <v>1</v>
      </c>
      <c r="F1885" t="s">
        <v>33</v>
      </c>
      <c r="G1885" t="s">
        <v>25</v>
      </c>
      <c r="H1885" t="s">
        <v>26</v>
      </c>
      <c r="I1885" t="s">
        <v>118</v>
      </c>
      <c r="Z1885" t="s">
        <v>32</v>
      </c>
    </row>
    <row r="1886" spans="1:26" x14ac:dyDescent="0.2">
      <c r="A1886" s="3">
        <v>42528</v>
      </c>
      <c r="B1886" t="s">
        <v>23</v>
      </c>
      <c r="C1886">
        <v>402</v>
      </c>
      <c r="D1886">
        <v>1</v>
      </c>
      <c r="E1886">
        <v>2</v>
      </c>
      <c r="F1886" t="s">
        <v>33</v>
      </c>
      <c r="G1886" t="s">
        <v>25</v>
      </c>
      <c r="H1886" t="s">
        <v>26</v>
      </c>
      <c r="I1886" t="s">
        <v>118</v>
      </c>
      <c r="Z1886" t="s">
        <v>32</v>
      </c>
    </row>
    <row r="1887" spans="1:26" x14ac:dyDescent="0.2">
      <c r="A1887" s="3">
        <v>42528</v>
      </c>
      <c r="B1887" t="s">
        <v>23</v>
      </c>
      <c r="C1887">
        <v>402</v>
      </c>
      <c r="D1887">
        <v>2</v>
      </c>
      <c r="E1887">
        <v>1</v>
      </c>
      <c r="F1887" t="s">
        <v>33</v>
      </c>
      <c r="G1887" t="s">
        <v>25</v>
      </c>
      <c r="H1887" t="s">
        <v>26</v>
      </c>
      <c r="I1887" t="s">
        <v>118</v>
      </c>
      <c r="Z1887" t="s">
        <v>32</v>
      </c>
    </row>
    <row r="1888" spans="1:26" x14ac:dyDescent="0.2">
      <c r="A1888" s="3">
        <v>42528</v>
      </c>
      <c r="B1888" t="s">
        <v>23</v>
      </c>
      <c r="C1888">
        <v>402</v>
      </c>
      <c r="D1888">
        <v>2</v>
      </c>
      <c r="E1888">
        <v>2</v>
      </c>
      <c r="F1888" t="s">
        <v>33</v>
      </c>
      <c r="G1888" t="s">
        <v>25</v>
      </c>
      <c r="H1888" t="s">
        <v>26</v>
      </c>
      <c r="I1888" t="s">
        <v>118</v>
      </c>
      <c r="Z1888" t="s">
        <v>32</v>
      </c>
    </row>
    <row r="1889" spans="1:26" x14ac:dyDescent="0.2">
      <c r="A1889" s="3">
        <v>42528</v>
      </c>
      <c r="B1889" t="s">
        <v>23</v>
      </c>
      <c r="C1889">
        <v>402</v>
      </c>
      <c r="D1889">
        <v>3</v>
      </c>
      <c r="E1889">
        <v>1</v>
      </c>
      <c r="F1889" t="s">
        <v>33</v>
      </c>
      <c r="G1889" t="s">
        <v>25</v>
      </c>
      <c r="H1889" t="s">
        <v>26</v>
      </c>
      <c r="I1889" t="s">
        <v>118</v>
      </c>
      <c r="Z1889" t="s">
        <v>32</v>
      </c>
    </row>
    <row r="1890" spans="1:26" x14ac:dyDescent="0.2">
      <c r="A1890" s="3">
        <v>42528</v>
      </c>
      <c r="B1890" t="s">
        <v>23</v>
      </c>
      <c r="C1890">
        <v>402</v>
      </c>
      <c r="D1890">
        <v>3</v>
      </c>
      <c r="E1890">
        <v>2</v>
      </c>
      <c r="F1890" t="s">
        <v>33</v>
      </c>
      <c r="G1890" t="s">
        <v>25</v>
      </c>
      <c r="H1890" t="s">
        <v>26</v>
      </c>
      <c r="I1890" t="s">
        <v>118</v>
      </c>
      <c r="Z1890" t="s">
        <v>32</v>
      </c>
    </row>
    <row r="1891" spans="1:26" x14ac:dyDescent="0.2">
      <c r="A1891" s="3">
        <v>42528</v>
      </c>
      <c r="B1891" t="s">
        <v>23</v>
      </c>
      <c r="C1891">
        <v>402</v>
      </c>
      <c r="D1891">
        <v>4</v>
      </c>
      <c r="E1891">
        <v>1</v>
      </c>
      <c r="F1891" t="s">
        <v>33</v>
      </c>
      <c r="G1891" t="s">
        <v>25</v>
      </c>
      <c r="H1891" t="s">
        <v>26</v>
      </c>
      <c r="I1891" t="s">
        <v>118</v>
      </c>
      <c r="Z1891" t="s">
        <v>32</v>
      </c>
    </row>
    <row r="1892" spans="1:26" x14ac:dyDescent="0.2">
      <c r="A1892" s="3">
        <v>42528</v>
      </c>
      <c r="B1892" t="s">
        <v>23</v>
      </c>
      <c r="C1892">
        <v>402</v>
      </c>
      <c r="D1892">
        <v>4</v>
      </c>
      <c r="E1892">
        <v>2</v>
      </c>
      <c r="F1892" t="s">
        <v>33</v>
      </c>
      <c r="G1892" t="s">
        <v>25</v>
      </c>
      <c r="H1892" t="s">
        <v>26</v>
      </c>
      <c r="I1892" t="s">
        <v>118</v>
      </c>
      <c r="Z1892" t="s">
        <v>32</v>
      </c>
    </row>
    <row r="1893" spans="1:26" x14ac:dyDescent="0.2">
      <c r="A1893" s="3">
        <v>42528</v>
      </c>
      <c r="B1893" t="s">
        <v>23</v>
      </c>
      <c r="C1893">
        <v>402</v>
      </c>
      <c r="D1893">
        <v>5</v>
      </c>
      <c r="E1893">
        <v>1</v>
      </c>
      <c r="F1893" t="s">
        <v>33</v>
      </c>
      <c r="G1893" t="s">
        <v>25</v>
      </c>
      <c r="H1893" t="s">
        <v>26</v>
      </c>
      <c r="I1893" t="s">
        <v>118</v>
      </c>
      <c r="Z1893" t="s">
        <v>32</v>
      </c>
    </row>
    <row r="1894" spans="1:26" x14ac:dyDescent="0.2">
      <c r="A1894" s="3">
        <v>42528</v>
      </c>
      <c r="B1894" t="s">
        <v>23</v>
      </c>
      <c r="C1894">
        <v>402</v>
      </c>
      <c r="D1894">
        <v>5</v>
      </c>
      <c r="E1894">
        <v>2</v>
      </c>
      <c r="F1894" t="s">
        <v>33</v>
      </c>
      <c r="G1894" t="s">
        <v>25</v>
      </c>
      <c r="H1894" t="s">
        <v>26</v>
      </c>
      <c r="I1894" t="s">
        <v>118</v>
      </c>
      <c r="Z1894" t="s">
        <v>32</v>
      </c>
    </row>
    <row r="1895" spans="1:26" x14ac:dyDescent="0.2">
      <c r="A1895" s="3">
        <v>42528</v>
      </c>
      <c r="B1895" t="s">
        <v>23</v>
      </c>
      <c r="C1895">
        <v>402</v>
      </c>
      <c r="D1895">
        <v>6</v>
      </c>
      <c r="E1895">
        <v>1</v>
      </c>
      <c r="F1895" t="s">
        <v>33</v>
      </c>
      <c r="G1895" t="s">
        <v>25</v>
      </c>
      <c r="H1895" t="s">
        <v>26</v>
      </c>
      <c r="I1895" t="s">
        <v>118</v>
      </c>
      <c r="Z1895" t="s">
        <v>32</v>
      </c>
    </row>
    <row r="1896" spans="1:26" x14ac:dyDescent="0.2">
      <c r="A1896" s="3">
        <v>42528</v>
      </c>
      <c r="B1896" t="s">
        <v>23</v>
      </c>
      <c r="C1896">
        <v>402</v>
      </c>
      <c r="D1896">
        <v>6</v>
      </c>
      <c r="E1896">
        <v>2</v>
      </c>
      <c r="F1896" t="s">
        <v>33</v>
      </c>
      <c r="G1896" t="s">
        <v>25</v>
      </c>
      <c r="H1896" t="s">
        <v>26</v>
      </c>
      <c r="I1896" t="s">
        <v>118</v>
      </c>
      <c r="Z1896" t="s">
        <v>32</v>
      </c>
    </row>
    <row r="1897" spans="1:26" x14ac:dyDescent="0.2">
      <c r="A1897" s="3">
        <v>42528</v>
      </c>
      <c r="B1897" t="s">
        <v>23</v>
      </c>
      <c r="C1897">
        <v>402</v>
      </c>
      <c r="D1897">
        <v>7</v>
      </c>
      <c r="E1897">
        <v>1</v>
      </c>
      <c r="F1897" t="s">
        <v>33</v>
      </c>
      <c r="G1897" t="s">
        <v>25</v>
      </c>
      <c r="H1897" t="s">
        <v>26</v>
      </c>
      <c r="I1897" t="s">
        <v>118</v>
      </c>
      <c r="Z1897" t="s">
        <v>32</v>
      </c>
    </row>
    <row r="1898" spans="1:26" x14ac:dyDescent="0.2">
      <c r="A1898" s="3">
        <v>42528</v>
      </c>
      <c r="B1898" t="s">
        <v>23</v>
      </c>
      <c r="C1898">
        <v>402</v>
      </c>
      <c r="D1898">
        <v>7</v>
      </c>
      <c r="E1898">
        <v>2</v>
      </c>
      <c r="F1898" t="s">
        <v>33</v>
      </c>
      <c r="G1898" t="s">
        <v>25</v>
      </c>
      <c r="H1898" t="s">
        <v>26</v>
      </c>
      <c r="I1898" t="s">
        <v>118</v>
      </c>
      <c r="Z1898" t="s">
        <v>32</v>
      </c>
    </row>
    <row r="1899" spans="1:26" x14ac:dyDescent="0.2">
      <c r="A1899" s="3">
        <v>42528</v>
      </c>
      <c r="B1899" t="s">
        <v>23</v>
      </c>
      <c r="C1899">
        <v>402</v>
      </c>
      <c r="D1899">
        <v>8</v>
      </c>
      <c r="E1899">
        <v>1</v>
      </c>
      <c r="F1899" t="s">
        <v>33</v>
      </c>
      <c r="G1899" t="s">
        <v>25</v>
      </c>
      <c r="H1899" t="s">
        <v>26</v>
      </c>
      <c r="I1899" t="s">
        <v>118</v>
      </c>
      <c r="Z1899" t="s">
        <v>32</v>
      </c>
    </row>
    <row r="1900" spans="1:26" x14ac:dyDescent="0.2">
      <c r="A1900" s="3">
        <v>42528</v>
      </c>
      <c r="B1900" t="s">
        <v>23</v>
      </c>
      <c r="C1900">
        <v>402</v>
      </c>
      <c r="D1900">
        <v>8</v>
      </c>
      <c r="E1900">
        <v>2</v>
      </c>
      <c r="F1900" t="s">
        <v>33</v>
      </c>
      <c r="G1900" t="s">
        <v>25</v>
      </c>
      <c r="H1900" t="s">
        <v>26</v>
      </c>
      <c r="I1900" t="s">
        <v>118</v>
      </c>
      <c r="Z1900" t="s">
        <v>32</v>
      </c>
    </row>
    <row r="1901" spans="1:26" x14ac:dyDescent="0.2">
      <c r="A1901" s="3">
        <v>42528</v>
      </c>
      <c r="B1901" t="s">
        <v>23</v>
      </c>
      <c r="C1901">
        <v>402</v>
      </c>
      <c r="D1901">
        <v>9</v>
      </c>
      <c r="E1901">
        <v>1</v>
      </c>
      <c r="F1901" t="s">
        <v>33</v>
      </c>
      <c r="G1901" t="s">
        <v>25</v>
      </c>
      <c r="H1901" t="s">
        <v>26</v>
      </c>
      <c r="I1901" t="s">
        <v>118</v>
      </c>
      <c r="Z1901" t="s">
        <v>32</v>
      </c>
    </row>
    <row r="1902" spans="1:26" x14ac:dyDescent="0.2">
      <c r="A1902" s="3">
        <v>42528</v>
      </c>
      <c r="B1902" t="s">
        <v>23</v>
      </c>
      <c r="C1902">
        <v>402</v>
      </c>
      <c r="D1902">
        <v>9</v>
      </c>
      <c r="E1902">
        <v>2</v>
      </c>
      <c r="F1902" t="s">
        <v>33</v>
      </c>
      <c r="G1902" t="s">
        <v>25</v>
      </c>
      <c r="H1902" t="s">
        <v>26</v>
      </c>
      <c r="I1902" t="s">
        <v>118</v>
      </c>
      <c r="Z1902" t="s">
        <v>32</v>
      </c>
    </row>
    <row r="1903" spans="1:26" x14ac:dyDescent="0.2">
      <c r="A1903" s="3">
        <v>42528</v>
      </c>
      <c r="B1903" t="s">
        <v>23</v>
      </c>
      <c r="C1903">
        <v>402</v>
      </c>
      <c r="D1903">
        <v>10</v>
      </c>
      <c r="E1903">
        <v>1</v>
      </c>
      <c r="F1903" t="s">
        <v>33</v>
      </c>
      <c r="G1903" t="s">
        <v>25</v>
      </c>
      <c r="H1903" t="s">
        <v>26</v>
      </c>
      <c r="I1903" t="s">
        <v>118</v>
      </c>
      <c r="Z1903" t="s">
        <v>32</v>
      </c>
    </row>
    <row r="1904" spans="1:26" x14ac:dyDescent="0.2">
      <c r="A1904" s="3">
        <v>42528</v>
      </c>
      <c r="B1904" t="s">
        <v>23</v>
      </c>
      <c r="C1904">
        <v>402</v>
      </c>
      <c r="D1904">
        <v>10</v>
      </c>
      <c r="E1904">
        <v>2</v>
      </c>
      <c r="F1904" t="s">
        <v>33</v>
      </c>
      <c r="G1904" t="s">
        <v>25</v>
      </c>
      <c r="H1904" t="s">
        <v>26</v>
      </c>
      <c r="I1904" t="s">
        <v>118</v>
      </c>
      <c r="Z1904" t="s">
        <v>32</v>
      </c>
    </row>
    <row r="1905" spans="1:26" x14ac:dyDescent="0.2">
      <c r="A1905" s="3">
        <v>42529</v>
      </c>
      <c r="B1905" t="s">
        <v>23</v>
      </c>
      <c r="C1905">
        <v>111</v>
      </c>
      <c r="D1905">
        <v>1</v>
      </c>
      <c r="E1905">
        <v>1</v>
      </c>
      <c r="F1905" t="s">
        <v>33</v>
      </c>
      <c r="G1905" t="s">
        <v>25</v>
      </c>
      <c r="H1905" t="s">
        <v>26</v>
      </c>
      <c r="I1905" t="s">
        <v>118</v>
      </c>
      <c r="Z1905" t="s">
        <v>32</v>
      </c>
    </row>
    <row r="1906" spans="1:26" x14ac:dyDescent="0.2">
      <c r="A1906" s="3">
        <v>42529</v>
      </c>
      <c r="B1906" t="s">
        <v>23</v>
      </c>
      <c r="C1906">
        <v>111</v>
      </c>
      <c r="D1906">
        <v>1</v>
      </c>
      <c r="E1906">
        <v>2</v>
      </c>
      <c r="F1906" t="s">
        <v>33</v>
      </c>
      <c r="G1906" t="s">
        <v>25</v>
      </c>
      <c r="H1906" t="s">
        <v>26</v>
      </c>
      <c r="I1906" t="s">
        <v>118</v>
      </c>
      <c r="Z1906" t="s">
        <v>32</v>
      </c>
    </row>
    <row r="1907" spans="1:26" x14ac:dyDescent="0.2">
      <c r="A1907" s="3">
        <v>42529</v>
      </c>
      <c r="B1907" t="s">
        <v>23</v>
      </c>
      <c r="C1907">
        <v>111</v>
      </c>
      <c r="D1907">
        <v>2</v>
      </c>
      <c r="E1907">
        <v>1</v>
      </c>
      <c r="F1907" t="s">
        <v>33</v>
      </c>
      <c r="G1907" t="s">
        <v>25</v>
      </c>
      <c r="H1907" t="s">
        <v>26</v>
      </c>
      <c r="I1907" t="s">
        <v>118</v>
      </c>
      <c r="Z1907" t="s">
        <v>32</v>
      </c>
    </row>
    <row r="1908" spans="1:26" x14ac:dyDescent="0.2">
      <c r="A1908" s="3">
        <v>42529</v>
      </c>
      <c r="B1908" t="s">
        <v>23</v>
      </c>
      <c r="C1908">
        <v>111</v>
      </c>
      <c r="D1908">
        <v>2</v>
      </c>
      <c r="E1908">
        <v>2</v>
      </c>
      <c r="F1908" t="s">
        <v>33</v>
      </c>
      <c r="G1908" t="s">
        <v>25</v>
      </c>
      <c r="H1908" t="s">
        <v>26</v>
      </c>
      <c r="I1908" t="s">
        <v>118</v>
      </c>
      <c r="Z1908" t="s">
        <v>32</v>
      </c>
    </row>
    <row r="1909" spans="1:26" x14ac:dyDescent="0.2">
      <c r="A1909" s="3">
        <v>42529</v>
      </c>
      <c r="B1909" t="s">
        <v>23</v>
      </c>
      <c r="C1909">
        <v>111</v>
      </c>
      <c r="D1909">
        <v>3</v>
      </c>
      <c r="E1909">
        <v>1</v>
      </c>
      <c r="F1909" t="s">
        <v>33</v>
      </c>
      <c r="G1909" t="s">
        <v>25</v>
      </c>
      <c r="H1909" t="s">
        <v>26</v>
      </c>
      <c r="I1909" t="s">
        <v>118</v>
      </c>
      <c r="Z1909" t="s">
        <v>32</v>
      </c>
    </row>
    <row r="1910" spans="1:26" x14ac:dyDescent="0.2">
      <c r="A1910" s="3">
        <v>42529</v>
      </c>
      <c r="B1910" t="s">
        <v>23</v>
      </c>
      <c r="C1910">
        <v>111</v>
      </c>
      <c r="D1910">
        <v>3</v>
      </c>
      <c r="E1910">
        <v>2</v>
      </c>
      <c r="F1910" t="s">
        <v>33</v>
      </c>
      <c r="G1910" t="s">
        <v>25</v>
      </c>
      <c r="H1910" t="s">
        <v>26</v>
      </c>
      <c r="I1910" t="s">
        <v>118</v>
      </c>
      <c r="Z1910" t="s">
        <v>32</v>
      </c>
    </row>
    <row r="1911" spans="1:26" x14ac:dyDescent="0.2">
      <c r="A1911" s="3">
        <v>42529</v>
      </c>
      <c r="B1911" t="s">
        <v>23</v>
      </c>
      <c r="C1911">
        <v>111</v>
      </c>
      <c r="D1911">
        <v>4</v>
      </c>
      <c r="E1911">
        <v>1</v>
      </c>
      <c r="F1911" t="s">
        <v>33</v>
      </c>
      <c r="G1911" t="s">
        <v>25</v>
      </c>
      <c r="H1911" t="s">
        <v>26</v>
      </c>
      <c r="I1911" t="s">
        <v>118</v>
      </c>
      <c r="Z1911" t="s">
        <v>32</v>
      </c>
    </row>
    <row r="1912" spans="1:26" x14ac:dyDescent="0.2">
      <c r="A1912" s="3">
        <v>42529</v>
      </c>
      <c r="B1912" t="s">
        <v>23</v>
      </c>
      <c r="C1912">
        <v>111</v>
      </c>
      <c r="D1912">
        <v>4</v>
      </c>
      <c r="E1912">
        <v>2</v>
      </c>
      <c r="F1912" t="s">
        <v>33</v>
      </c>
      <c r="G1912" t="s">
        <v>25</v>
      </c>
      <c r="H1912" t="s">
        <v>26</v>
      </c>
      <c r="I1912" t="s">
        <v>118</v>
      </c>
      <c r="Z1912" t="s">
        <v>32</v>
      </c>
    </row>
    <row r="1913" spans="1:26" x14ac:dyDescent="0.2">
      <c r="A1913" s="3">
        <v>42529</v>
      </c>
      <c r="B1913" t="s">
        <v>23</v>
      </c>
      <c r="C1913">
        <v>111</v>
      </c>
      <c r="D1913">
        <v>5</v>
      </c>
      <c r="E1913">
        <v>1</v>
      </c>
      <c r="F1913" t="s">
        <v>33</v>
      </c>
      <c r="G1913" t="s">
        <v>25</v>
      </c>
      <c r="H1913" t="s">
        <v>26</v>
      </c>
      <c r="I1913" t="s">
        <v>118</v>
      </c>
      <c r="Z1913" t="s">
        <v>32</v>
      </c>
    </row>
    <row r="1914" spans="1:26" x14ac:dyDescent="0.2">
      <c r="A1914" s="3">
        <v>42529</v>
      </c>
      <c r="B1914" t="s">
        <v>23</v>
      </c>
      <c r="C1914">
        <v>111</v>
      </c>
      <c r="D1914">
        <v>5</v>
      </c>
      <c r="E1914">
        <v>2</v>
      </c>
      <c r="F1914" t="s">
        <v>33</v>
      </c>
      <c r="G1914" t="s">
        <v>25</v>
      </c>
      <c r="H1914" t="s">
        <v>26</v>
      </c>
      <c r="I1914" t="s">
        <v>118</v>
      </c>
      <c r="Z1914" t="s">
        <v>32</v>
      </c>
    </row>
    <row r="1915" spans="1:26" x14ac:dyDescent="0.2">
      <c r="A1915" s="3">
        <v>42529</v>
      </c>
      <c r="B1915" t="s">
        <v>23</v>
      </c>
      <c r="C1915">
        <v>111</v>
      </c>
      <c r="D1915">
        <v>6</v>
      </c>
      <c r="E1915">
        <v>1</v>
      </c>
      <c r="F1915" t="s">
        <v>33</v>
      </c>
      <c r="G1915" t="s">
        <v>25</v>
      </c>
      <c r="H1915" t="s">
        <v>26</v>
      </c>
      <c r="I1915" t="s">
        <v>118</v>
      </c>
      <c r="Z1915" t="s">
        <v>32</v>
      </c>
    </row>
    <row r="1916" spans="1:26" x14ac:dyDescent="0.2">
      <c r="A1916" s="3">
        <v>42529</v>
      </c>
      <c r="B1916" t="s">
        <v>23</v>
      </c>
      <c r="C1916">
        <v>111</v>
      </c>
      <c r="D1916">
        <v>6</v>
      </c>
      <c r="E1916">
        <v>2</v>
      </c>
      <c r="F1916" t="s">
        <v>33</v>
      </c>
      <c r="G1916" t="s">
        <v>25</v>
      </c>
      <c r="H1916" t="s">
        <v>26</v>
      </c>
      <c r="I1916" t="s">
        <v>118</v>
      </c>
      <c r="Z1916" t="s">
        <v>32</v>
      </c>
    </row>
    <row r="1917" spans="1:26" x14ac:dyDescent="0.2">
      <c r="A1917" s="3">
        <v>42529</v>
      </c>
      <c r="B1917" t="s">
        <v>23</v>
      </c>
      <c r="C1917">
        <v>111</v>
      </c>
      <c r="D1917">
        <v>7</v>
      </c>
      <c r="E1917">
        <v>1</v>
      </c>
      <c r="F1917" t="s">
        <v>33</v>
      </c>
      <c r="G1917" t="s">
        <v>25</v>
      </c>
      <c r="H1917" t="s">
        <v>26</v>
      </c>
      <c r="I1917" t="s">
        <v>118</v>
      </c>
      <c r="Z1917" t="s">
        <v>32</v>
      </c>
    </row>
    <row r="1918" spans="1:26" x14ac:dyDescent="0.2">
      <c r="A1918" s="3">
        <v>42529</v>
      </c>
      <c r="B1918" t="s">
        <v>23</v>
      </c>
      <c r="C1918">
        <v>111</v>
      </c>
      <c r="D1918">
        <v>9</v>
      </c>
      <c r="E1918">
        <v>1</v>
      </c>
      <c r="F1918" t="s">
        <v>33</v>
      </c>
      <c r="G1918" t="s">
        <v>25</v>
      </c>
      <c r="H1918" t="s">
        <v>26</v>
      </c>
      <c r="I1918" t="s">
        <v>118</v>
      </c>
      <c r="Z1918" t="s">
        <v>32</v>
      </c>
    </row>
    <row r="1919" spans="1:26" x14ac:dyDescent="0.2">
      <c r="A1919" s="3">
        <v>42529</v>
      </c>
      <c r="B1919" t="s">
        <v>23</v>
      </c>
      <c r="C1919">
        <v>111</v>
      </c>
      <c r="D1919">
        <v>10</v>
      </c>
      <c r="E1919">
        <v>1</v>
      </c>
      <c r="F1919" t="s">
        <v>33</v>
      </c>
      <c r="G1919" t="s">
        <v>25</v>
      </c>
      <c r="H1919" t="s">
        <v>26</v>
      </c>
      <c r="I1919" t="s">
        <v>118</v>
      </c>
      <c r="Z1919" t="s">
        <v>32</v>
      </c>
    </row>
    <row r="1920" spans="1:26" x14ac:dyDescent="0.2">
      <c r="A1920" s="3">
        <v>42529</v>
      </c>
      <c r="B1920" t="s">
        <v>23</v>
      </c>
      <c r="C1920">
        <v>112</v>
      </c>
      <c r="D1920">
        <v>1</v>
      </c>
      <c r="E1920">
        <v>1</v>
      </c>
      <c r="F1920" t="s">
        <v>33</v>
      </c>
      <c r="G1920" t="s">
        <v>25</v>
      </c>
      <c r="H1920" t="s">
        <v>26</v>
      </c>
      <c r="I1920" t="s">
        <v>118</v>
      </c>
      <c r="Z1920" t="s">
        <v>32</v>
      </c>
    </row>
    <row r="1921" spans="1:26" x14ac:dyDescent="0.2">
      <c r="A1921" s="3">
        <v>42529</v>
      </c>
      <c r="B1921" t="s">
        <v>23</v>
      </c>
      <c r="C1921">
        <v>112</v>
      </c>
      <c r="D1921">
        <v>1</v>
      </c>
      <c r="E1921">
        <v>2</v>
      </c>
      <c r="F1921" t="s">
        <v>33</v>
      </c>
      <c r="G1921" t="s">
        <v>25</v>
      </c>
      <c r="H1921" t="s">
        <v>26</v>
      </c>
      <c r="I1921" t="s">
        <v>118</v>
      </c>
      <c r="Z1921" t="s">
        <v>32</v>
      </c>
    </row>
    <row r="1922" spans="1:26" x14ac:dyDescent="0.2">
      <c r="A1922" s="3">
        <v>42529</v>
      </c>
      <c r="B1922" t="s">
        <v>23</v>
      </c>
      <c r="C1922">
        <v>112</v>
      </c>
      <c r="D1922">
        <v>2</v>
      </c>
      <c r="E1922">
        <v>2</v>
      </c>
      <c r="F1922" t="s">
        <v>33</v>
      </c>
      <c r="G1922" t="s">
        <v>25</v>
      </c>
      <c r="H1922" t="s">
        <v>26</v>
      </c>
      <c r="I1922" t="s">
        <v>118</v>
      </c>
      <c r="Z1922" t="s">
        <v>32</v>
      </c>
    </row>
    <row r="1923" spans="1:26" x14ac:dyDescent="0.2">
      <c r="A1923" s="3">
        <v>42529</v>
      </c>
      <c r="B1923" t="s">
        <v>23</v>
      </c>
      <c r="C1923">
        <v>112</v>
      </c>
      <c r="D1923">
        <v>5</v>
      </c>
      <c r="E1923">
        <v>1</v>
      </c>
      <c r="F1923" t="s">
        <v>33</v>
      </c>
      <c r="G1923" t="s">
        <v>25</v>
      </c>
      <c r="H1923" t="s">
        <v>26</v>
      </c>
      <c r="I1923" t="s">
        <v>118</v>
      </c>
      <c r="Z1923" t="s">
        <v>32</v>
      </c>
    </row>
    <row r="1924" spans="1:26" x14ac:dyDescent="0.2">
      <c r="A1924" s="3">
        <v>42529</v>
      </c>
      <c r="B1924" t="s">
        <v>23</v>
      </c>
      <c r="C1924">
        <v>112</v>
      </c>
      <c r="D1924">
        <v>5</v>
      </c>
      <c r="E1924">
        <v>2</v>
      </c>
      <c r="F1924" t="s">
        <v>33</v>
      </c>
      <c r="G1924" t="s">
        <v>25</v>
      </c>
      <c r="H1924" t="s">
        <v>26</v>
      </c>
      <c r="I1924" t="s">
        <v>118</v>
      </c>
      <c r="Z1924" t="s">
        <v>32</v>
      </c>
    </row>
    <row r="1925" spans="1:26" x14ac:dyDescent="0.2">
      <c r="A1925" s="3">
        <v>42529</v>
      </c>
      <c r="B1925" t="s">
        <v>23</v>
      </c>
      <c r="C1925">
        <v>112</v>
      </c>
      <c r="D1925">
        <v>6</v>
      </c>
      <c r="E1925">
        <v>1</v>
      </c>
      <c r="F1925" t="s">
        <v>33</v>
      </c>
      <c r="G1925" t="s">
        <v>25</v>
      </c>
      <c r="H1925" t="s">
        <v>26</v>
      </c>
      <c r="I1925" t="s">
        <v>118</v>
      </c>
      <c r="Z1925" t="s">
        <v>32</v>
      </c>
    </row>
    <row r="1926" spans="1:26" x14ac:dyDescent="0.2">
      <c r="A1926" s="3">
        <v>42529</v>
      </c>
      <c r="B1926" t="s">
        <v>23</v>
      </c>
      <c r="C1926">
        <v>112</v>
      </c>
      <c r="D1926">
        <v>6</v>
      </c>
      <c r="E1926">
        <v>2</v>
      </c>
      <c r="F1926" t="s">
        <v>33</v>
      </c>
      <c r="G1926" t="s">
        <v>25</v>
      </c>
      <c r="H1926" t="s">
        <v>26</v>
      </c>
      <c r="I1926" t="s">
        <v>118</v>
      </c>
      <c r="Z1926" t="s">
        <v>32</v>
      </c>
    </row>
    <row r="1927" spans="1:26" x14ac:dyDescent="0.2">
      <c r="A1927" s="3">
        <v>42529</v>
      </c>
      <c r="B1927" t="s">
        <v>23</v>
      </c>
      <c r="C1927">
        <v>112</v>
      </c>
      <c r="D1927">
        <v>7</v>
      </c>
      <c r="E1927">
        <v>1</v>
      </c>
      <c r="F1927" t="s">
        <v>33</v>
      </c>
      <c r="G1927" t="s">
        <v>25</v>
      </c>
      <c r="H1927" t="s">
        <v>26</v>
      </c>
      <c r="I1927" t="s">
        <v>118</v>
      </c>
      <c r="Z1927" t="s">
        <v>32</v>
      </c>
    </row>
    <row r="1928" spans="1:26" x14ac:dyDescent="0.2">
      <c r="A1928" s="3">
        <v>42529</v>
      </c>
      <c r="B1928" t="s">
        <v>23</v>
      </c>
      <c r="C1928">
        <v>112</v>
      </c>
      <c r="D1928">
        <v>7</v>
      </c>
      <c r="E1928">
        <v>2</v>
      </c>
      <c r="F1928" t="s">
        <v>33</v>
      </c>
      <c r="G1928" t="s">
        <v>25</v>
      </c>
      <c r="H1928" t="s">
        <v>26</v>
      </c>
      <c r="I1928" t="s">
        <v>118</v>
      </c>
      <c r="Z1928" t="s">
        <v>32</v>
      </c>
    </row>
    <row r="1929" spans="1:26" x14ac:dyDescent="0.2">
      <c r="A1929" s="3">
        <v>42529</v>
      </c>
      <c r="B1929" t="s">
        <v>23</v>
      </c>
      <c r="C1929">
        <v>112</v>
      </c>
      <c r="D1929">
        <v>8</v>
      </c>
      <c r="E1929">
        <v>1</v>
      </c>
      <c r="F1929" t="s">
        <v>33</v>
      </c>
      <c r="G1929" t="s">
        <v>25</v>
      </c>
      <c r="H1929" t="s">
        <v>26</v>
      </c>
      <c r="I1929" t="s">
        <v>118</v>
      </c>
      <c r="Z1929" t="s">
        <v>32</v>
      </c>
    </row>
    <row r="1930" spans="1:26" x14ac:dyDescent="0.2">
      <c r="A1930" s="3">
        <v>42529</v>
      </c>
      <c r="B1930" t="s">
        <v>23</v>
      </c>
      <c r="C1930">
        <v>112</v>
      </c>
      <c r="D1930">
        <v>8</v>
      </c>
      <c r="E1930">
        <v>2</v>
      </c>
      <c r="F1930" t="s">
        <v>33</v>
      </c>
      <c r="G1930" t="s">
        <v>25</v>
      </c>
      <c r="H1930" t="s">
        <v>26</v>
      </c>
      <c r="I1930" t="s">
        <v>118</v>
      </c>
      <c r="Z1930" t="s">
        <v>32</v>
      </c>
    </row>
    <row r="1931" spans="1:26" x14ac:dyDescent="0.2">
      <c r="A1931" s="3">
        <v>42529</v>
      </c>
      <c r="B1931" t="s">
        <v>23</v>
      </c>
      <c r="C1931">
        <v>112</v>
      </c>
      <c r="D1931">
        <v>9</v>
      </c>
      <c r="E1931">
        <v>1</v>
      </c>
      <c r="F1931" t="s">
        <v>33</v>
      </c>
      <c r="G1931" t="s">
        <v>25</v>
      </c>
      <c r="H1931" t="s">
        <v>26</v>
      </c>
      <c r="I1931" t="s">
        <v>118</v>
      </c>
      <c r="Z1931" t="s">
        <v>32</v>
      </c>
    </row>
    <row r="1932" spans="1:26" x14ac:dyDescent="0.2">
      <c r="A1932" s="3">
        <v>42529</v>
      </c>
      <c r="B1932" t="s">
        <v>23</v>
      </c>
      <c r="C1932">
        <v>112</v>
      </c>
      <c r="D1932">
        <v>9</v>
      </c>
      <c r="E1932">
        <v>2</v>
      </c>
      <c r="F1932" t="s">
        <v>33</v>
      </c>
      <c r="G1932" t="s">
        <v>25</v>
      </c>
      <c r="H1932" t="s">
        <v>26</v>
      </c>
      <c r="I1932" t="s">
        <v>118</v>
      </c>
      <c r="Z1932" t="s">
        <v>32</v>
      </c>
    </row>
    <row r="1933" spans="1:26" x14ac:dyDescent="0.2">
      <c r="A1933" s="3">
        <v>42529</v>
      </c>
      <c r="B1933" t="s">
        <v>23</v>
      </c>
      <c r="C1933">
        <v>112</v>
      </c>
      <c r="D1933">
        <v>10</v>
      </c>
      <c r="E1933">
        <v>1</v>
      </c>
      <c r="F1933" t="s">
        <v>33</v>
      </c>
      <c r="G1933" t="s">
        <v>25</v>
      </c>
      <c r="H1933" t="s">
        <v>26</v>
      </c>
      <c r="I1933" t="s">
        <v>118</v>
      </c>
      <c r="Z1933" t="s">
        <v>32</v>
      </c>
    </row>
    <row r="1934" spans="1:26" x14ac:dyDescent="0.2">
      <c r="A1934" s="3">
        <v>42529</v>
      </c>
      <c r="B1934" t="s">
        <v>23</v>
      </c>
      <c r="C1934">
        <v>112</v>
      </c>
      <c r="D1934">
        <v>10</v>
      </c>
      <c r="E1934">
        <v>2</v>
      </c>
      <c r="F1934" t="s">
        <v>33</v>
      </c>
      <c r="G1934" t="s">
        <v>25</v>
      </c>
      <c r="H1934" t="s">
        <v>26</v>
      </c>
      <c r="I1934" t="s">
        <v>118</v>
      </c>
      <c r="Z1934" t="s">
        <v>32</v>
      </c>
    </row>
    <row r="1935" spans="1:26" x14ac:dyDescent="0.2">
      <c r="A1935" s="3">
        <v>42529</v>
      </c>
      <c r="B1935" t="s">
        <v>23</v>
      </c>
      <c r="C1935">
        <v>402</v>
      </c>
      <c r="D1935">
        <v>4</v>
      </c>
      <c r="E1935">
        <v>2</v>
      </c>
      <c r="F1935" t="s">
        <v>33</v>
      </c>
      <c r="G1935" t="s">
        <v>25</v>
      </c>
      <c r="H1935" t="s">
        <v>26</v>
      </c>
      <c r="I1935" t="s">
        <v>118</v>
      </c>
      <c r="Z1935" t="s">
        <v>32</v>
      </c>
    </row>
    <row r="1936" spans="1:26" x14ac:dyDescent="0.2">
      <c r="A1936" s="3">
        <v>42529</v>
      </c>
      <c r="B1936" t="s">
        <v>23</v>
      </c>
      <c r="C1936">
        <v>402</v>
      </c>
      <c r="D1936">
        <v>5</v>
      </c>
      <c r="E1936">
        <v>1</v>
      </c>
      <c r="F1936" t="s">
        <v>33</v>
      </c>
      <c r="G1936" t="s">
        <v>25</v>
      </c>
      <c r="H1936" t="s">
        <v>26</v>
      </c>
      <c r="I1936" t="s">
        <v>118</v>
      </c>
      <c r="Z1936" t="s">
        <v>32</v>
      </c>
    </row>
    <row r="1937" spans="1:26" x14ac:dyDescent="0.2">
      <c r="A1937" s="3">
        <v>42529</v>
      </c>
      <c r="B1937" t="s">
        <v>23</v>
      </c>
      <c r="C1937">
        <v>402</v>
      </c>
      <c r="D1937">
        <v>5</v>
      </c>
      <c r="E1937">
        <v>2</v>
      </c>
      <c r="F1937" t="s">
        <v>33</v>
      </c>
      <c r="G1937" t="s">
        <v>25</v>
      </c>
      <c r="H1937" t="s">
        <v>26</v>
      </c>
      <c r="I1937" t="s">
        <v>118</v>
      </c>
      <c r="Z1937" t="s">
        <v>32</v>
      </c>
    </row>
    <row r="1938" spans="1:26" x14ac:dyDescent="0.2">
      <c r="A1938" s="3">
        <v>42529</v>
      </c>
      <c r="B1938" t="s">
        <v>23</v>
      </c>
      <c r="C1938">
        <v>402</v>
      </c>
      <c r="D1938">
        <v>6</v>
      </c>
      <c r="E1938">
        <v>1</v>
      </c>
      <c r="F1938" t="s">
        <v>33</v>
      </c>
      <c r="G1938" t="s">
        <v>25</v>
      </c>
      <c r="H1938" t="s">
        <v>26</v>
      </c>
      <c r="I1938" t="s">
        <v>118</v>
      </c>
      <c r="Z1938" t="s">
        <v>32</v>
      </c>
    </row>
    <row r="1939" spans="1:26" x14ac:dyDescent="0.2">
      <c r="A1939" s="3">
        <v>42529</v>
      </c>
      <c r="B1939" t="s">
        <v>23</v>
      </c>
      <c r="C1939">
        <v>402</v>
      </c>
      <c r="D1939">
        <v>6</v>
      </c>
      <c r="E1939">
        <v>2</v>
      </c>
      <c r="F1939" t="s">
        <v>33</v>
      </c>
      <c r="G1939" t="s">
        <v>25</v>
      </c>
      <c r="H1939" t="s">
        <v>26</v>
      </c>
      <c r="I1939" t="s">
        <v>118</v>
      </c>
      <c r="Z1939" t="s">
        <v>32</v>
      </c>
    </row>
    <row r="1940" spans="1:26" x14ac:dyDescent="0.2">
      <c r="A1940" s="3">
        <v>42530</v>
      </c>
      <c r="B1940" t="s">
        <v>23</v>
      </c>
      <c r="C1940">
        <v>112</v>
      </c>
      <c r="D1940">
        <v>1</v>
      </c>
      <c r="E1940">
        <v>1</v>
      </c>
      <c r="F1940" t="s">
        <v>33</v>
      </c>
      <c r="G1940" t="s">
        <v>25</v>
      </c>
      <c r="H1940" t="s">
        <v>26</v>
      </c>
      <c r="I1940" t="s">
        <v>118</v>
      </c>
      <c r="Z1940" t="s">
        <v>32</v>
      </c>
    </row>
    <row r="1941" spans="1:26" x14ac:dyDescent="0.2">
      <c r="A1941" s="3">
        <v>42530</v>
      </c>
      <c r="B1941" t="s">
        <v>23</v>
      </c>
      <c r="C1941">
        <v>112</v>
      </c>
      <c r="D1941">
        <v>1</v>
      </c>
      <c r="E1941">
        <v>2</v>
      </c>
      <c r="F1941" t="s">
        <v>33</v>
      </c>
      <c r="G1941" t="s">
        <v>25</v>
      </c>
      <c r="H1941" t="s">
        <v>26</v>
      </c>
      <c r="I1941" t="s">
        <v>118</v>
      </c>
      <c r="Z1941" t="s">
        <v>32</v>
      </c>
    </row>
    <row r="1942" spans="1:26" x14ac:dyDescent="0.2">
      <c r="A1942" s="3">
        <v>42530</v>
      </c>
      <c r="B1942" t="s">
        <v>23</v>
      </c>
      <c r="C1942">
        <v>112</v>
      </c>
      <c r="D1942">
        <v>2</v>
      </c>
      <c r="E1942">
        <v>1</v>
      </c>
      <c r="F1942" t="s">
        <v>33</v>
      </c>
      <c r="G1942" t="s">
        <v>25</v>
      </c>
      <c r="H1942" t="s">
        <v>26</v>
      </c>
      <c r="I1942" t="s">
        <v>118</v>
      </c>
      <c r="Z1942" t="s">
        <v>32</v>
      </c>
    </row>
    <row r="1943" spans="1:26" x14ac:dyDescent="0.2">
      <c r="A1943" s="3">
        <v>42530</v>
      </c>
      <c r="B1943" t="s">
        <v>23</v>
      </c>
      <c r="C1943">
        <v>112</v>
      </c>
      <c r="D1943">
        <v>2</v>
      </c>
      <c r="E1943">
        <v>2</v>
      </c>
      <c r="F1943" t="s">
        <v>33</v>
      </c>
      <c r="G1943" t="s">
        <v>25</v>
      </c>
      <c r="H1943" t="s">
        <v>26</v>
      </c>
      <c r="I1943" t="s">
        <v>118</v>
      </c>
      <c r="Z1943" t="s">
        <v>32</v>
      </c>
    </row>
    <row r="1944" spans="1:26" x14ac:dyDescent="0.2">
      <c r="A1944" s="3">
        <v>42530</v>
      </c>
      <c r="B1944" t="s">
        <v>23</v>
      </c>
      <c r="C1944">
        <v>112</v>
      </c>
      <c r="D1944">
        <v>3</v>
      </c>
      <c r="E1944">
        <v>1</v>
      </c>
      <c r="F1944" t="s">
        <v>33</v>
      </c>
      <c r="G1944" t="s">
        <v>25</v>
      </c>
      <c r="H1944" t="s">
        <v>26</v>
      </c>
      <c r="I1944" t="s">
        <v>118</v>
      </c>
      <c r="Z1944" t="s">
        <v>32</v>
      </c>
    </row>
    <row r="1945" spans="1:26" x14ac:dyDescent="0.2">
      <c r="A1945" s="3">
        <v>42530</v>
      </c>
      <c r="B1945" t="s">
        <v>23</v>
      </c>
      <c r="C1945">
        <v>112</v>
      </c>
      <c r="D1945">
        <v>3</v>
      </c>
      <c r="E1945">
        <v>2</v>
      </c>
      <c r="F1945" t="s">
        <v>33</v>
      </c>
      <c r="G1945" t="s">
        <v>25</v>
      </c>
      <c r="H1945" t="s">
        <v>26</v>
      </c>
      <c r="I1945" t="s">
        <v>118</v>
      </c>
      <c r="Z1945" t="s">
        <v>32</v>
      </c>
    </row>
    <row r="1946" spans="1:26" x14ac:dyDescent="0.2">
      <c r="A1946" s="3">
        <v>42530</v>
      </c>
      <c r="B1946" t="s">
        <v>23</v>
      </c>
      <c r="C1946">
        <v>112</v>
      </c>
      <c r="D1946">
        <v>4</v>
      </c>
      <c r="E1946">
        <v>1</v>
      </c>
      <c r="F1946" t="s">
        <v>33</v>
      </c>
      <c r="G1946" t="s">
        <v>25</v>
      </c>
      <c r="H1946" t="s">
        <v>26</v>
      </c>
      <c r="I1946" t="s">
        <v>118</v>
      </c>
      <c r="Z1946" t="s">
        <v>32</v>
      </c>
    </row>
    <row r="1947" spans="1:26" x14ac:dyDescent="0.2">
      <c r="A1947" s="3">
        <v>42530</v>
      </c>
      <c r="B1947" t="s">
        <v>23</v>
      </c>
      <c r="C1947">
        <v>112</v>
      </c>
      <c r="D1947">
        <v>5</v>
      </c>
      <c r="E1947">
        <v>1</v>
      </c>
      <c r="F1947" t="s">
        <v>33</v>
      </c>
      <c r="G1947" t="s">
        <v>25</v>
      </c>
      <c r="H1947" t="s">
        <v>26</v>
      </c>
      <c r="I1947" t="s">
        <v>118</v>
      </c>
      <c r="Z1947" t="s">
        <v>32</v>
      </c>
    </row>
    <row r="1948" spans="1:26" x14ac:dyDescent="0.2">
      <c r="A1948" s="3">
        <v>42530</v>
      </c>
      <c r="B1948" t="s">
        <v>23</v>
      </c>
      <c r="C1948">
        <v>112</v>
      </c>
      <c r="D1948">
        <v>6</v>
      </c>
      <c r="E1948">
        <v>1</v>
      </c>
      <c r="F1948" t="s">
        <v>33</v>
      </c>
      <c r="G1948" t="s">
        <v>25</v>
      </c>
      <c r="H1948" t="s">
        <v>26</v>
      </c>
      <c r="I1948" t="s">
        <v>118</v>
      </c>
      <c r="Z1948" t="s">
        <v>32</v>
      </c>
    </row>
    <row r="1949" spans="1:26" x14ac:dyDescent="0.2">
      <c r="A1949" s="3">
        <v>42530</v>
      </c>
      <c r="B1949" t="s">
        <v>23</v>
      </c>
      <c r="C1949">
        <v>112</v>
      </c>
      <c r="D1949">
        <v>6</v>
      </c>
      <c r="E1949">
        <v>2</v>
      </c>
      <c r="F1949" t="s">
        <v>33</v>
      </c>
      <c r="G1949" t="s">
        <v>25</v>
      </c>
      <c r="H1949" t="s">
        <v>26</v>
      </c>
      <c r="I1949" t="s">
        <v>118</v>
      </c>
      <c r="Z1949" t="s">
        <v>32</v>
      </c>
    </row>
    <row r="1950" spans="1:26" x14ac:dyDescent="0.2">
      <c r="A1950" s="3">
        <v>42530</v>
      </c>
      <c r="B1950" t="s">
        <v>23</v>
      </c>
      <c r="C1950">
        <v>112</v>
      </c>
      <c r="D1950">
        <v>7</v>
      </c>
      <c r="E1950">
        <v>1</v>
      </c>
      <c r="F1950" t="s">
        <v>33</v>
      </c>
      <c r="G1950" t="s">
        <v>25</v>
      </c>
      <c r="H1950" t="s">
        <v>26</v>
      </c>
      <c r="I1950" t="s">
        <v>118</v>
      </c>
      <c r="Z1950" t="s">
        <v>32</v>
      </c>
    </row>
    <row r="1951" spans="1:26" x14ac:dyDescent="0.2">
      <c r="A1951" s="3">
        <v>42530</v>
      </c>
      <c r="B1951" t="s">
        <v>23</v>
      </c>
      <c r="C1951">
        <v>112</v>
      </c>
      <c r="D1951">
        <v>7</v>
      </c>
      <c r="E1951">
        <v>2</v>
      </c>
      <c r="F1951" t="s">
        <v>33</v>
      </c>
      <c r="G1951" t="s">
        <v>25</v>
      </c>
      <c r="H1951" t="s">
        <v>26</v>
      </c>
      <c r="I1951" t="s">
        <v>118</v>
      </c>
      <c r="Z1951" t="s">
        <v>32</v>
      </c>
    </row>
    <row r="1952" spans="1:26" x14ac:dyDescent="0.2">
      <c r="A1952" s="3">
        <v>42530</v>
      </c>
      <c r="B1952" t="s">
        <v>23</v>
      </c>
      <c r="C1952">
        <v>112</v>
      </c>
      <c r="D1952">
        <v>8</v>
      </c>
      <c r="E1952">
        <v>1</v>
      </c>
      <c r="F1952" t="s">
        <v>33</v>
      </c>
      <c r="G1952" t="s">
        <v>25</v>
      </c>
      <c r="H1952" t="s">
        <v>26</v>
      </c>
      <c r="I1952" t="s">
        <v>118</v>
      </c>
      <c r="Z1952" t="s">
        <v>32</v>
      </c>
    </row>
    <row r="1953" spans="1:26" x14ac:dyDescent="0.2">
      <c r="A1953" s="3">
        <v>42530</v>
      </c>
      <c r="B1953" t="s">
        <v>23</v>
      </c>
      <c r="C1953">
        <v>112</v>
      </c>
      <c r="D1953">
        <v>8</v>
      </c>
      <c r="E1953">
        <v>2</v>
      </c>
      <c r="F1953" t="s">
        <v>33</v>
      </c>
      <c r="G1953" t="s">
        <v>25</v>
      </c>
      <c r="H1953" t="s">
        <v>26</v>
      </c>
      <c r="I1953" t="s">
        <v>118</v>
      </c>
      <c r="Z1953" t="s">
        <v>32</v>
      </c>
    </row>
    <row r="1954" spans="1:26" x14ac:dyDescent="0.2">
      <c r="A1954" s="3">
        <v>42530</v>
      </c>
      <c r="B1954" t="s">
        <v>23</v>
      </c>
      <c r="C1954">
        <v>402</v>
      </c>
      <c r="D1954">
        <v>1</v>
      </c>
      <c r="E1954">
        <v>1</v>
      </c>
      <c r="F1954" t="s">
        <v>33</v>
      </c>
      <c r="G1954" t="s">
        <v>25</v>
      </c>
      <c r="H1954" t="s">
        <v>26</v>
      </c>
      <c r="I1954" t="s">
        <v>118</v>
      </c>
      <c r="Z1954" t="s">
        <v>32</v>
      </c>
    </row>
    <row r="1955" spans="1:26" x14ac:dyDescent="0.2">
      <c r="A1955" s="3">
        <v>42530</v>
      </c>
      <c r="B1955" t="s">
        <v>23</v>
      </c>
      <c r="C1955">
        <v>402</v>
      </c>
      <c r="D1955">
        <v>2</v>
      </c>
      <c r="E1955">
        <v>2</v>
      </c>
      <c r="F1955" t="s">
        <v>33</v>
      </c>
      <c r="G1955" t="s">
        <v>25</v>
      </c>
      <c r="H1955" t="s">
        <v>26</v>
      </c>
      <c r="I1955" t="s">
        <v>118</v>
      </c>
      <c r="Z1955" t="s">
        <v>32</v>
      </c>
    </row>
    <row r="1956" spans="1:26" x14ac:dyDescent="0.2">
      <c r="A1956" s="3">
        <v>42530</v>
      </c>
      <c r="B1956" t="s">
        <v>23</v>
      </c>
      <c r="C1956">
        <v>402</v>
      </c>
      <c r="D1956">
        <v>3</v>
      </c>
      <c r="E1956">
        <v>1</v>
      </c>
      <c r="F1956" t="s">
        <v>33</v>
      </c>
      <c r="G1956" t="s">
        <v>25</v>
      </c>
      <c r="H1956" t="s">
        <v>26</v>
      </c>
      <c r="I1956" t="s">
        <v>118</v>
      </c>
      <c r="Z1956" t="s">
        <v>32</v>
      </c>
    </row>
    <row r="1957" spans="1:26" x14ac:dyDescent="0.2">
      <c r="A1957" s="3">
        <v>42530</v>
      </c>
      <c r="B1957" t="s">
        <v>23</v>
      </c>
      <c r="C1957">
        <v>402</v>
      </c>
      <c r="D1957">
        <v>3</v>
      </c>
      <c r="E1957">
        <v>2</v>
      </c>
      <c r="F1957" t="s">
        <v>33</v>
      </c>
      <c r="G1957" t="s">
        <v>25</v>
      </c>
      <c r="H1957" t="s">
        <v>26</v>
      </c>
      <c r="I1957" t="s">
        <v>118</v>
      </c>
      <c r="Z1957" t="s">
        <v>32</v>
      </c>
    </row>
    <row r="1958" spans="1:26" x14ac:dyDescent="0.2">
      <c r="A1958" s="3">
        <v>42530</v>
      </c>
      <c r="B1958" t="s">
        <v>23</v>
      </c>
      <c r="C1958">
        <v>402</v>
      </c>
      <c r="D1958">
        <v>4</v>
      </c>
      <c r="E1958">
        <v>1</v>
      </c>
      <c r="F1958" t="s">
        <v>33</v>
      </c>
      <c r="G1958" t="s">
        <v>25</v>
      </c>
      <c r="H1958" t="s">
        <v>26</v>
      </c>
      <c r="I1958" t="s">
        <v>118</v>
      </c>
      <c r="Z1958" t="s">
        <v>32</v>
      </c>
    </row>
    <row r="1959" spans="1:26" x14ac:dyDescent="0.2">
      <c r="A1959" s="3">
        <v>42530</v>
      </c>
      <c r="B1959" t="s">
        <v>23</v>
      </c>
      <c r="C1959">
        <v>402</v>
      </c>
      <c r="D1959">
        <v>4</v>
      </c>
      <c r="E1959">
        <v>2</v>
      </c>
      <c r="F1959" t="s">
        <v>33</v>
      </c>
      <c r="G1959" t="s">
        <v>25</v>
      </c>
      <c r="H1959" t="s">
        <v>26</v>
      </c>
      <c r="I1959" t="s">
        <v>118</v>
      </c>
      <c r="Z1959" t="s">
        <v>32</v>
      </c>
    </row>
    <row r="1960" spans="1:26" x14ac:dyDescent="0.2">
      <c r="A1960" s="3">
        <v>42530</v>
      </c>
      <c r="B1960" t="s">
        <v>23</v>
      </c>
      <c r="C1960">
        <v>402</v>
      </c>
      <c r="D1960">
        <v>5</v>
      </c>
      <c r="E1960">
        <v>1</v>
      </c>
      <c r="F1960" t="s">
        <v>33</v>
      </c>
      <c r="G1960" t="s">
        <v>25</v>
      </c>
      <c r="H1960" t="s">
        <v>26</v>
      </c>
      <c r="I1960" t="s">
        <v>118</v>
      </c>
      <c r="Z1960" t="s">
        <v>32</v>
      </c>
    </row>
    <row r="1961" spans="1:26" x14ac:dyDescent="0.2">
      <c r="A1961" s="3">
        <v>42530</v>
      </c>
      <c r="B1961" t="s">
        <v>23</v>
      </c>
      <c r="C1961">
        <v>402</v>
      </c>
      <c r="D1961">
        <v>6</v>
      </c>
      <c r="E1961">
        <v>1</v>
      </c>
      <c r="F1961" t="s">
        <v>33</v>
      </c>
      <c r="G1961" t="s">
        <v>25</v>
      </c>
      <c r="H1961" t="s">
        <v>26</v>
      </c>
      <c r="I1961" t="s">
        <v>118</v>
      </c>
      <c r="Z1961" t="s">
        <v>32</v>
      </c>
    </row>
    <row r="1962" spans="1:26" x14ac:dyDescent="0.2">
      <c r="A1962" s="3">
        <v>42530</v>
      </c>
      <c r="B1962" t="s">
        <v>23</v>
      </c>
      <c r="C1962">
        <v>402</v>
      </c>
      <c r="D1962">
        <v>6</v>
      </c>
      <c r="E1962">
        <v>2</v>
      </c>
      <c r="F1962" t="s">
        <v>33</v>
      </c>
      <c r="G1962" t="s">
        <v>25</v>
      </c>
      <c r="H1962" t="s">
        <v>26</v>
      </c>
      <c r="I1962" t="s">
        <v>118</v>
      </c>
      <c r="Z1962" t="s">
        <v>32</v>
      </c>
    </row>
    <row r="1963" spans="1:26" x14ac:dyDescent="0.2">
      <c r="A1963" s="3">
        <v>42530</v>
      </c>
      <c r="B1963" t="s">
        <v>23</v>
      </c>
      <c r="C1963">
        <v>402</v>
      </c>
      <c r="D1963">
        <v>7</v>
      </c>
      <c r="E1963">
        <v>1</v>
      </c>
      <c r="F1963" t="s">
        <v>33</v>
      </c>
      <c r="G1963" t="s">
        <v>25</v>
      </c>
      <c r="H1963" t="s">
        <v>26</v>
      </c>
      <c r="I1963" t="s">
        <v>118</v>
      </c>
      <c r="Z1963" t="s">
        <v>32</v>
      </c>
    </row>
    <row r="1964" spans="1:26" x14ac:dyDescent="0.2">
      <c r="A1964" s="3">
        <v>42530</v>
      </c>
      <c r="B1964" t="s">
        <v>23</v>
      </c>
      <c r="C1964">
        <v>402</v>
      </c>
      <c r="D1964">
        <v>7</v>
      </c>
      <c r="E1964">
        <v>2</v>
      </c>
      <c r="F1964" t="s">
        <v>33</v>
      </c>
      <c r="G1964" t="s">
        <v>25</v>
      </c>
      <c r="H1964" t="s">
        <v>26</v>
      </c>
      <c r="I1964" t="s">
        <v>118</v>
      </c>
      <c r="Z1964" t="s">
        <v>32</v>
      </c>
    </row>
    <row r="1965" spans="1:26" x14ac:dyDescent="0.2">
      <c r="A1965" s="3">
        <v>42530</v>
      </c>
      <c r="B1965" t="s">
        <v>23</v>
      </c>
      <c r="C1965">
        <v>402</v>
      </c>
      <c r="D1965">
        <v>8</v>
      </c>
      <c r="E1965">
        <v>1</v>
      </c>
      <c r="F1965" t="s">
        <v>33</v>
      </c>
      <c r="G1965" t="s">
        <v>25</v>
      </c>
      <c r="H1965" t="s">
        <v>26</v>
      </c>
      <c r="I1965" t="s">
        <v>118</v>
      </c>
      <c r="Z1965" t="s">
        <v>32</v>
      </c>
    </row>
    <row r="1966" spans="1:26" x14ac:dyDescent="0.2">
      <c r="A1966" s="3">
        <v>42530</v>
      </c>
      <c r="B1966" t="s">
        <v>23</v>
      </c>
      <c r="C1966">
        <v>402</v>
      </c>
      <c r="D1966">
        <v>8</v>
      </c>
      <c r="E1966">
        <v>2</v>
      </c>
      <c r="F1966" t="s">
        <v>33</v>
      </c>
      <c r="G1966" t="s">
        <v>25</v>
      </c>
      <c r="H1966" t="s">
        <v>26</v>
      </c>
      <c r="I1966" t="s">
        <v>118</v>
      </c>
      <c r="Z1966" t="s">
        <v>32</v>
      </c>
    </row>
    <row r="1967" spans="1:26" x14ac:dyDescent="0.2">
      <c r="A1967" s="3">
        <v>42530</v>
      </c>
      <c r="B1967" t="s">
        <v>23</v>
      </c>
      <c r="C1967">
        <v>402</v>
      </c>
      <c r="D1967">
        <v>9</v>
      </c>
      <c r="E1967">
        <v>1</v>
      </c>
      <c r="F1967" t="s">
        <v>33</v>
      </c>
      <c r="G1967" t="s">
        <v>25</v>
      </c>
      <c r="H1967" t="s">
        <v>26</v>
      </c>
      <c r="I1967" t="s">
        <v>118</v>
      </c>
      <c r="Z1967" t="s">
        <v>32</v>
      </c>
    </row>
    <row r="1968" spans="1:26" x14ac:dyDescent="0.2">
      <c r="A1968" s="3">
        <v>42530</v>
      </c>
      <c r="B1968" t="s">
        <v>23</v>
      </c>
      <c r="C1968">
        <v>402</v>
      </c>
      <c r="D1968">
        <v>9</v>
      </c>
      <c r="E1968">
        <v>2</v>
      </c>
      <c r="F1968" t="s">
        <v>33</v>
      </c>
      <c r="G1968" t="s">
        <v>25</v>
      </c>
      <c r="H1968" t="s">
        <v>26</v>
      </c>
      <c r="I1968" t="s">
        <v>118</v>
      </c>
      <c r="Z1968" t="s">
        <v>32</v>
      </c>
    </row>
    <row r="1969" spans="1:26" x14ac:dyDescent="0.2">
      <c r="A1969" s="3">
        <v>42530</v>
      </c>
      <c r="B1969" t="s">
        <v>23</v>
      </c>
      <c r="C1969">
        <v>402</v>
      </c>
      <c r="D1969">
        <v>10</v>
      </c>
      <c r="E1969">
        <v>1</v>
      </c>
      <c r="F1969" t="s">
        <v>33</v>
      </c>
      <c r="G1969" t="s">
        <v>25</v>
      </c>
      <c r="H1969" t="s">
        <v>26</v>
      </c>
      <c r="I1969" t="s">
        <v>118</v>
      </c>
      <c r="Z1969" t="s">
        <v>32</v>
      </c>
    </row>
    <row r="1970" spans="1:26" x14ac:dyDescent="0.2">
      <c r="A1970" s="3">
        <v>42530</v>
      </c>
      <c r="B1970" t="s">
        <v>23</v>
      </c>
      <c r="C1970">
        <v>402</v>
      </c>
      <c r="D1970">
        <v>10</v>
      </c>
      <c r="E1970">
        <v>2</v>
      </c>
      <c r="F1970" t="s">
        <v>33</v>
      </c>
      <c r="G1970" t="s">
        <v>25</v>
      </c>
      <c r="H1970" t="s">
        <v>26</v>
      </c>
      <c r="I1970" t="s">
        <v>118</v>
      </c>
      <c r="Z1970" t="s">
        <v>32</v>
      </c>
    </row>
    <row r="1971" spans="1:26" x14ac:dyDescent="0.2">
      <c r="A1971" s="3">
        <v>42542</v>
      </c>
      <c r="B1971" t="s">
        <v>23</v>
      </c>
      <c r="C1971">
        <v>203</v>
      </c>
      <c r="D1971">
        <v>3</v>
      </c>
      <c r="E1971">
        <v>1</v>
      </c>
      <c r="F1971" t="s">
        <v>33</v>
      </c>
      <c r="G1971" t="s">
        <v>25</v>
      </c>
      <c r="H1971" t="s">
        <v>26</v>
      </c>
      <c r="I1971" t="s">
        <v>118</v>
      </c>
      <c r="Z1971" t="s">
        <v>32</v>
      </c>
    </row>
    <row r="1972" spans="1:26" x14ac:dyDescent="0.2">
      <c r="A1972" s="3">
        <v>42542</v>
      </c>
      <c r="B1972" t="s">
        <v>23</v>
      </c>
      <c r="C1972">
        <v>202</v>
      </c>
      <c r="D1972">
        <v>1</v>
      </c>
      <c r="E1972">
        <v>1</v>
      </c>
      <c r="F1972" t="s">
        <v>33</v>
      </c>
      <c r="G1972" t="s">
        <v>25</v>
      </c>
      <c r="H1972" t="s">
        <v>26</v>
      </c>
      <c r="I1972" t="s">
        <v>118</v>
      </c>
      <c r="Z1972" t="s">
        <v>32</v>
      </c>
    </row>
    <row r="1973" spans="1:26" x14ac:dyDescent="0.2">
      <c r="A1973" s="3">
        <v>42542</v>
      </c>
      <c r="B1973" t="s">
        <v>23</v>
      </c>
      <c r="C1973">
        <v>202</v>
      </c>
      <c r="D1973">
        <v>10</v>
      </c>
      <c r="E1973">
        <v>1</v>
      </c>
      <c r="F1973" t="s">
        <v>33</v>
      </c>
      <c r="G1973" t="s">
        <v>25</v>
      </c>
      <c r="H1973" t="s">
        <v>26</v>
      </c>
      <c r="I1973" t="s">
        <v>118</v>
      </c>
      <c r="Z1973" t="s">
        <v>32</v>
      </c>
    </row>
    <row r="1974" spans="1:26" x14ac:dyDescent="0.2">
      <c r="A1974" s="3">
        <v>42550</v>
      </c>
      <c r="B1974" t="s">
        <v>23</v>
      </c>
      <c r="C1974">
        <v>501</v>
      </c>
      <c r="D1974">
        <v>1</v>
      </c>
      <c r="E1974">
        <v>1</v>
      </c>
      <c r="F1974" t="s">
        <v>33</v>
      </c>
      <c r="G1974" t="s">
        <v>25</v>
      </c>
      <c r="H1974" t="s">
        <v>26</v>
      </c>
      <c r="I1974" t="s">
        <v>118</v>
      </c>
      <c r="Z1974" t="s">
        <v>32</v>
      </c>
    </row>
    <row r="1975" spans="1:26" x14ac:dyDescent="0.2">
      <c r="A1975" s="3">
        <v>42550</v>
      </c>
      <c r="B1975" t="s">
        <v>23</v>
      </c>
      <c r="C1975">
        <v>501</v>
      </c>
      <c r="D1975">
        <v>3</v>
      </c>
      <c r="E1975">
        <v>1</v>
      </c>
      <c r="F1975" t="s">
        <v>33</v>
      </c>
      <c r="G1975" t="s">
        <v>25</v>
      </c>
      <c r="H1975" t="s">
        <v>26</v>
      </c>
      <c r="I1975" t="s">
        <v>118</v>
      </c>
      <c r="Z1975" t="s">
        <v>32</v>
      </c>
    </row>
    <row r="1976" spans="1:26" x14ac:dyDescent="0.2">
      <c r="A1976" s="3">
        <v>42550</v>
      </c>
      <c r="B1976" t="s">
        <v>23</v>
      </c>
      <c r="C1976">
        <v>501</v>
      </c>
      <c r="D1976">
        <v>4</v>
      </c>
      <c r="E1976">
        <v>2</v>
      </c>
      <c r="F1976" t="s">
        <v>33</v>
      </c>
      <c r="G1976" t="s">
        <v>25</v>
      </c>
      <c r="H1976" t="s">
        <v>26</v>
      </c>
      <c r="I1976" t="s">
        <v>118</v>
      </c>
      <c r="Z1976" t="s">
        <v>32</v>
      </c>
    </row>
    <row r="1977" spans="1:26" x14ac:dyDescent="0.2">
      <c r="A1977" s="3">
        <v>42550</v>
      </c>
      <c r="B1977" t="s">
        <v>23</v>
      </c>
      <c r="C1977">
        <v>501</v>
      </c>
      <c r="D1977">
        <v>5</v>
      </c>
      <c r="E1977">
        <v>1</v>
      </c>
      <c r="F1977" t="s">
        <v>33</v>
      </c>
      <c r="G1977" t="s">
        <v>25</v>
      </c>
      <c r="H1977" t="s">
        <v>26</v>
      </c>
      <c r="I1977" t="s">
        <v>118</v>
      </c>
      <c r="Z1977" t="s">
        <v>32</v>
      </c>
    </row>
    <row r="1978" spans="1:26" x14ac:dyDescent="0.2">
      <c r="A1978" s="3">
        <v>42550</v>
      </c>
      <c r="B1978" t="s">
        <v>23</v>
      </c>
      <c r="C1978">
        <v>501</v>
      </c>
      <c r="D1978">
        <v>6</v>
      </c>
      <c r="E1978">
        <v>2</v>
      </c>
      <c r="F1978" t="s">
        <v>33</v>
      </c>
      <c r="G1978" t="s">
        <v>25</v>
      </c>
      <c r="H1978" t="s">
        <v>26</v>
      </c>
      <c r="I1978" t="s">
        <v>118</v>
      </c>
      <c r="Z1978" t="s">
        <v>32</v>
      </c>
    </row>
    <row r="1979" spans="1:26" x14ac:dyDescent="0.2">
      <c r="A1979" s="3">
        <v>42550</v>
      </c>
      <c r="B1979" t="s">
        <v>23</v>
      </c>
      <c r="C1979">
        <v>501</v>
      </c>
      <c r="D1979">
        <v>7</v>
      </c>
      <c r="E1979">
        <v>1</v>
      </c>
      <c r="F1979" t="s">
        <v>33</v>
      </c>
      <c r="G1979" t="s">
        <v>25</v>
      </c>
      <c r="H1979" t="s">
        <v>26</v>
      </c>
      <c r="I1979" t="s">
        <v>118</v>
      </c>
      <c r="Z1979" t="s">
        <v>32</v>
      </c>
    </row>
    <row r="1980" spans="1:26" x14ac:dyDescent="0.2">
      <c r="A1980" s="3">
        <v>42550</v>
      </c>
      <c r="B1980" t="s">
        <v>23</v>
      </c>
      <c r="C1980">
        <v>501</v>
      </c>
      <c r="D1980">
        <v>8</v>
      </c>
      <c r="E1980">
        <v>1</v>
      </c>
      <c r="F1980" t="s">
        <v>33</v>
      </c>
      <c r="G1980" t="s">
        <v>25</v>
      </c>
      <c r="H1980" t="s">
        <v>26</v>
      </c>
      <c r="I1980" t="s">
        <v>118</v>
      </c>
      <c r="Z1980" t="s">
        <v>32</v>
      </c>
    </row>
    <row r="1981" spans="1:26" x14ac:dyDescent="0.2">
      <c r="A1981" s="3">
        <v>42550</v>
      </c>
      <c r="B1981" t="s">
        <v>23</v>
      </c>
      <c r="C1981">
        <v>501</v>
      </c>
      <c r="D1981">
        <v>8</v>
      </c>
      <c r="E1981">
        <v>2</v>
      </c>
      <c r="F1981" t="s">
        <v>33</v>
      </c>
      <c r="G1981" t="s">
        <v>25</v>
      </c>
      <c r="H1981" t="s">
        <v>26</v>
      </c>
      <c r="I1981" t="s">
        <v>118</v>
      </c>
      <c r="Z1981" t="s">
        <v>32</v>
      </c>
    </row>
    <row r="1982" spans="1:26" x14ac:dyDescent="0.2">
      <c r="A1982" s="3">
        <v>42550</v>
      </c>
      <c r="B1982" t="s">
        <v>23</v>
      </c>
      <c r="C1982">
        <v>501</v>
      </c>
      <c r="D1982">
        <v>9</v>
      </c>
      <c r="E1982">
        <v>1</v>
      </c>
      <c r="F1982" t="s">
        <v>33</v>
      </c>
      <c r="G1982" t="s">
        <v>25</v>
      </c>
      <c r="H1982" t="s">
        <v>26</v>
      </c>
      <c r="I1982" t="s">
        <v>118</v>
      </c>
      <c r="Z1982" t="s">
        <v>32</v>
      </c>
    </row>
    <row r="1983" spans="1:26" x14ac:dyDescent="0.2">
      <c r="A1983" s="3">
        <v>42550</v>
      </c>
      <c r="B1983" t="s">
        <v>23</v>
      </c>
      <c r="C1983">
        <v>501</v>
      </c>
      <c r="D1983">
        <v>9</v>
      </c>
      <c r="E1983">
        <v>2</v>
      </c>
      <c r="F1983" t="s">
        <v>33</v>
      </c>
      <c r="G1983" t="s">
        <v>25</v>
      </c>
      <c r="H1983" t="s">
        <v>26</v>
      </c>
      <c r="I1983" t="s">
        <v>118</v>
      </c>
      <c r="Z1983" t="s">
        <v>32</v>
      </c>
    </row>
    <row r="1984" spans="1:26" x14ac:dyDescent="0.2">
      <c r="A1984" s="3">
        <v>42550</v>
      </c>
      <c r="B1984" t="s">
        <v>23</v>
      </c>
      <c r="C1984">
        <v>501</v>
      </c>
      <c r="D1984">
        <v>10</v>
      </c>
      <c r="E1984">
        <v>1</v>
      </c>
      <c r="F1984" t="s">
        <v>33</v>
      </c>
      <c r="G1984" t="s">
        <v>25</v>
      </c>
      <c r="H1984" t="s">
        <v>26</v>
      </c>
      <c r="I1984" t="s">
        <v>118</v>
      </c>
      <c r="Z1984" t="s">
        <v>32</v>
      </c>
    </row>
    <row r="1985" spans="1:26" x14ac:dyDescent="0.2">
      <c r="A1985" s="3">
        <v>42550</v>
      </c>
      <c r="B1985" t="s">
        <v>23</v>
      </c>
      <c r="C1985">
        <v>501</v>
      </c>
      <c r="D1985">
        <v>10</v>
      </c>
      <c r="E1985">
        <v>2</v>
      </c>
      <c r="F1985" t="s">
        <v>33</v>
      </c>
      <c r="G1985" t="s">
        <v>25</v>
      </c>
      <c r="H1985" t="s">
        <v>26</v>
      </c>
      <c r="I1985" t="s">
        <v>118</v>
      </c>
      <c r="Z1985" t="s">
        <v>32</v>
      </c>
    </row>
    <row r="1986" spans="1:26" x14ac:dyDescent="0.2">
      <c r="A1986" s="3">
        <v>42557</v>
      </c>
      <c r="B1986" t="s">
        <v>23</v>
      </c>
      <c r="C1986">
        <v>112</v>
      </c>
      <c r="D1986">
        <v>1</v>
      </c>
      <c r="E1986">
        <v>1</v>
      </c>
      <c r="F1986" t="s">
        <v>33</v>
      </c>
      <c r="G1986" t="s">
        <v>25</v>
      </c>
      <c r="H1986" t="s">
        <v>26</v>
      </c>
      <c r="I1986" t="s">
        <v>118</v>
      </c>
    </row>
    <row r="1987" spans="1:26" x14ac:dyDescent="0.2">
      <c r="A1987" s="3">
        <v>42557</v>
      </c>
      <c r="B1987" t="s">
        <v>23</v>
      </c>
      <c r="C1987">
        <v>112</v>
      </c>
      <c r="D1987">
        <v>1</v>
      </c>
      <c r="E1987">
        <v>2</v>
      </c>
      <c r="F1987" t="s">
        <v>33</v>
      </c>
      <c r="G1987" t="s">
        <v>25</v>
      </c>
      <c r="H1987" t="s">
        <v>26</v>
      </c>
      <c r="I1987" t="s">
        <v>118</v>
      </c>
    </row>
    <row r="1988" spans="1:26" x14ac:dyDescent="0.2">
      <c r="A1988" s="3">
        <v>42557</v>
      </c>
      <c r="B1988" t="s">
        <v>23</v>
      </c>
      <c r="C1988">
        <v>112</v>
      </c>
      <c r="D1988">
        <v>2</v>
      </c>
      <c r="E1988">
        <v>1</v>
      </c>
      <c r="F1988" t="s">
        <v>33</v>
      </c>
      <c r="G1988" t="s">
        <v>25</v>
      </c>
      <c r="H1988" t="s">
        <v>26</v>
      </c>
      <c r="I1988" t="s">
        <v>118</v>
      </c>
    </row>
    <row r="1989" spans="1:26" x14ac:dyDescent="0.2">
      <c r="A1989" s="3">
        <v>42557</v>
      </c>
      <c r="B1989" t="s">
        <v>23</v>
      </c>
      <c r="C1989">
        <v>112</v>
      </c>
      <c r="D1989">
        <v>2</v>
      </c>
      <c r="E1989">
        <v>2</v>
      </c>
      <c r="F1989" t="s">
        <v>33</v>
      </c>
      <c r="G1989" t="s">
        <v>25</v>
      </c>
      <c r="H1989" t="s">
        <v>26</v>
      </c>
      <c r="I1989" t="s">
        <v>118</v>
      </c>
    </row>
    <row r="1990" spans="1:26" x14ac:dyDescent="0.2">
      <c r="A1990" s="3">
        <v>42557</v>
      </c>
      <c r="B1990" t="s">
        <v>23</v>
      </c>
      <c r="C1990">
        <v>112</v>
      </c>
      <c r="D1990">
        <v>3</v>
      </c>
      <c r="E1990">
        <v>1</v>
      </c>
      <c r="F1990" t="s">
        <v>33</v>
      </c>
      <c r="G1990" t="s">
        <v>25</v>
      </c>
      <c r="H1990" t="s">
        <v>26</v>
      </c>
      <c r="I1990" t="s">
        <v>118</v>
      </c>
    </row>
    <row r="1991" spans="1:26" x14ac:dyDescent="0.2">
      <c r="A1991" s="3">
        <v>42557</v>
      </c>
      <c r="B1991" t="s">
        <v>23</v>
      </c>
      <c r="C1991">
        <v>112</v>
      </c>
      <c r="D1991">
        <v>3</v>
      </c>
      <c r="E1991">
        <v>2</v>
      </c>
      <c r="F1991" t="s">
        <v>33</v>
      </c>
      <c r="G1991" t="s">
        <v>25</v>
      </c>
      <c r="H1991" t="s">
        <v>26</v>
      </c>
      <c r="I1991" t="s">
        <v>118</v>
      </c>
    </row>
    <row r="1992" spans="1:26" x14ac:dyDescent="0.2">
      <c r="A1992" s="3">
        <v>42557</v>
      </c>
      <c r="B1992" t="s">
        <v>23</v>
      </c>
      <c r="C1992">
        <v>112</v>
      </c>
      <c r="D1992">
        <v>4</v>
      </c>
      <c r="E1992">
        <v>1</v>
      </c>
      <c r="F1992" t="s">
        <v>33</v>
      </c>
      <c r="G1992" t="s">
        <v>25</v>
      </c>
      <c r="H1992" t="s">
        <v>26</v>
      </c>
      <c r="I1992" t="s">
        <v>118</v>
      </c>
    </row>
    <row r="1993" spans="1:26" x14ac:dyDescent="0.2">
      <c r="A1993" s="3">
        <v>42557</v>
      </c>
      <c r="B1993" t="s">
        <v>23</v>
      </c>
      <c r="C1993">
        <v>112</v>
      </c>
      <c r="D1993">
        <v>4</v>
      </c>
      <c r="E1993">
        <v>2</v>
      </c>
      <c r="F1993" t="s">
        <v>33</v>
      </c>
      <c r="G1993" t="s">
        <v>25</v>
      </c>
      <c r="H1993" t="s">
        <v>26</v>
      </c>
      <c r="I1993" t="s">
        <v>118</v>
      </c>
    </row>
    <row r="1994" spans="1:26" x14ac:dyDescent="0.2">
      <c r="A1994" s="3">
        <v>42557</v>
      </c>
      <c r="B1994" t="s">
        <v>23</v>
      </c>
      <c r="C1994">
        <v>112</v>
      </c>
      <c r="D1994">
        <v>7</v>
      </c>
      <c r="E1994">
        <v>1</v>
      </c>
      <c r="F1994" t="s">
        <v>33</v>
      </c>
      <c r="G1994" t="s">
        <v>25</v>
      </c>
      <c r="H1994" t="s">
        <v>26</v>
      </c>
      <c r="I1994" t="s">
        <v>118</v>
      </c>
    </row>
    <row r="1995" spans="1:26" x14ac:dyDescent="0.2">
      <c r="A1995" s="3">
        <v>42557</v>
      </c>
      <c r="B1995" t="s">
        <v>23</v>
      </c>
      <c r="C1995">
        <v>112</v>
      </c>
      <c r="D1995">
        <v>7</v>
      </c>
      <c r="E1995">
        <v>2</v>
      </c>
      <c r="F1995" t="s">
        <v>33</v>
      </c>
      <c r="G1995" t="s">
        <v>25</v>
      </c>
      <c r="H1995" t="s">
        <v>26</v>
      </c>
      <c r="I1995" t="s">
        <v>118</v>
      </c>
    </row>
    <row r="1996" spans="1:26" x14ac:dyDescent="0.2">
      <c r="A1996" s="3">
        <v>42557</v>
      </c>
      <c r="B1996" t="s">
        <v>23</v>
      </c>
      <c r="C1996">
        <v>112</v>
      </c>
      <c r="D1996">
        <v>8</v>
      </c>
      <c r="E1996">
        <v>1</v>
      </c>
      <c r="F1996" t="s">
        <v>33</v>
      </c>
      <c r="G1996" t="s">
        <v>25</v>
      </c>
      <c r="H1996" t="s">
        <v>26</v>
      </c>
      <c r="I1996" t="s">
        <v>118</v>
      </c>
    </row>
    <row r="1997" spans="1:26" x14ac:dyDescent="0.2">
      <c r="A1997" s="3">
        <v>42557</v>
      </c>
      <c r="B1997" t="s">
        <v>23</v>
      </c>
      <c r="C1997">
        <v>112</v>
      </c>
      <c r="D1997">
        <v>8</v>
      </c>
      <c r="E1997">
        <v>2</v>
      </c>
      <c r="F1997" t="s">
        <v>33</v>
      </c>
      <c r="G1997" t="s">
        <v>25</v>
      </c>
      <c r="H1997" t="s">
        <v>26</v>
      </c>
      <c r="I1997" t="s">
        <v>118</v>
      </c>
    </row>
    <row r="1998" spans="1:26" x14ac:dyDescent="0.2">
      <c r="A1998" s="3">
        <v>42557</v>
      </c>
      <c r="B1998" t="s">
        <v>23</v>
      </c>
      <c r="C1998">
        <v>112</v>
      </c>
      <c r="D1998">
        <v>9</v>
      </c>
      <c r="E1998">
        <v>1</v>
      </c>
      <c r="F1998" t="s">
        <v>33</v>
      </c>
      <c r="G1998" t="s">
        <v>25</v>
      </c>
      <c r="H1998" t="s">
        <v>26</v>
      </c>
      <c r="I1998" t="s">
        <v>118</v>
      </c>
    </row>
    <row r="1999" spans="1:26" x14ac:dyDescent="0.2">
      <c r="A1999" s="3">
        <v>42557</v>
      </c>
      <c r="B1999" t="s">
        <v>23</v>
      </c>
      <c r="C1999">
        <v>112</v>
      </c>
      <c r="D1999">
        <v>9</v>
      </c>
      <c r="E1999">
        <v>2</v>
      </c>
      <c r="F1999" t="s">
        <v>33</v>
      </c>
      <c r="G1999" t="s">
        <v>25</v>
      </c>
      <c r="H1999" t="s">
        <v>26</v>
      </c>
      <c r="I1999" t="s">
        <v>118</v>
      </c>
    </row>
    <row r="2000" spans="1:26" x14ac:dyDescent="0.2">
      <c r="A2000" s="3">
        <v>42557</v>
      </c>
      <c r="B2000" t="s">
        <v>23</v>
      </c>
      <c r="C2000">
        <v>112</v>
      </c>
      <c r="D2000">
        <v>10</v>
      </c>
      <c r="E2000">
        <v>1</v>
      </c>
      <c r="F2000" t="s">
        <v>33</v>
      </c>
      <c r="G2000" t="s">
        <v>25</v>
      </c>
      <c r="H2000" t="s">
        <v>26</v>
      </c>
      <c r="I2000" t="s">
        <v>118</v>
      </c>
    </row>
    <row r="2001" spans="1:9" x14ac:dyDescent="0.2">
      <c r="A2001" s="3">
        <v>42557</v>
      </c>
      <c r="B2001" t="s">
        <v>23</v>
      </c>
      <c r="C2001">
        <v>112</v>
      </c>
      <c r="D2001">
        <v>10</v>
      </c>
      <c r="E2001">
        <v>2</v>
      </c>
      <c r="F2001" t="s">
        <v>33</v>
      </c>
      <c r="G2001" t="s">
        <v>25</v>
      </c>
      <c r="H2001" t="s">
        <v>26</v>
      </c>
      <c r="I2001" t="s">
        <v>118</v>
      </c>
    </row>
    <row r="2002" spans="1:9" x14ac:dyDescent="0.2">
      <c r="A2002" s="3">
        <v>42557</v>
      </c>
      <c r="B2002" t="s">
        <v>23</v>
      </c>
      <c r="C2002">
        <v>304</v>
      </c>
      <c r="D2002">
        <v>9</v>
      </c>
      <c r="E2002">
        <v>1</v>
      </c>
      <c r="F2002" t="s">
        <v>33</v>
      </c>
      <c r="G2002" t="s">
        <v>25</v>
      </c>
      <c r="H2002" t="s">
        <v>26</v>
      </c>
      <c r="I2002" t="s">
        <v>118</v>
      </c>
    </row>
    <row r="2003" spans="1:9" x14ac:dyDescent="0.2">
      <c r="A2003" s="3">
        <v>42557</v>
      </c>
      <c r="B2003" t="s">
        <v>23</v>
      </c>
      <c r="C2003">
        <v>304</v>
      </c>
      <c r="D2003">
        <v>7</v>
      </c>
      <c r="E2003">
        <v>1</v>
      </c>
      <c r="F2003" t="s">
        <v>33</v>
      </c>
      <c r="G2003" t="s">
        <v>25</v>
      </c>
      <c r="H2003" t="s">
        <v>26</v>
      </c>
      <c r="I2003" t="s">
        <v>118</v>
      </c>
    </row>
    <row r="2004" spans="1:9" x14ac:dyDescent="0.2">
      <c r="A2004" s="3">
        <v>42558</v>
      </c>
      <c r="B2004" t="s">
        <v>23</v>
      </c>
      <c r="C2004">
        <v>201</v>
      </c>
      <c r="D2004">
        <v>7</v>
      </c>
      <c r="E2004">
        <v>1</v>
      </c>
      <c r="F2004" t="s">
        <v>24</v>
      </c>
      <c r="G2004" t="s">
        <v>25</v>
      </c>
      <c r="H2004" t="s">
        <v>26</v>
      </c>
      <c r="I2004" t="s">
        <v>118</v>
      </c>
    </row>
    <row r="2005" spans="1:9" x14ac:dyDescent="0.2">
      <c r="A2005" s="3">
        <v>42558</v>
      </c>
      <c r="B2005" t="s">
        <v>23</v>
      </c>
      <c r="C2005">
        <v>201</v>
      </c>
      <c r="D2005">
        <v>7</v>
      </c>
      <c r="E2005">
        <v>2</v>
      </c>
      <c r="F2005" t="s">
        <v>24</v>
      </c>
      <c r="G2005" t="s">
        <v>25</v>
      </c>
      <c r="H2005" t="s">
        <v>26</v>
      </c>
      <c r="I2005" t="s">
        <v>118</v>
      </c>
    </row>
    <row r="2006" spans="1:9" x14ac:dyDescent="0.2">
      <c r="A2006" s="3">
        <v>42558</v>
      </c>
      <c r="B2006" t="s">
        <v>23</v>
      </c>
      <c r="C2006">
        <v>201</v>
      </c>
      <c r="D2006">
        <v>8</v>
      </c>
      <c r="E2006">
        <v>2</v>
      </c>
      <c r="F2006" t="s">
        <v>24</v>
      </c>
      <c r="G2006" t="s">
        <v>25</v>
      </c>
      <c r="H2006" t="s">
        <v>26</v>
      </c>
      <c r="I2006" t="s">
        <v>118</v>
      </c>
    </row>
    <row r="2007" spans="1:9" x14ac:dyDescent="0.2">
      <c r="A2007" s="3">
        <v>42558</v>
      </c>
      <c r="B2007" t="s">
        <v>23</v>
      </c>
      <c r="C2007">
        <v>202</v>
      </c>
      <c r="D2007">
        <v>4</v>
      </c>
      <c r="E2007">
        <v>1</v>
      </c>
      <c r="F2007" t="s">
        <v>24</v>
      </c>
      <c r="G2007" t="s">
        <v>25</v>
      </c>
      <c r="H2007" t="s">
        <v>26</v>
      </c>
      <c r="I2007" t="s">
        <v>118</v>
      </c>
    </row>
    <row r="2008" spans="1:9" x14ac:dyDescent="0.2">
      <c r="A2008" s="3">
        <v>42558</v>
      </c>
      <c r="B2008" t="s">
        <v>23</v>
      </c>
      <c r="C2008">
        <v>111</v>
      </c>
      <c r="D2008">
        <v>1</v>
      </c>
      <c r="E2008">
        <v>1</v>
      </c>
      <c r="F2008" t="s">
        <v>33</v>
      </c>
      <c r="G2008" t="s">
        <v>25</v>
      </c>
      <c r="H2008" t="s">
        <v>26</v>
      </c>
      <c r="I2008" t="s">
        <v>118</v>
      </c>
    </row>
    <row r="2009" spans="1:9" x14ac:dyDescent="0.2">
      <c r="A2009" s="3">
        <v>42558</v>
      </c>
      <c r="B2009" t="s">
        <v>23</v>
      </c>
      <c r="C2009">
        <v>112</v>
      </c>
      <c r="D2009">
        <v>1</v>
      </c>
      <c r="E2009">
        <v>2</v>
      </c>
      <c r="F2009" t="s">
        <v>33</v>
      </c>
      <c r="G2009" t="s">
        <v>25</v>
      </c>
      <c r="H2009" t="s">
        <v>26</v>
      </c>
      <c r="I2009" t="s">
        <v>118</v>
      </c>
    </row>
    <row r="2010" spans="1:9" x14ac:dyDescent="0.2">
      <c r="A2010" s="3">
        <v>42558</v>
      </c>
      <c r="B2010" t="s">
        <v>23</v>
      </c>
      <c r="C2010">
        <v>112</v>
      </c>
      <c r="D2010">
        <v>2</v>
      </c>
      <c r="E2010">
        <v>1</v>
      </c>
      <c r="F2010" t="s">
        <v>33</v>
      </c>
      <c r="G2010" t="s">
        <v>25</v>
      </c>
      <c r="H2010" t="s">
        <v>26</v>
      </c>
      <c r="I2010" t="s">
        <v>118</v>
      </c>
    </row>
    <row r="2011" spans="1:9" x14ac:dyDescent="0.2">
      <c r="A2011" s="3">
        <v>42558</v>
      </c>
      <c r="B2011" t="s">
        <v>23</v>
      </c>
      <c r="C2011">
        <v>112</v>
      </c>
      <c r="D2011">
        <v>4</v>
      </c>
      <c r="E2011">
        <v>1</v>
      </c>
      <c r="F2011" t="s">
        <v>33</v>
      </c>
      <c r="G2011" t="s">
        <v>25</v>
      </c>
      <c r="H2011" t="s">
        <v>26</v>
      </c>
      <c r="I2011" t="s">
        <v>118</v>
      </c>
    </row>
    <row r="2012" spans="1:9" x14ac:dyDescent="0.2">
      <c r="A2012" s="3">
        <v>42558</v>
      </c>
      <c r="B2012" t="s">
        <v>23</v>
      </c>
      <c r="C2012">
        <v>402</v>
      </c>
      <c r="D2012">
        <v>1</v>
      </c>
      <c r="E2012">
        <v>1</v>
      </c>
      <c r="F2012" t="s">
        <v>33</v>
      </c>
      <c r="G2012" t="s">
        <v>25</v>
      </c>
      <c r="H2012" t="s">
        <v>26</v>
      </c>
      <c r="I2012" t="s">
        <v>118</v>
      </c>
    </row>
    <row r="2013" spans="1:9" x14ac:dyDescent="0.2">
      <c r="A2013" s="3">
        <v>42558</v>
      </c>
      <c r="B2013" t="s">
        <v>23</v>
      </c>
      <c r="C2013">
        <v>402</v>
      </c>
      <c r="D2013">
        <v>2</v>
      </c>
      <c r="E2013">
        <v>1</v>
      </c>
      <c r="F2013" t="s">
        <v>33</v>
      </c>
      <c r="G2013" t="s">
        <v>25</v>
      </c>
      <c r="H2013" t="s">
        <v>26</v>
      </c>
      <c r="I2013" t="s">
        <v>118</v>
      </c>
    </row>
    <row r="2014" spans="1:9" x14ac:dyDescent="0.2">
      <c r="A2014" s="3">
        <v>42558</v>
      </c>
      <c r="B2014" t="s">
        <v>23</v>
      </c>
      <c r="C2014">
        <v>402</v>
      </c>
      <c r="D2014">
        <v>2</v>
      </c>
      <c r="E2014">
        <v>2</v>
      </c>
      <c r="F2014" t="s">
        <v>33</v>
      </c>
      <c r="G2014" t="s">
        <v>25</v>
      </c>
      <c r="H2014" t="s">
        <v>26</v>
      </c>
      <c r="I2014" t="s">
        <v>118</v>
      </c>
    </row>
    <row r="2015" spans="1:9" x14ac:dyDescent="0.2">
      <c r="A2015" s="3">
        <v>42558</v>
      </c>
      <c r="B2015" t="s">
        <v>23</v>
      </c>
      <c r="C2015">
        <v>402</v>
      </c>
      <c r="D2015">
        <v>3</v>
      </c>
      <c r="E2015">
        <v>1</v>
      </c>
      <c r="F2015" t="s">
        <v>33</v>
      </c>
      <c r="G2015" t="s">
        <v>25</v>
      </c>
      <c r="H2015" t="s">
        <v>26</v>
      </c>
      <c r="I2015" t="s">
        <v>118</v>
      </c>
    </row>
    <row r="2016" spans="1:9" x14ac:dyDescent="0.2">
      <c r="A2016" s="3">
        <v>42558</v>
      </c>
      <c r="B2016" t="s">
        <v>23</v>
      </c>
      <c r="C2016">
        <v>402</v>
      </c>
      <c r="D2016">
        <v>4</v>
      </c>
      <c r="E2016">
        <v>1</v>
      </c>
      <c r="F2016" t="s">
        <v>33</v>
      </c>
      <c r="G2016" t="s">
        <v>25</v>
      </c>
      <c r="H2016" t="s">
        <v>26</v>
      </c>
      <c r="I2016" t="s">
        <v>118</v>
      </c>
    </row>
    <row r="2017" spans="1:9" x14ac:dyDescent="0.2">
      <c r="A2017" s="3">
        <v>42558</v>
      </c>
      <c r="B2017" t="s">
        <v>23</v>
      </c>
      <c r="C2017">
        <v>402</v>
      </c>
      <c r="D2017">
        <v>5</v>
      </c>
      <c r="E2017">
        <v>1</v>
      </c>
      <c r="F2017" t="s">
        <v>33</v>
      </c>
      <c r="G2017" t="s">
        <v>25</v>
      </c>
      <c r="H2017" t="s">
        <v>26</v>
      </c>
      <c r="I2017" t="s">
        <v>118</v>
      </c>
    </row>
    <row r="2018" spans="1:9" x14ac:dyDescent="0.2">
      <c r="A2018" s="3">
        <v>42558</v>
      </c>
      <c r="B2018" t="s">
        <v>23</v>
      </c>
      <c r="C2018">
        <v>402</v>
      </c>
      <c r="D2018">
        <v>5</v>
      </c>
      <c r="E2018">
        <v>2</v>
      </c>
      <c r="F2018" t="s">
        <v>33</v>
      </c>
      <c r="G2018" t="s">
        <v>25</v>
      </c>
      <c r="H2018" t="s">
        <v>26</v>
      </c>
      <c r="I2018" t="s">
        <v>118</v>
      </c>
    </row>
    <row r="2019" spans="1:9" x14ac:dyDescent="0.2">
      <c r="A2019" s="3">
        <v>42558</v>
      </c>
      <c r="B2019" t="s">
        <v>23</v>
      </c>
      <c r="C2019">
        <v>402</v>
      </c>
      <c r="D2019">
        <v>6</v>
      </c>
      <c r="E2019">
        <v>1</v>
      </c>
      <c r="F2019" t="s">
        <v>33</v>
      </c>
      <c r="G2019" t="s">
        <v>25</v>
      </c>
      <c r="H2019" t="s">
        <v>26</v>
      </c>
      <c r="I2019" t="s">
        <v>118</v>
      </c>
    </row>
    <row r="2020" spans="1:9" x14ac:dyDescent="0.2">
      <c r="A2020" s="3">
        <v>42558</v>
      </c>
      <c r="B2020" t="s">
        <v>23</v>
      </c>
      <c r="C2020">
        <v>402</v>
      </c>
      <c r="D2020">
        <v>6</v>
      </c>
      <c r="E2020">
        <v>2</v>
      </c>
      <c r="F2020" t="s">
        <v>33</v>
      </c>
      <c r="G2020" t="s">
        <v>25</v>
      </c>
      <c r="H2020" t="s">
        <v>26</v>
      </c>
      <c r="I2020" t="s">
        <v>118</v>
      </c>
    </row>
    <row r="2021" spans="1:9" x14ac:dyDescent="0.2">
      <c r="A2021" s="3">
        <v>42558</v>
      </c>
      <c r="B2021" t="s">
        <v>23</v>
      </c>
      <c r="C2021">
        <v>402</v>
      </c>
      <c r="D2021">
        <v>7</v>
      </c>
      <c r="E2021">
        <v>1</v>
      </c>
      <c r="F2021" t="s">
        <v>33</v>
      </c>
      <c r="G2021" t="s">
        <v>25</v>
      </c>
      <c r="H2021" t="s">
        <v>26</v>
      </c>
      <c r="I2021" t="s">
        <v>118</v>
      </c>
    </row>
    <row r="2022" spans="1:9" x14ac:dyDescent="0.2">
      <c r="A2022" s="3">
        <v>42558</v>
      </c>
      <c r="B2022" t="s">
        <v>23</v>
      </c>
      <c r="C2022">
        <v>402</v>
      </c>
      <c r="D2022">
        <v>7</v>
      </c>
      <c r="E2022">
        <v>2</v>
      </c>
      <c r="F2022" t="s">
        <v>33</v>
      </c>
      <c r="G2022" t="s">
        <v>25</v>
      </c>
      <c r="H2022" t="s">
        <v>26</v>
      </c>
      <c r="I2022" t="s">
        <v>118</v>
      </c>
    </row>
    <row r="2023" spans="1:9" x14ac:dyDescent="0.2">
      <c r="A2023" s="3">
        <v>42558</v>
      </c>
      <c r="B2023" t="s">
        <v>23</v>
      </c>
      <c r="C2023">
        <v>402</v>
      </c>
      <c r="D2023">
        <v>8</v>
      </c>
      <c r="E2023">
        <v>2</v>
      </c>
      <c r="F2023" t="s">
        <v>33</v>
      </c>
      <c r="G2023" t="s">
        <v>25</v>
      </c>
      <c r="H2023" t="s">
        <v>26</v>
      </c>
      <c r="I2023" t="s">
        <v>118</v>
      </c>
    </row>
    <row r="2024" spans="1:9" x14ac:dyDescent="0.2">
      <c r="A2024" s="3">
        <v>42558</v>
      </c>
      <c r="B2024" t="s">
        <v>23</v>
      </c>
      <c r="C2024">
        <v>402</v>
      </c>
      <c r="D2024">
        <v>9</v>
      </c>
      <c r="E2024">
        <v>1</v>
      </c>
      <c r="F2024" t="s">
        <v>33</v>
      </c>
      <c r="G2024" t="s">
        <v>25</v>
      </c>
      <c r="H2024" t="s">
        <v>26</v>
      </c>
      <c r="I2024" t="s">
        <v>118</v>
      </c>
    </row>
    <row r="2025" spans="1:9" x14ac:dyDescent="0.2">
      <c r="A2025" s="3">
        <v>42558</v>
      </c>
      <c r="B2025" t="s">
        <v>23</v>
      </c>
      <c r="C2025">
        <v>402</v>
      </c>
      <c r="D2025">
        <v>9</v>
      </c>
      <c r="E2025">
        <v>2</v>
      </c>
      <c r="F2025" t="s">
        <v>33</v>
      </c>
      <c r="G2025" t="s">
        <v>25</v>
      </c>
      <c r="H2025" t="s">
        <v>26</v>
      </c>
      <c r="I2025" t="s">
        <v>118</v>
      </c>
    </row>
    <row r="2026" spans="1:9" x14ac:dyDescent="0.2">
      <c r="A2026" s="3">
        <v>42563</v>
      </c>
      <c r="B2026" t="s">
        <v>23</v>
      </c>
      <c r="C2026">
        <v>501</v>
      </c>
      <c r="D2026">
        <v>10</v>
      </c>
      <c r="E2026">
        <v>1</v>
      </c>
      <c r="F2026" t="s">
        <v>24</v>
      </c>
      <c r="G2026" t="s">
        <v>25</v>
      </c>
      <c r="H2026" t="s">
        <v>26</v>
      </c>
      <c r="I2026" t="s">
        <v>118</v>
      </c>
    </row>
    <row r="2027" spans="1:9" x14ac:dyDescent="0.2">
      <c r="A2027" s="3">
        <v>42571</v>
      </c>
      <c r="B2027" t="s">
        <v>23</v>
      </c>
      <c r="C2027">
        <v>201</v>
      </c>
      <c r="D2027">
        <v>8</v>
      </c>
      <c r="E2027">
        <v>2</v>
      </c>
      <c r="F2027" t="s">
        <v>33</v>
      </c>
      <c r="G2027" t="s">
        <v>25</v>
      </c>
      <c r="H2027" t="s">
        <v>26</v>
      </c>
      <c r="I2027" t="s">
        <v>118</v>
      </c>
    </row>
    <row r="2028" spans="1:9" x14ac:dyDescent="0.2">
      <c r="A2028" s="3">
        <v>42571</v>
      </c>
      <c r="B2028" t="s">
        <v>23</v>
      </c>
      <c r="C2028">
        <v>203</v>
      </c>
      <c r="D2028">
        <v>4</v>
      </c>
      <c r="E2028">
        <v>2</v>
      </c>
      <c r="F2028" t="s">
        <v>33</v>
      </c>
      <c r="G2028" t="s">
        <v>25</v>
      </c>
      <c r="H2028" t="s">
        <v>26</v>
      </c>
      <c r="I2028" t="s">
        <v>118</v>
      </c>
    </row>
    <row r="2029" spans="1:9" x14ac:dyDescent="0.2">
      <c r="A2029" s="3">
        <v>42571</v>
      </c>
      <c r="B2029" t="s">
        <v>23</v>
      </c>
      <c r="C2029">
        <v>203</v>
      </c>
      <c r="D2029">
        <v>6</v>
      </c>
      <c r="E2029">
        <v>2</v>
      </c>
      <c r="F2029" t="s">
        <v>33</v>
      </c>
      <c r="G2029" t="s">
        <v>25</v>
      </c>
      <c r="H2029" t="s">
        <v>26</v>
      </c>
      <c r="I2029" t="s">
        <v>118</v>
      </c>
    </row>
    <row r="2030" spans="1:9" x14ac:dyDescent="0.2">
      <c r="A2030" s="3">
        <v>42571</v>
      </c>
      <c r="B2030" t="s">
        <v>23</v>
      </c>
      <c r="C2030">
        <v>304</v>
      </c>
      <c r="D2030">
        <v>1</v>
      </c>
      <c r="E2030">
        <v>1</v>
      </c>
      <c r="F2030" t="s">
        <v>33</v>
      </c>
      <c r="G2030" t="s">
        <v>25</v>
      </c>
      <c r="H2030" t="s">
        <v>26</v>
      </c>
      <c r="I2030" t="s">
        <v>118</v>
      </c>
    </row>
    <row r="2031" spans="1:9" x14ac:dyDescent="0.2">
      <c r="A2031" s="3">
        <v>42571</v>
      </c>
      <c r="B2031" t="s">
        <v>23</v>
      </c>
      <c r="C2031">
        <v>304</v>
      </c>
      <c r="D2031">
        <v>2</v>
      </c>
      <c r="E2031">
        <v>1</v>
      </c>
      <c r="F2031" t="s">
        <v>33</v>
      </c>
      <c r="G2031" t="s">
        <v>25</v>
      </c>
      <c r="H2031" t="s">
        <v>26</v>
      </c>
      <c r="I2031" t="s">
        <v>118</v>
      </c>
    </row>
    <row r="2032" spans="1:9" x14ac:dyDescent="0.2">
      <c r="A2032" s="3">
        <v>42571</v>
      </c>
      <c r="B2032" t="s">
        <v>23</v>
      </c>
      <c r="C2032">
        <v>304</v>
      </c>
      <c r="D2032">
        <v>8</v>
      </c>
      <c r="E2032">
        <v>1</v>
      </c>
      <c r="F2032" t="s">
        <v>33</v>
      </c>
      <c r="G2032" t="s">
        <v>25</v>
      </c>
      <c r="H2032" t="s">
        <v>26</v>
      </c>
      <c r="I2032" t="s">
        <v>118</v>
      </c>
    </row>
    <row r="2033" spans="1:9" x14ac:dyDescent="0.2">
      <c r="A2033" s="3">
        <v>42571</v>
      </c>
      <c r="B2033" t="s">
        <v>23</v>
      </c>
      <c r="C2033">
        <v>402</v>
      </c>
      <c r="D2033">
        <v>6</v>
      </c>
      <c r="E2033">
        <v>1</v>
      </c>
      <c r="F2033" t="s">
        <v>24</v>
      </c>
      <c r="G2033" t="s">
        <v>25</v>
      </c>
      <c r="H2033" t="s">
        <v>26</v>
      </c>
      <c r="I2033" t="s">
        <v>118</v>
      </c>
    </row>
    <row r="2034" spans="1:9" x14ac:dyDescent="0.2">
      <c r="A2034" s="3">
        <v>42571</v>
      </c>
      <c r="B2034" t="s">
        <v>23</v>
      </c>
      <c r="C2034">
        <v>402</v>
      </c>
      <c r="D2034">
        <v>7</v>
      </c>
      <c r="E2034">
        <v>1</v>
      </c>
      <c r="F2034" t="s">
        <v>24</v>
      </c>
      <c r="G2034" t="s">
        <v>25</v>
      </c>
      <c r="H2034" t="s">
        <v>26</v>
      </c>
      <c r="I2034" t="s">
        <v>118</v>
      </c>
    </row>
    <row r="2035" spans="1:9" x14ac:dyDescent="0.2">
      <c r="A2035" s="3">
        <v>42571</v>
      </c>
      <c r="B2035" t="s">
        <v>23</v>
      </c>
      <c r="C2035">
        <v>402</v>
      </c>
      <c r="D2035">
        <v>8</v>
      </c>
      <c r="E2035">
        <v>1</v>
      </c>
      <c r="F2035" t="s">
        <v>24</v>
      </c>
      <c r="G2035" t="s">
        <v>25</v>
      </c>
      <c r="H2035" t="s">
        <v>26</v>
      </c>
      <c r="I2035" t="s">
        <v>118</v>
      </c>
    </row>
    <row r="2036" spans="1:9" x14ac:dyDescent="0.2">
      <c r="A2036" s="3">
        <v>42571</v>
      </c>
      <c r="B2036" t="s">
        <v>23</v>
      </c>
      <c r="C2036">
        <v>402</v>
      </c>
      <c r="D2036">
        <v>8</v>
      </c>
      <c r="E2036">
        <v>2</v>
      </c>
      <c r="F2036" t="s">
        <v>24</v>
      </c>
      <c r="G2036" t="s">
        <v>25</v>
      </c>
      <c r="H2036" t="s">
        <v>26</v>
      </c>
      <c r="I2036" t="s">
        <v>118</v>
      </c>
    </row>
    <row r="2037" spans="1:9" x14ac:dyDescent="0.2">
      <c r="A2037" s="3">
        <v>42571</v>
      </c>
      <c r="B2037" t="s">
        <v>23</v>
      </c>
      <c r="C2037">
        <v>402</v>
      </c>
      <c r="D2037">
        <v>9</v>
      </c>
      <c r="E2037">
        <v>2</v>
      </c>
      <c r="F2037" t="s">
        <v>24</v>
      </c>
      <c r="G2037" t="s">
        <v>25</v>
      </c>
      <c r="H2037" t="s">
        <v>26</v>
      </c>
      <c r="I2037" t="s">
        <v>118</v>
      </c>
    </row>
    <row r="2038" spans="1:9" x14ac:dyDescent="0.2">
      <c r="A2038" s="3">
        <v>42571</v>
      </c>
      <c r="B2038" t="s">
        <v>23</v>
      </c>
      <c r="C2038">
        <v>402</v>
      </c>
      <c r="D2038">
        <v>10</v>
      </c>
      <c r="E2038">
        <v>1</v>
      </c>
      <c r="F2038" t="s">
        <v>24</v>
      </c>
      <c r="G2038" t="s">
        <v>25</v>
      </c>
      <c r="H2038" t="s">
        <v>26</v>
      </c>
      <c r="I2038" t="s">
        <v>118</v>
      </c>
    </row>
    <row r="2039" spans="1:9" x14ac:dyDescent="0.2">
      <c r="A2039" s="3">
        <v>42571</v>
      </c>
      <c r="B2039" t="s">
        <v>23</v>
      </c>
      <c r="C2039">
        <v>402</v>
      </c>
      <c r="D2039">
        <v>10</v>
      </c>
      <c r="E2039">
        <v>2</v>
      </c>
      <c r="F2039" t="s">
        <v>24</v>
      </c>
      <c r="G2039" t="s">
        <v>25</v>
      </c>
      <c r="H2039" t="s">
        <v>26</v>
      </c>
      <c r="I2039" t="s">
        <v>118</v>
      </c>
    </row>
    <row r="2040" spans="1:9" x14ac:dyDescent="0.2">
      <c r="A2040" s="3">
        <v>42572</v>
      </c>
      <c r="B2040" t="s">
        <v>23</v>
      </c>
      <c r="C2040">
        <v>203</v>
      </c>
      <c r="D2040">
        <v>1</v>
      </c>
      <c r="E2040">
        <v>2</v>
      </c>
      <c r="F2040" t="s">
        <v>33</v>
      </c>
      <c r="G2040" t="s">
        <v>25</v>
      </c>
      <c r="H2040" t="s">
        <v>26</v>
      </c>
      <c r="I2040" t="s">
        <v>118</v>
      </c>
    </row>
    <row r="2041" spans="1:9" x14ac:dyDescent="0.2">
      <c r="A2041" s="3">
        <v>42572</v>
      </c>
      <c r="B2041" t="s">
        <v>23</v>
      </c>
      <c r="C2041">
        <v>202</v>
      </c>
      <c r="D2041">
        <v>10</v>
      </c>
      <c r="E2041">
        <v>2</v>
      </c>
      <c r="F2041" t="s">
        <v>33</v>
      </c>
      <c r="G2041" t="s">
        <v>25</v>
      </c>
      <c r="H2041" t="s">
        <v>26</v>
      </c>
      <c r="I2041" t="s">
        <v>118</v>
      </c>
    </row>
    <row r="2042" spans="1:9" x14ac:dyDescent="0.2">
      <c r="A2042" s="3">
        <v>42572</v>
      </c>
      <c r="B2042" t="s">
        <v>23</v>
      </c>
      <c r="C2042">
        <v>113</v>
      </c>
      <c r="D2042">
        <v>1</v>
      </c>
      <c r="E2042">
        <v>2</v>
      </c>
      <c r="F2042" t="s">
        <v>24</v>
      </c>
      <c r="G2042" t="s">
        <v>25</v>
      </c>
      <c r="H2042" t="s">
        <v>26</v>
      </c>
      <c r="I2042" t="s">
        <v>118</v>
      </c>
    </row>
    <row r="2043" spans="1:9" x14ac:dyDescent="0.2">
      <c r="A2043" s="3">
        <v>42574</v>
      </c>
      <c r="B2043" t="s">
        <v>23</v>
      </c>
      <c r="C2043">
        <v>501</v>
      </c>
      <c r="D2043">
        <v>6</v>
      </c>
      <c r="E2043">
        <v>2</v>
      </c>
      <c r="F2043" t="s">
        <v>33</v>
      </c>
      <c r="G2043" t="s">
        <v>25</v>
      </c>
      <c r="H2043" t="s">
        <v>26</v>
      </c>
      <c r="I2043" t="s">
        <v>118</v>
      </c>
    </row>
    <row r="2044" spans="1:9" x14ac:dyDescent="0.2">
      <c r="A2044" s="3">
        <v>42574</v>
      </c>
      <c r="B2044" t="s">
        <v>23</v>
      </c>
      <c r="C2044">
        <v>501</v>
      </c>
      <c r="D2044">
        <v>7</v>
      </c>
      <c r="E2044">
        <v>1</v>
      </c>
      <c r="F2044" t="s">
        <v>33</v>
      </c>
      <c r="G2044" t="s">
        <v>25</v>
      </c>
      <c r="H2044" t="s">
        <v>26</v>
      </c>
      <c r="I2044" t="s">
        <v>118</v>
      </c>
    </row>
    <row r="2045" spans="1:9" x14ac:dyDescent="0.2">
      <c r="A2045" s="3">
        <v>42574</v>
      </c>
      <c r="B2045" t="s">
        <v>23</v>
      </c>
      <c r="C2045">
        <v>501</v>
      </c>
      <c r="D2045">
        <v>8</v>
      </c>
      <c r="E2045">
        <v>1</v>
      </c>
      <c r="F2045" t="s">
        <v>33</v>
      </c>
      <c r="G2045" t="s">
        <v>25</v>
      </c>
      <c r="H2045" t="s">
        <v>26</v>
      </c>
      <c r="I2045" t="s">
        <v>118</v>
      </c>
    </row>
    <row r="2046" spans="1:9" x14ac:dyDescent="0.2">
      <c r="A2046" s="3">
        <v>42574</v>
      </c>
      <c r="B2046" t="s">
        <v>23</v>
      </c>
      <c r="C2046">
        <v>501</v>
      </c>
      <c r="D2046">
        <v>9</v>
      </c>
      <c r="E2046">
        <v>1</v>
      </c>
      <c r="F2046" t="s">
        <v>33</v>
      </c>
      <c r="G2046" t="s">
        <v>25</v>
      </c>
      <c r="H2046" t="s">
        <v>26</v>
      </c>
      <c r="I2046" t="s">
        <v>118</v>
      </c>
    </row>
    <row r="2047" spans="1:9" x14ac:dyDescent="0.2">
      <c r="A2047" s="3">
        <v>42575</v>
      </c>
      <c r="B2047" t="s">
        <v>23</v>
      </c>
      <c r="C2047">
        <v>501</v>
      </c>
      <c r="D2047">
        <v>4</v>
      </c>
      <c r="E2047">
        <v>1</v>
      </c>
      <c r="F2047" t="s">
        <v>33</v>
      </c>
      <c r="G2047" t="s">
        <v>25</v>
      </c>
      <c r="H2047" t="s">
        <v>26</v>
      </c>
      <c r="I2047" t="s">
        <v>118</v>
      </c>
    </row>
    <row r="2048" spans="1:9" x14ac:dyDescent="0.2">
      <c r="A2048" s="3">
        <v>42576</v>
      </c>
      <c r="B2048" t="s">
        <v>23</v>
      </c>
      <c r="C2048">
        <v>901</v>
      </c>
      <c r="D2048">
        <v>3</v>
      </c>
      <c r="E2048">
        <v>2</v>
      </c>
      <c r="F2048" t="s">
        <v>66</v>
      </c>
      <c r="G2048" t="s">
        <v>25</v>
      </c>
      <c r="H2048" t="s">
        <v>26</v>
      </c>
      <c r="I2048" t="s">
        <v>118</v>
      </c>
    </row>
    <row r="2049" spans="1:9" x14ac:dyDescent="0.2">
      <c r="A2049" s="3">
        <v>42576</v>
      </c>
      <c r="B2049" t="s">
        <v>23</v>
      </c>
      <c r="C2049">
        <v>901</v>
      </c>
      <c r="D2049">
        <v>10</v>
      </c>
      <c r="E2049">
        <v>1</v>
      </c>
      <c r="F2049" t="s">
        <v>66</v>
      </c>
      <c r="G2049" t="s">
        <v>25</v>
      </c>
      <c r="H2049" t="s">
        <v>26</v>
      </c>
      <c r="I2049" t="s">
        <v>118</v>
      </c>
    </row>
    <row r="2050" spans="1:9" x14ac:dyDescent="0.2">
      <c r="A2050" s="3">
        <v>42585</v>
      </c>
      <c r="B2050" t="s">
        <v>23</v>
      </c>
      <c r="C2050">
        <v>111</v>
      </c>
      <c r="D2050">
        <v>1</v>
      </c>
      <c r="E2050">
        <v>1</v>
      </c>
      <c r="F2050" t="s">
        <v>64</v>
      </c>
      <c r="G2050" t="s">
        <v>25</v>
      </c>
      <c r="H2050" t="s">
        <v>26</v>
      </c>
      <c r="I2050" t="s">
        <v>118</v>
      </c>
    </row>
    <row r="2051" spans="1:9" x14ac:dyDescent="0.2">
      <c r="A2051" s="3">
        <v>42585</v>
      </c>
      <c r="B2051" t="s">
        <v>23</v>
      </c>
      <c r="C2051">
        <v>111</v>
      </c>
      <c r="D2051">
        <v>1</v>
      </c>
      <c r="E2051">
        <v>2</v>
      </c>
      <c r="F2051" t="s">
        <v>64</v>
      </c>
      <c r="G2051" t="s">
        <v>25</v>
      </c>
      <c r="H2051" t="s">
        <v>26</v>
      </c>
      <c r="I2051" t="s">
        <v>118</v>
      </c>
    </row>
    <row r="2052" spans="1:9" x14ac:dyDescent="0.2">
      <c r="A2052" s="3">
        <v>42585</v>
      </c>
      <c r="B2052" t="s">
        <v>23</v>
      </c>
      <c r="C2052">
        <v>111</v>
      </c>
      <c r="D2052">
        <v>2</v>
      </c>
      <c r="E2052">
        <v>1</v>
      </c>
      <c r="F2052" t="s">
        <v>64</v>
      </c>
      <c r="G2052" t="s">
        <v>25</v>
      </c>
      <c r="H2052" t="s">
        <v>26</v>
      </c>
      <c r="I2052" t="s">
        <v>118</v>
      </c>
    </row>
    <row r="2053" spans="1:9" x14ac:dyDescent="0.2">
      <c r="A2053" s="3">
        <v>42586</v>
      </c>
      <c r="B2053" t="s">
        <v>23</v>
      </c>
      <c r="C2053">
        <v>402</v>
      </c>
      <c r="D2053">
        <v>2</v>
      </c>
      <c r="E2053">
        <v>1</v>
      </c>
      <c r="F2053" t="s">
        <v>64</v>
      </c>
      <c r="G2053" t="s">
        <v>25</v>
      </c>
      <c r="H2053" t="s">
        <v>26</v>
      </c>
      <c r="I2053" t="s">
        <v>118</v>
      </c>
    </row>
    <row r="2054" spans="1:9" x14ac:dyDescent="0.2">
      <c r="A2054" s="3">
        <v>42586</v>
      </c>
      <c r="B2054" t="s">
        <v>23</v>
      </c>
      <c r="C2054">
        <v>402</v>
      </c>
      <c r="D2054">
        <v>4</v>
      </c>
      <c r="E2054">
        <v>2</v>
      </c>
      <c r="F2054" t="s">
        <v>64</v>
      </c>
      <c r="G2054" t="s">
        <v>25</v>
      </c>
      <c r="H2054" t="s">
        <v>26</v>
      </c>
      <c r="I2054" t="s">
        <v>118</v>
      </c>
    </row>
    <row r="2055" spans="1:9" x14ac:dyDescent="0.2">
      <c r="A2055" s="3">
        <v>42586</v>
      </c>
      <c r="B2055" t="s">
        <v>23</v>
      </c>
      <c r="C2055">
        <v>402</v>
      </c>
      <c r="D2055">
        <v>5</v>
      </c>
      <c r="E2055">
        <v>1</v>
      </c>
      <c r="F2055" t="s">
        <v>64</v>
      </c>
      <c r="G2055" t="s">
        <v>25</v>
      </c>
      <c r="H2055" t="s">
        <v>26</v>
      </c>
      <c r="I2055" t="s">
        <v>118</v>
      </c>
    </row>
    <row r="2056" spans="1:9" x14ac:dyDescent="0.2">
      <c r="A2056" s="3">
        <v>42586</v>
      </c>
      <c r="B2056" t="s">
        <v>23</v>
      </c>
      <c r="C2056">
        <v>402</v>
      </c>
      <c r="D2056">
        <v>7</v>
      </c>
      <c r="E2056">
        <v>2</v>
      </c>
      <c r="F2056" t="s">
        <v>64</v>
      </c>
      <c r="G2056" t="s">
        <v>25</v>
      </c>
      <c r="H2056" t="s">
        <v>26</v>
      </c>
      <c r="I2056" t="s">
        <v>118</v>
      </c>
    </row>
    <row r="2057" spans="1:9" x14ac:dyDescent="0.2">
      <c r="A2057" s="3">
        <v>42586</v>
      </c>
      <c r="B2057" t="s">
        <v>23</v>
      </c>
      <c r="C2057">
        <v>402</v>
      </c>
      <c r="D2057">
        <v>8</v>
      </c>
      <c r="E2057">
        <v>1</v>
      </c>
      <c r="F2057" t="s">
        <v>64</v>
      </c>
      <c r="G2057" t="s">
        <v>25</v>
      </c>
      <c r="H2057" t="s">
        <v>26</v>
      </c>
      <c r="I2057" t="s">
        <v>118</v>
      </c>
    </row>
    <row r="2058" spans="1:9" x14ac:dyDescent="0.2">
      <c r="A2058" s="3">
        <v>42586</v>
      </c>
      <c r="B2058" t="s">
        <v>23</v>
      </c>
      <c r="C2058">
        <v>402</v>
      </c>
      <c r="D2058">
        <v>9</v>
      </c>
      <c r="E2058">
        <v>1</v>
      </c>
      <c r="F2058" t="s">
        <v>64</v>
      </c>
      <c r="G2058" t="s">
        <v>25</v>
      </c>
      <c r="H2058" t="s">
        <v>26</v>
      </c>
      <c r="I2058" t="s">
        <v>118</v>
      </c>
    </row>
    <row r="2059" spans="1:9" x14ac:dyDescent="0.2">
      <c r="A2059" s="3">
        <v>42586</v>
      </c>
      <c r="B2059" t="s">
        <v>23</v>
      </c>
      <c r="C2059">
        <v>402</v>
      </c>
      <c r="D2059">
        <v>9</v>
      </c>
      <c r="E2059">
        <v>2</v>
      </c>
      <c r="F2059" t="s">
        <v>64</v>
      </c>
      <c r="G2059" t="s">
        <v>25</v>
      </c>
      <c r="H2059" t="s">
        <v>26</v>
      </c>
      <c r="I2059" t="s">
        <v>118</v>
      </c>
    </row>
    <row r="2060" spans="1:9" x14ac:dyDescent="0.2">
      <c r="A2060" s="3">
        <v>42586</v>
      </c>
      <c r="B2060" t="s">
        <v>23</v>
      </c>
      <c r="C2060">
        <v>402</v>
      </c>
      <c r="D2060">
        <v>10</v>
      </c>
      <c r="E2060">
        <v>1</v>
      </c>
      <c r="F2060" t="s">
        <v>64</v>
      </c>
      <c r="G2060" t="s">
        <v>25</v>
      </c>
      <c r="H2060" t="s">
        <v>26</v>
      </c>
      <c r="I2060" t="s">
        <v>118</v>
      </c>
    </row>
    <row r="2061" spans="1:9" x14ac:dyDescent="0.2">
      <c r="A2061" s="3">
        <v>42586</v>
      </c>
      <c r="B2061" t="s">
        <v>23</v>
      </c>
      <c r="C2061">
        <v>402</v>
      </c>
      <c r="D2061">
        <v>10</v>
      </c>
      <c r="E2061">
        <v>2</v>
      </c>
      <c r="F2061" t="s">
        <v>64</v>
      </c>
      <c r="G2061" t="s">
        <v>25</v>
      </c>
      <c r="H2061" t="s">
        <v>26</v>
      </c>
      <c r="I2061" t="s">
        <v>118</v>
      </c>
    </row>
    <row r="2062" spans="1:9" x14ac:dyDescent="0.2">
      <c r="A2062" s="3">
        <v>42598</v>
      </c>
      <c r="B2062" t="s">
        <v>23</v>
      </c>
      <c r="C2062">
        <v>111</v>
      </c>
      <c r="D2062">
        <v>2</v>
      </c>
      <c r="E2062">
        <v>1</v>
      </c>
      <c r="F2062" t="s">
        <v>24</v>
      </c>
      <c r="G2062" t="s">
        <v>25</v>
      </c>
      <c r="H2062" t="s">
        <v>26</v>
      </c>
      <c r="I2062" t="s">
        <v>118</v>
      </c>
    </row>
    <row r="2063" spans="1:9" x14ac:dyDescent="0.2">
      <c r="A2063" s="3">
        <v>42598</v>
      </c>
      <c r="B2063" t="s">
        <v>23</v>
      </c>
      <c r="C2063">
        <v>111</v>
      </c>
      <c r="D2063">
        <v>10</v>
      </c>
      <c r="E2063">
        <v>1</v>
      </c>
      <c r="F2063" t="s">
        <v>24</v>
      </c>
      <c r="G2063" t="s">
        <v>25</v>
      </c>
      <c r="H2063" t="s">
        <v>26</v>
      </c>
      <c r="I2063" t="s">
        <v>118</v>
      </c>
    </row>
    <row r="2064" spans="1:9" x14ac:dyDescent="0.2">
      <c r="A2064" s="3">
        <v>42605</v>
      </c>
      <c r="B2064" t="s">
        <v>23</v>
      </c>
      <c r="C2064">
        <v>303</v>
      </c>
      <c r="D2064">
        <v>1</v>
      </c>
      <c r="E2064">
        <v>2</v>
      </c>
      <c r="F2064" t="s">
        <v>64</v>
      </c>
      <c r="G2064" t="s">
        <v>25</v>
      </c>
      <c r="H2064" t="s">
        <v>26</v>
      </c>
      <c r="I2064" t="s">
        <v>118</v>
      </c>
    </row>
    <row r="2065" spans="1:30" x14ac:dyDescent="0.2">
      <c r="A2065" s="3">
        <v>42605</v>
      </c>
      <c r="B2065" t="s">
        <v>23</v>
      </c>
      <c r="C2065">
        <v>303</v>
      </c>
      <c r="D2065">
        <v>5</v>
      </c>
      <c r="E2065">
        <v>2</v>
      </c>
      <c r="F2065" t="s">
        <v>64</v>
      </c>
      <c r="G2065" t="s">
        <v>25</v>
      </c>
      <c r="H2065" t="s">
        <v>26</v>
      </c>
      <c r="I2065" t="s">
        <v>118</v>
      </c>
    </row>
    <row r="2066" spans="1:30" x14ac:dyDescent="0.2">
      <c r="A2066" s="3">
        <v>42605</v>
      </c>
      <c r="B2066" t="s">
        <v>23</v>
      </c>
      <c r="C2066">
        <v>303</v>
      </c>
      <c r="D2066">
        <v>6</v>
      </c>
      <c r="E2066">
        <v>1</v>
      </c>
      <c r="F2066" t="s">
        <v>64</v>
      </c>
      <c r="G2066" t="s">
        <v>25</v>
      </c>
      <c r="H2066" t="s">
        <v>26</v>
      </c>
      <c r="I2066" t="s">
        <v>118</v>
      </c>
    </row>
    <row r="2067" spans="1:30" x14ac:dyDescent="0.2">
      <c r="A2067" s="3">
        <v>42605</v>
      </c>
      <c r="B2067" t="s">
        <v>23</v>
      </c>
      <c r="C2067">
        <v>303</v>
      </c>
      <c r="D2067">
        <v>7</v>
      </c>
      <c r="E2067">
        <v>2</v>
      </c>
      <c r="F2067" t="s">
        <v>64</v>
      </c>
      <c r="G2067" t="s">
        <v>25</v>
      </c>
      <c r="H2067" t="s">
        <v>26</v>
      </c>
      <c r="I2067" t="s">
        <v>1714</v>
      </c>
    </row>
    <row r="2068" spans="1:30" x14ac:dyDescent="0.2">
      <c r="A2068" s="3">
        <v>42605</v>
      </c>
      <c r="B2068" t="s">
        <v>23</v>
      </c>
      <c r="C2068">
        <v>303</v>
      </c>
      <c r="D2068">
        <v>8</v>
      </c>
      <c r="E2068">
        <v>1</v>
      </c>
      <c r="F2068" t="s">
        <v>64</v>
      </c>
      <c r="G2068" t="s">
        <v>25</v>
      </c>
      <c r="H2068" t="s">
        <v>26</v>
      </c>
      <c r="I2068" t="s">
        <v>1714</v>
      </c>
    </row>
    <row r="2069" spans="1:30" x14ac:dyDescent="0.2">
      <c r="A2069" s="3">
        <v>42508</v>
      </c>
      <c r="B2069" t="s">
        <v>23</v>
      </c>
      <c r="C2069">
        <v>202</v>
      </c>
      <c r="D2069">
        <v>7</v>
      </c>
      <c r="E2069">
        <v>1</v>
      </c>
      <c r="F2069" t="s">
        <v>33</v>
      </c>
      <c r="G2069" t="s">
        <v>25</v>
      </c>
      <c r="H2069" t="s">
        <v>26</v>
      </c>
      <c r="I2069" t="s">
        <v>120</v>
      </c>
      <c r="Z2069" t="s">
        <v>32</v>
      </c>
    </row>
    <row r="2070" spans="1:30" x14ac:dyDescent="0.2">
      <c r="A2070" s="3">
        <v>42529</v>
      </c>
      <c r="B2070" t="s">
        <v>23</v>
      </c>
      <c r="C2070">
        <v>402</v>
      </c>
      <c r="D2070">
        <v>8</v>
      </c>
      <c r="E2070">
        <v>1</v>
      </c>
      <c r="F2070" t="s">
        <v>33</v>
      </c>
      <c r="G2070" t="s">
        <v>25</v>
      </c>
      <c r="H2070" t="s">
        <v>26</v>
      </c>
      <c r="I2070" t="s">
        <v>120</v>
      </c>
      <c r="Z2070" t="s">
        <v>32</v>
      </c>
    </row>
    <row r="2071" spans="1:30" x14ac:dyDescent="0.2">
      <c r="A2071" s="3">
        <v>42529</v>
      </c>
      <c r="B2071" t="s">
        <v>23</v>
      </c>
      <c r="C2071">
        <v>402</v>
      </c>
      <c r="D2071">
        <v>8</v>
      </c>
      <c r="E2071">
        <v>2</v>
      </c>
      <c r="F2071" t="s">
        <v>33</v>
      </c>
      <c r="G2071" t="s">
        <v>25</v>
      </c>
      <c r="H2071" t="s">
        <v>26</v>
      </c>
      <c r="I2071" t="s">
        <v>120</v>
      </c>
      <c r="Z2071" t="s">
        <v>32</v>
      </c>
    </row>
    <row r="2072" spans="1:30" x14ac:dyDescent="0.2">
      <c r="A2072" s="3">
        <v>42529</v>
      </c>
      <c r="B2072" t="s">
        <v>23</v>
      </c>
      <c r="C2072">
        <v>402</v>
      </c>
      <c r="D2072">
        <v>9</v>
      </c>
      <c r="E2072">
        <v>1</v>
      </c>
      <c r="F2072" t="s">
        <v>33</v>
      </c>
      <c r="G2072" t="s">
        <v>25</v>
      </c>
      <c r="H2072" t="s">
        <v>26</v>
      </c>
      <c r="I2072" t="s">
        <v>120</v>
      </c>
      <c r="Z2072" t="s">
        <v>32</v>
      </c>
    </row>
    <row r="2073" spans="1:30" x14ac:dyDescent="0.2">
      <c r="A2073" s="3">
        <v>42529</v>
      </c>
      <c r="B2073" t="s">
        <v>23</v>
      </c>
      <c r="C2073">
        <v>402</v>
      </c>
      <c r="D2073">
        <v>9</v>
      </c>
      <c r="E2073">
        <v>2</v>
      </c>
      <c r="F2073" t="s">
        <v>33</v>
      </c>
      <c r="G2073" t="s">
        <v>25</v>
      </c>
      <c r="H2073" t="s">
        <v>26</v>
      </c>
      <c r="I2073" t="s">
        <v>120</v>
      </c>
      <c r="Z2073" t="s">
        <v>32</v>
      </c>
    </row>
    <row r="2074" spans="1:30" x14ac:dyDescent="0.2">
      <c r="A2074" s="3">
        <v>42529</v>
      </c>
      <c r="B2074" t="s">
        <v>23</v>
      </c>
      <c r="C2074">
        <v>402</v>
      </c>
      <c r="D2074">
        <v>10</v>
      </c>
      <c r="E2074">
        <v>1</v>
      </c>
      <c r="F2074" t="s">
        <v>33</v>
      </c>
      <c r="G2074" t="s">
        <v>25</v>
      </c>
      <c r="H2074" t="s">
        <v>26</v>
      </c>
      <c r="I2074" t="s">
        <v>120</v>
      </c>
      <c r="Z2074" t="s">
        <v>32</v>
      </c>
    </row>
    <row r="2075" spans="1:30" x14ac:dyDescent="0.2">
      <c r="A2075" s="3">
        <v>42529</v>
      </c>
      <c r="B2075" t="s">
        <v>23</v>
      </c>
      <c r="C2075">
        <v>402</v>
      </c>
      <c r="D2075">
        <v>10</v>
      </c>
      <c r="E2075">
        <v>2</v>
      </c>
      <c r="F2075" t="s">
        <v>33</v>
      </c>
      <c r="G2075" t="s">
        <v>25</v>
      </c>
      <c r="H2075" t="s">
        <v>26</v>
      </c>
      <c r="I2075" t="s">
        <v>120</v>
      </c>
      <c r="Z2075" t="s">
        <v>32</v>
      </c>
    </row>
    <row r="2076" spans="1:30" x14ac:dyDescent="0.2">
      <c r="A2076" s="3">
        <v>42529</v>
      </c>
      <c r="B2076" t="s">
        <v>23</v>
      </c>
      <c r="C2076">
        <v>304</v>
      </c>
      <c r="D2076">
        <v>10</v>
      </c>
      <c r="E2076">
        <v>1</v>
      </c>
      <c r="F2076" t="s">
        <v>33</v>
      </c>
      <c r="G2076" t="s">
        <v>25</v>
      </c>
      <c r="H2076" t="s">
        <v>26</v>
      </c>
      <c r="I2076" t="s">
        <v>120</v>
      </c>
      <c r="Z2076" t="s">
        <v>32</v>
      </c>
      <c r="AD2076" t="s">
        <v>196</v>
      </c>
    </row>
    <row r="2077" spans="1:30" x14ac:dyDescent="0.2">
      <c r="A2077" s="3">
        <v>42585</v>
      </c>
      <c r="B2077" t="s">
        <v>23</v>
      </c>
      <c r="C2077">
        <v>111</v>
      </c>
      <c r="D2077">
        <v>4</v>
      </c>
      <c r="E2077">
        <v>1</v>
      </c>
      <c r="F2077" t="s">
        <v>64</v>
      </c>
      <c r="G2077" t="s">
        <v>25</v>
      </c>
      <c r="H2077" t="s">
        <v>26</v>
      </c>
      <c r="I2077" t="s">
        <v>120</v>
      </c>
    </row>
    <row r="2078" spans="1:30" x14ac:dyDescent="0.2">
      <c r="A2078" s="3">
        <v>42585</v>
      </c>
      <c r="B2078" t="s">
        <v>23</v>
      </c>
      <c r="C2078">
        <v>111</v>
      </c>
      <c r="D2078">
        <v>4</v>
      </c>
      <c r="E2078">
        <v>2</v>
      </c>
      <c r="F2078" t="s">
        <v>64</v>
      </c>
      <c r="G2078" t="s">
        <v>25</v>
      </c>
      <c r="H2078" t="s">
        <v>26</v>
      </c>
      <c r="I2078" t="s">
        <v>120</v>
      </c>
    </row>
    <row r="2079" spans="1:30" x14ac:dyDescent="0.2">
      <c r="A2079" s="3">
        <v>42585</v>
      </c>
      <c r="B2079" t="s">
        <v>23</v>
      </c>
      <c r="C2079">
        <v>111</v>
      </c>
      <c r="D2079">
        <v>5</v>
      </c>
      <c r="E2079">
        <v>1</v>
      </c>
      <c r="F2079" t="s">
        <v>64</v>
      </c>
      <c r="G2079" t="s">
        <v>25</v>
      </c>
      <c r="H2079" t="s">
        <v>26</v>
      </c>
      <c r="I2079" t="s">
        <v>120</v>
      </c>
    </row>
    <row r="2080" spans="1:30" x14ac:dyDescent="0.2">
      <c r="A2080" s="3">
        <v>42585</v>
      </c>
      <c r="B2080" t="s">
        <v>23</v>
      </c>
      <c r="C2080">
        <v>111</v>
      </c>
      <c r="D2080">
        <v>5</v>
      </c>
      <c r="E2080">
        <v>2</v>
      </c>
      <c r="F2080" t="s">
        <v>64</v>
      </c>
      <c r="G2080" t="s">
        <v>25</v>
      </c>
      <c r="H2080" t="s">
        <v>26</v>
      </c>
      <c r="I2080" t="s">
        <v>120</v>
      </c>
    </row>
    <row r="2081" spans="1:29" x14ac:dyDescent="0.2">
      <c r="A2081" s="3">
        <v>42585</v>
      </c>
      <c r="B2081" t="s">
        <v>23</v>
      </c>
      <c r="C2081">
        <v>111</v>
      </c>
      <c r="D2081">
        <v>6</v>
      </c>
      <c r="E2081">
        <v>1</v>
      </c>
      <c r="F2081" t="s">
        <v>64</v>
      </c>
      <c r="G2081" t="s">
        <v>25</v>
      </c>
      <c r="H2081" t="s">
        <v>26</v>
      </c>
      <c r="I2081" t="s">
        <v>120</v>
      </c>
    </row>
    <row r="2082" spans="1:29" x14ac:dyDescent="0.2">
      <c r="A2082" s="3">
        <v>42585</v>
      </c>
      <c r="B2082" t="s">
        <v>23</v>
      </c>
      <c r="C2082">
        <v>111</v>
      </c>
      <c r="D2082">
        <v>6</v>
      </c>
      <c r="E2082">
        <v>2</v>
      </c>
      <c r="F2082" t="s">
        <v>64</v>
      </c>
      <c r="G2082" t="s">
        <v>25</v>
      </c>
      <c r="H2082" t="s">
        <v>26</v>
      </c>
      <c r="I2082" t="s">
        <v>120</v>
      </c>
    </row>
    <row r="2083" spans="1:29" x14ac:dyDescent="0.2">
      <c r="A2083" s="3">
        <v>42585</v>
      </c>
      <c r="B2083" t="s">
        <v>23</v>
      </c>
      <c r="C2083">
        <v>111</v>
      </c>
      <c r="D2083">
        <v>7</v>
      </c>
      <c r="E2083">
        <v>1</v>
      </c>
      <c r="F2083" t="s">
        <v>64</v>
      </c>
      <c r="G2083" t="s">
        <v>25</v>
      </c>
      <c r="H2083" t="s">
        <v>26</v>
      </c>
      <c r="I2083" t="s">
        <v>120</v>
      </c>
    </row>
    <row r="2084" spans="1:29" x14ac:dyDescent="0.2">
      <c r="A2084" s="3">
        <v>42585</v>
      </c>
      <c r="B2084" t="s">
        <v>23</v>
      </c>
      <c r="C2084">
        <v>111</v>
      </c>
      <c r="D2084">
        <v>7</v>
      </c>
      <c r="E2084">
        <v>2</v>
      </c>
      <c r="F2084" t="s">
        <v>64</v>
      </c>
      <c r="G2084" t="s">
        <v>25</v>
      </c>
      <c r="H2084" t="s">
        <v>26</v>
      </c>
      <c r="I2084" t="s">
        <v>120</v>
      </c>
    </row>
    <row r="2085" spans="1:29" x14ac:dyDescent="0.2">
      <c r="A2085" s="3">
        <v>42585</v>
      </c>
      <c r="B2085" t="s">
        <v>23</v>
      </c>
      <c r="C2085">
        <v>111</v>
      </c>
      <c r="D2085">
        <v>8</v>
      </c>
      <c r="E2085">
        <v>1</v>
      </c>
      <c r="F2085" t="s">
        <v>64</v>
      </c>
      <c r="G2085" t="s">
        <v>25</v>
      </c>
      <c r="H2085" t="s">
        <v>26</v>
      </c>
      <c r="I2085" t="s">
        <v>120</v>
      </c>
    </row>
    <row r="2086" spans="1:29" x14ac:dyDescent="0.2">
      <c r="A2086" s="3">
        <v>42585</v>
      </c>
      <c r="B2086" t="s">
        <v>23</v>
      </c>
      <c r="C2086">
        <v>111</v>
      </c>
      <c r="D2086">
        <v>8</v>
      </c>
      <c r="E2086">
        <v>2</v>
      </c>
      <c r="F2086" t="s">
        <v>64</v>
      </c>
      <c r="G2086" t="s">
        <v>25</v>
      </c>
      <c r="H2086" t="s">
        <v>26</v>
      </c>
      <c r="I2086" t="s">
        <v>120</v>
      </c>
    </row>
    <row r="2087" spans="1:29" x14ac:dyDescent="0.2">
      <c r="A2087" s="3">
        <v>42585</v>
      </c>
      <c r="B2087" t="s">
        <v>23</v>
      </c>
      <c r="C2087">
        <v>111</v>
      </c>
      <c r="D2087">
        <v>9</v>
      </c>
      <c r="E2087">
        <v>1</v>
      </c>
      <c r="F2087" t="s">
        <v>64</v>
      </c>
      <c r="G2087" t="s">
        <v>25</v>
      </c>
      <c r="H2087" t="s">
        <v>26</v>
      </c>
      <c r="I2087" t="s">
        <v>120</v>
      </c>
    </row>
    <row r="2088" spans="1:29" x14ac:dyDescent="0.2">
      <c r="A2088" s="3">
        <v>42585</v>
      </c>
      <c r="B2088" t="s">
        <v>23</v>
      </c>
      <c r="C2088">
        <v>111</v>
      </c>
      <c r="D2088">
        <v>9</v>
      </c>
      <c r="E2088">
        <v>2</v>
      </c>
      <c r="F2088" t="s">
        <v>64</v>
      </c>
      <c r="G2088" t="s">
        <v>25</v>
      </c>
      <c r="H2088" t="s">
        <v>26</v>
      </c>
      <c r="I2088" t="s">
        <v>120</v>
      </c>
    </row>
    <row r="2089" spans="1:29" x14ac:dyDescent="0.2">
      <c r="A2089" s="3">
        <v>42585</v>
      </c>
      <c r="B2089" t="s">
        <v>23</v>
      </c>
      <c r="C2089">
        <v>111</v>
      </c>
      <c r="D2089">
        <v>10</v>
      </c>
      <c r="E2089">
        <v>1</v>
      </c>
      <c r="F2089" t="s">
        <v>64</v>
      </c>
      <c r="G2089" t="s">
        <v>25</v>
      </c>
      <c r="H2089" t="s">
        <v>26</v>
      </c>
      <c r="I2089" t="s">
        <v>120</v>
      </c>
    </row>
    <row r="2090" spans="1:29" x14ac:dyDescent="0.2">
      <c r="A2090" s="3">
        <v>42507</v>
      </c>
      <c r="B2090" t="s">
        <v>23</v>
      </c>
      <c r="C2090">
        <v>113</v>
      </c>
      <c r="D2090">
        <v>1</v>
      </c>
      <c r="E2090">
        <v>1</v>
      </c>
      <c r="F2090" t="s">
        <v>24</v>
      </c>
      <c r="G2090" t="s">
        <v>25</v>
      </c>
      <c r="H2090" t="s">
        <v>26</v>
      </c>
      <c r="I2090" t="s">
        <v>114</v>
      </c>
      <c r="Z2090" t="s">
        <v>32</v>
      </c>
      <c r="AB2090" t="s">
        <v>44</v>
      </c>
      <c r="AC2090" t="s">
        <v>116</v>
      </c>
    </row>
    <row r="2091" spans="1:29" x14ac:dyDescent="0.2">
      <c r="A2091" s="3">
        <v>42507</v>
      </c>
      <c r="B2091" t="s">
        <v>23</v>
      </c>
      <c r="C2091">
        <v>113</v>
      </c>
      <c r="D2091">
        <v>1</v>
      </c>
      <c r="E2091">
        <v>2</v>
      </c>
      <c r="F2091" t="s">
        <v>24</v>
      </c>
      <c r="G2091" t="s">
        <v>25</v>
      </c>
      <c r="H2091" t="s">
        <v>26</v>
      </c>
      <c r="I2091" t="s">
        <v>114</v>
      </c>
      <c r="Z2091" t="s">
        <v>32</v>
      </c>
      <c r="AB2091" t="s">
        <v>44</v>
      </c>
      <c r="AC2091" t="s">
        <v>116</v>
      </c>
    </row>
    <row r="2092" spans="1:29" x14ac:dyDescent="0.2">
      <c r="A2092" s="3">
        <v>42507</v>
      </c>
      <c r="B2092" t="s">
        <v>23</v>
      </c>
      <c r="C2092">
        <v>113</v>
      </c>
      <c r="D2092">
        <v>2</v>
      </c>
      <c r="E2092">
        <v>1</v>
      </c>
      <c r="F2092" t="s">
        <v>24</v>
      </c>
      <c r="G2092" t="s">
        <v>25</v>
      </c>
      <c r="H2092" t="s">
        <v>26</v>
      </c>
      <c r="I2092" t="s">
        <v>114</v>
      </c>
      <c r="Z2092" t="s">
        <v>32</v>
      </c>
      <c r="AB2092" t="s">
        <v>44</v>
      </c>
      <c r="AC2092" t="s">
        <v>116</v>
      </c>
    </row>
    <row r="2093" spans="1:29" x14ac:dyDescent="0.2">
      <c r="A2093" s="3">
        <v>42507</v>
      </c>
      <c r="B2093" t="s">
        <v>23</v>
      </c>
      <c r="C2093">
        <v>113</v>
      </c>
      <c r="D2093">
        <v>2</v>
      </c>
      <c r="E2093">
        <v>2</v>
      </c>
      <c r="F2093" t="s">
        <v>24</v>
      </c>
      <c r="G2093" t="s">
        <v>25</v>
      </c>
      <c r="H2093" t="s">
        <v>26</v>
      </c>
      <c r="I2093" t="s">
        <v>114</v>
      </c>
      <c r="Z2093" t="s">
        <v>32</v>
      </c>
      <c r="AB2093" t="s">
        <v>44</v>
      </c>
      <c r="AC2093" t="s">
        <v>116</v>
      </c>
    </row>
    <row r="2094" spans="1:29" x14ac:dyDescent="0.2">
      <c r="A2094" s="3">
        <v>42507</v>
      </c>
      <c r="B2094" t="s">
        <v>23</v>
      </c>
      <c r="C2094">
        <v>113</v>
      </c>
      <c r="D2094">
        <v>3</v>
      </c>
      <c r="E2094">
        <v>1</v>
      </c>
      <c r="F2094" t="s">
        <v>24</v>
      </c>
      <c r="G2094" t="s">
        <v>25</v>
      </c>
      <c r="H2094" t="s">
        <v>26</v>
      </c>
      <c r="I2094" t="s">
        <v>114</v>
      </c>
      <c r="Z2094" t="s">
        <v>32</v>
      </c>
      <c r="AB2094" t="s">
        <v>44</v>
      </c>
      <c r="AC2094" t="s">
        <v>116</v>
      </c>
    </row>
    <row r="2095" spans="1:29" x14ac:dyDescent="0.2">
      <c r="A2095" s="3">
        <v>42507</v>
      </c>
      <c r="B2095" t="s">
        <v>23</v>
      </c>
      <c r="C2095">
        <v>113</v>
      </c>
      <c r="D2095">
        <v>3</v>
      </c>
      <c r="E2095">
        <v>2</v>
      </c>
      <c r="F2095" t="s">
        <v>24</v>
      </c>
      <c r="G2095" t="s">
        <v>25</v>
      </c>
      <c r="H2095" t="s">
        <v>26</v>
      </c>
      <c r="I2095" t="s">
        <v>114</v>
      </c>
      <c r="Z2095" t="s">
        <v>32</v>
      </c>
      <c r="AB2095" t="s">
        <v>44</v>
      </c>
      <c r="AC2095" t="s">
        <v>116</v>
      </c>
    </row>
    <row r="2096" spans="1:29" x14ac:dyDescent="0.2">
      <c r="A2096" s="3">
        <v>42507</v>
      </c>
      <c r="B2096" t="s">
        <v>23</v>
      </c>
      <c r="C2096">
        <v>113</v>
      </c>
      <c r="D2096">
        <v>4</v>
      </c>
      <c r="E2096">
        <v>1</v>
      </c>
      <c r="F2096" t="s">
        <v>24</v>
      </c>
      <c r="G2096" t="s">
        <v>25</v>
      </c>
      <c r="H2096" t="s">
        <v>26</v>
      </c>
      <c r="I2096" t="s">
        <v>114</v>
      </c>
      <c r="Z2096" t="s">
        <v>32</v>
      </c>
      <c r="AB2096" t="s">
        <v>44</v>
      </c>
      <c r="AC2096" t="s">
        <v>116</v>
      </c>
    </row>
    <row r="2097" spans="1:29" x14ac:dyDescent="0.2">
      <c r="A2097" s="3">
        <v>42507</v>
      </c>
      <c r="B2097" t="s">
        <v>23</v>
      </c>
      <c r="C2097">
        <v>113</v>
      </c>
      <c r="D2097">
        <v>4</v>
      </c>
      <c r="E2097">
        <v>2</v>
      </c>
      <c r="F2097" t="s">
        <v>24</v>
      </c>
      <c r="G2097" t="s">
        <v>25</v>
      </c>
      <c r="H2097" t="s">
        <v>26</v>
      </c>
      <c r="I2097" t="s">
        <v>114</v>
      </c>
      <c r="Z2097" t="s">
        <v>32</v>
      </c>
      <c r="AB2097" t="s">
        <v>44</v>
      </c>
      <c r="AC2097" t="s">
        <v>116</v>
      </c>
    </row>
    <row r="2098" spans="1:29" x14ac:dyDescent="0.2">
      <c r="A2098" s="3">
        <v>42507</v>
      </c>
      <c r="B2098" t="s">
        <v>23</v>
      </c>
      <c r="C2098">
        <v>113</v>
      </c>
      <c r="D2098">
        <v>6</v>
      </c>
      <c r="E2098">
        <v>1</v>
      </c>
      <c r="F2098" t="s">
        <v>24</v>
      </c>
      <c r="G2098" t="s">
        <v>25</v>
      </c>
      <c r="H2098" t="s">
        <v>26</v>
      </c>
      <c r="I2098" t="s">
        <v>114</v>
      </c>
      <c r="Z2098" t="s">
        <v>32</v>
      </c>
      <c r="AB2098" t="s">
        <v>44</v>
      </c>
      <c r="AC2098" t="s">
        <v>116</v>
      </c>
    </row>
    <row r="2099" spans="1:29" x14ac:dyDescent="0.2">
      <c r="A2099" s="3">
        <v>42507</v>
      </c>
      <c r="B2099" t="s">
        <v>23</v>
      </c>
      <c r="C2099">
        <v>113</v>
      </c>
      <c r="D2099">
        <v>6</v>
      </c>
      <c r="E2099">
        <v>2</v>
      </c>
      <c r="F2099" t="s">
        <v>24</v>
      </c>
      <c r="G2099" t="s">
        <v>25</v>
      </c>
      <c r="H2099" t="s">
        <v>26</v>
      </c>
      <c r="I2099" t="s">
        <v>114</v>
      </c>
      <c r="Z2099" t="s">
        <v>32</v>
      </c>
      <c r="AB2099" t="s">
        <v>44</v>
      </c>
      <c r="AC2099" t="s">
        <v>116</v>
      </c>
    </row>
    <row r="2100" spans="1:29" x14ac:dyDescent="0.2">
      <c r="A2100" s="3">
        <v>42507</v>
      </c>
      <c r="B2100" t="s">
        <v>23</v>
      </c>
      <c r="C2100">
        <v>113</v>
      </c>
      <c r="D2100">
        <v>7</v>
      </c>
      <c r="E2100">
        <v>1</v>
      </c>
      <c r="F2100" t="s">
        <v>24</v>
      </c>
      <c r="G2100" t="s">
        <v>25</v>
      </c>
      <c r="H2100" t="s">
        <v>26</v>
      </c>
      <c r="I2100" t="s">
        <v>114</v>
      </c>
      <c r="Z2100" t="s">
        <v>32</v>
      </c>
      <c r="AB2100" t="s">
        <v>44</v>
      </c>
      <c r="AC2100" t="s">
        <v>116</v>
      </c>
    </row>
    <row r="2101" spans="1:29" x14ac:dyDescent="0.2">
      <c r="A2101" s="3">
        <v>42507</v>
      </c>
      <c r="B2101" t="s">
        <v>23</v>
      </c>
      <c r="C2101">
        <v>113</v>
      </c>
      <c r="D2101">
        <v>10</v>
      </c>
      <c r="E2101">
        <v>1</v>
      </c>
      <c r="F2101" t="s">
        <v>24</v>
      </c>
      <c r="G2101" t="s">
        <v>25</v>
      </c>
      <c r="H2101" t="s">
        <v>26</v>
      </c>
      <c r="I2101" t="s">
        <v>114</v>
      </c>
      <c r="Z2101" t="s">
        <v>32</v>
      </c>
      <c r="AB2101" t="s">
        <v>44</v>
      </c>
      <c r="AC2101" t="s">
        <v>116</v>
      </c>
    </row>
    <row r="2102" spans="1:29" x14ac:dyDescent="0.2">
      <c r="A2102" s="3">
        <v>42507</v>
      </c>
      <c r="B2102" t="s">
        <v>23</v>
      </c>
      <c r="C2102">
        <v>113</v>
      </c>
      <c r="D2102">
        <v>10</v>
      </c>
      <c r="E2102">
        <v>2</v>
      </c>
      <c r="F2102" t="s">
        <v>24</v>
      </c>
      <c r="G2102" t="s">
        <v>25</v>
      </c>
      <c r="H2102" t="s">
        <v>26</v>
      </c>
      <c r="I2102" t="s">
        <v>114</v>
      </c>
      <c r="Z2102" t="s">
        <v>32</v>
      </c>
      <c r="AB2102" t="s">
        <v>44</v>
      </c>
      <c r="AC2102" t="s">
        <v>116</v>
      </c>
    </row>
    <row r="2103" spans="1:29" x14ac:dyDescent="0.2">
      <c r="A2103" s="3">
        <v>42509</v>
      </c>
      <c r="B2103" t="s">
        <v>23</v>
      </c>
      <c r="C2103">
        <v>113</v>
      </c>
      <c r="D2103">
        <v>4</v>
      </c>
      <c r="E2103">
        <v>1</v>
      </c>
      <c r="F2103" t="s">
        <v>24</v>
      </c>
      <c r="G2103" t="s">
        <v>25</v>
      </c>
      <c r="H2103" t="s">
        <v>26</v>
      </c>
      <c r="I2103" t="s">
        <v>114</v>
      </c>
      <c r="Z2103" t="s">
        <v>32</v>
      </c>
    </row>
    <row r="2104" spans="1:29" x14ac:dyDescent="0.2">
      <c r="A2104" s="3">
        <v>42509</v>
      </c>
      <c r="B2104" t="s">
        <v>23</v>
      </c>
      <c r="C2104">
        <v>113</v>
      </c>
      <c r="D2104">
        <v>10</v>
      </c>
      <c r="E2104">
        <v>1</v>
      </c>
      <c r="F2104" t="s">
        <v>24</v>
      </c>
      <c r="G2104" t="s">
        <v>25</v>
      </c>
      <c r="H2104" t="s">
        <v>26</v>
      </c>
      <c r="I2104" t="s">
        <v>114</v>
      </c>
      <c r="Z2104" t="s">
        <v>32</v>
      </c>
    </row>
    <row r="2105" spans="1:29" x14ac:dyDescent="0.2">
      <c r="A2105" s="3">
        <v>42509</v>
      </c>
      <c r="B2105" t="s">
        <v>23</v>
      </c>
      <c r="C2105">
        <v>113</v>
      </c>
      <c r="D2105">
        <v>10</v>
      </c>
      <c r="E2105">
        <v>2</v>
      </c>
      <c r="F2105" t="s">
        <v>24</v>
      </c>
      <c r="G2105" t="s">
        <v>25</v>
      </c>
      <c r="H2105" t="s">
        <v>26</v>
      </c>
      <c r="I2105" t="s">
        <v>114</v>
      </c>
      <c r="Z2105" t="s">
        <v>32</v>
      </c>
    </row>
    <row r="2106" spans="1:29" x14ac:dyDescent="0.2">
      <c r="A2106" s="3">
        <v>42515</v>
      </c>
      <c r="B2106" t="s">
        <v>23</v>
      </c>
      <c r="C2106">
        <v>701</v>
      </c>
      <c r="D2106">
        <v>8</v>
      </c>
      <c r="E2106">
        <v>1</v>
      </c>
      <c r="F2106" t="s">
        <v>24</v>
      </c>
      <c r="G2106" t="s">
        <v>25</v>
      </c>
      <c r="H2106" t="s">
        <v>26</v>
      </c>
      <c r="I2106" t="s">
        <v>114</v>
      </c>
      <c r="Z2106" t="s">
        <v>32</v>
      </c>
    </row>
    <row r="2107" spans="1:29" x14ac:dyDescent="0.2">
      <c r="A2107" s="3">
        <v>42516</v>
      </c>
      <c r="B2107" t="s">
        <v>23</v>
      </c>
      <c r="C2107">
        <v>501</v>
      </c>
      <c r="D2107">
        <v>1</v>
      </c>
      <c r="E2107">
        <v>1</v>
      </c>
      <c r="F2107" t="s">
        <v>33</v>
      </c>
      <c r="G2107" t="s">
        <v>25</v>
      </c>
      <c r="H2107" t="s">
        <v>26</v>
      </c>
      <c r="I2107" t="s">
        <v>114</v>
      </c>
      <c r="Z2107" t="s">
        <v>32</v>
      </c>
    </row>
    <row r="2108" spans="1:29" x14ac:dyDescent="0.2">
      <c r="A2108" s="3">
        <v>42516</v>
      </c>
      <c r="B2108" t="s">
        <v>23</v>
      </c>
      <c r="C2108">
        <v>503</v>
      </c>
      <c r="D2108">
        <v>8</v>
      </c>
      <c r="E2108">
        <v>1</v>
      </c>
      <c r="F2108" t="s">
        <v>33</v>
      </c>
      <c r="G2108" t="s">
        <v>25</v>
      </c>
      <c r="H2108" t="s">
        <v>26</v>
      </c>
      <c r="I2108" t="s">
        <v>114</v>
      </c>
      <c r="Z2108" t="s">
        <v>32</v>
      </c>
    </row>
    <row r="2109" spans="1:29" x14ac:dyDescent="0.2">
      <c r="A2109" s="3">
        <v>42516</v>
      </c>
      <c r="B2109" t="s">
        <v>23</v>
      </c>
      <c r="C2109">
        <v>401</v>
      </c>
      <c r="D2109">
        <v>1</v>
      </c>
      <c r="E2109">
        <v>1</v>
      </c>
      <c r="F2109" t="s">
        <v>33</v>
      </c>
      <c r="G2109" t="s">
        <v>25</v>
      </c>
      <c r="H2109" t="s">
        <v>26</v>
      </c>
      <c r="I2109" t="s">
        <v>114</v>
      </c>
      <c r="Z2109" t="s">
        <v>32</v>
      </c>
    </row>
    <row r="2110" spans="1:29" x14ac:dyDescent="0.2">
      <c r="A2110" s="3">
        <v>42516</v>
      </c>
      <c r="B2110" t="s">
        <v>23</v>
      </c>
      <c r="C2110">
        <v>401</v>
      </c>
      <c r="D2110">
        <v>1</v>
      </c>
      <c r="E2110">
        <v>2</v>
      </c>
      <c r="F2110" t="s">
        <v>33</v>
      </c>
      <c r="G2110" t="s">
        <v>25</v>
      </c>
      <c r="H2110" t="s">
        <v>26</v>
      </c>
      <c r="I2110" t="s">
        <v>114</v>
      </c>
      <c r="Z2110" t="s">
        <v>32</v>
      </c>
    </row>
    <row r="2111" spans="1:29" x14ac:dyDescent="0.2">
      <c r="A2111" s="3">
        <v>42516</v>
      </c>
      <c r="B2111" t="s">
        <v>23</v>
      </c>
      <c r="C2111">
        <v>401</v>
      </c>
      <c r="D2111">
        <v>2</v>
      </c>
      <c r="E2111">
        <v>1</v>
      </c>
      <c r="F2111" t="s">
        <v>33</v>
      </c>
      <c r="G2111" t="s">
        <v>25</v>
      </c>
      <c r="H2111" t="s">
        <v>26</v>
      </c>
      <c r="I2111" t="s">
        <v>114</v>
      </c>
      <c r="Z2111" t="s">
        <v>32</v>
      </c>
    </row>
    <row r="2112" spans="1:29" x14ac:dyDescent="0.2">
      <c r="A2112" s="3">
        <v>42516</v>
      </c>
      <c r="B2112" t="s">
        <v>23</v>
      </c>
      <c r="C2112">
        <v>401</v>
      </c>
      <c r="D2112">
        <v>2</v>
      </c>
      <c r="E2112">
        <v>2</v>
      </c>
      <c r="F2112" t="s">
        <v>33</v>
      </c>
      <c r="G2112" t="s">
        <v>25</v>
      </c>
      <c r="H2112" t="s">
        <v>26</v>
      </c>
      <c r="I2112" t="s">
        <v>114</v>
      </c>
      <c r="Z2112" t="s">
        <v>32</v>
      </c>
    </row>
    <row r="2113" spans="1:26" x14ac:dyDescent="0.2">
      <c r="A2113" s="3">
        <v>42516</v>
      </c>
      <c r="B2113" t="s">
        <v>23</v>
      </c>
      <c r="C2113">
        <v>401</v>
      </c>
      <c r="D2113">
        <v>3</v>
      </c>
      <c r="E2113">
        <v>1</v>
      </c>
      <c r="F2113" t="s">
        <v>33</v>
      </c>
      <c r="G2113" t="s">
        <v>25</v>
      </c>
      <c r="H2113" t="s">
        <v>26</v>
      </c>
      <c r="I2113" t="s">
        <v>114</v>
      </c>
      <c r="Z2113" t="s">
        <v>32</v>
      </c>
    </row>
    <row r="2114" spans="1:26" x14ac:dyDescent="0.2">
      <c r="A2114" s="3">
        <v>42516</v>
      </c>
      <c r="B2114" t="s">
        <v>23</v>
      </c>
      <c r="C2114">
        <v>401</v>
      </c>
      <c r="D2114">
        <v>3</v>
      </c>
      <c r="E2114">
        <v>2</v>
      </c>
      <c r="F2114" t="s">
        <v>33</v>
      </c>
      <c r="G2114" t="s">
        <v>25</v>
      </c>
      <c r="H2114" t="s">
        <v>26</v>
      </c>
      <c r="I2114" t="s">
        <v>114</v>
      </c>
      <c r="Z2114" t="s">
        <v>32</v>
      </c>
    </row>
    <row r="2115" spans="1:26" x14ac:dyDescent="0.2">
      <c r="A2115" s="3">
        <v>42516</v>
      </c>
      <c r="B2115" t="s">
        <v>23</v>
      </c>
      <c r="C2115">
        <v>401</v>
      </c>
      <c r="D2115">
        <v>4</v>
      </c>
      <c r="E2115">
        <v>1</v>
      </c>
      <c r="F2115" t="s">
        <v>33</v>
      </c>
      <c r="G2115" t="s">
        <v>25</v>
      </c>
      <c r="H2115" t="s">
        <v>26</v>
      </c>
      <c r="I2115" t="s">
        <v>114</v>
      </c>
      <c r="Z2115" t="s">
        <v>32</v>
      </c>
    </row>
    <row r="2116" spans="1:26" x14ac:dyDescent="0.2">
      <c r="A2116" s="3">
        <v>42516</v>
      </c>
      <c r="B2116" t="s">
        <v>23</v>
      </c>
      <c r="C2116">
        <v>401</v>
      </c>
      <c r="D2116">
        <v>4</v>
      </c>
      <c r="E2116">
        <v>2</v>
      </c>
      <c r="F2116" t="s">
        <v>33</v>
      </c>
      <c r="G2116" t="s">
        <v>25</v>
      </c>
      <c r="H2116" t="s">
        <v>26</v>
      </c>
      <c r="I2116" t="s">
        <v>114</v>
      </c>
      <c r="Z2116" t="s">
        <v>32</v>
      </c>
    </row>
    <row r="2117" spans="1:26" x14ac:dyDescent="0.2">
      <c r="A2117" s="3">
        <v>42516</v>
      </c>
      <c r="B2117" t="s">
        <v>23</v>
      </c>
      <c r="C2117">
        <v>401</v>
      </c>
      <c r="D2117">
        <v>5</v>
      </c>
      <c r="E2117">
        <v>1</v>
      </c>
      <c r="F2117" t="s">
        <v>33</v>
      </c>
      <c r="G2117" t="s">
        <v>25</v>
      </c>
      <c r="H2117" t="s">
        <v>26</v>
      </c>
      <c r="I2117" t="s">
        <v>114</v>
      </c>
      <c r="Z2117" t="s">
        <v>32</v>
      </c>
    </row>
    <row r="2118" spans="1:26" x14ac:dyDescent="0.2">
      <c r="A2118" s="3">
        <v>42516</v>
      </c>
      <c r="B2118" t="s">
        <v>23</v>
      </c>
      <c r="C2118">
        <v>401</v>
      </c>
      <c r="D2118">
        <v>5</v>
      </c>
      <c r="E2118">
        <v>2</v>
      </c>
      <c r="F2118" t="s">
        <v>33</v>
      </c>
      <c r="G2118" t="s">
        <v>25</v>
      </c>
      <c r="H2118" t="s">
        <v>26</v>
      </c>
      <c r="I2118" t="s">
        <v>114</v>
      </c>
      <c r="Z2118" t="s">
        <v>32</v>
      </c>
    </row>
    <row r="2119" spans="1:26" x14ac:dyDescent="0.2">
      <c r="A2119" s="3">
        <v>42516</v>
      </c>
      <c r="B2119" t="s">
        <v>23</v>
      </c>
      <c r="C2119">
        <v>401</v>
      </c>
      <c r="D2119">
        <v>6</v>
      </c>
      <c r="E2119">
        <v>1</v>
      </c>
      <c r="F2119" t="s">
        <v>33</v>
      </c>
      <c r="G2119" t="s">
        <v>25</v>
      </c>
      <c r="H2119" t="s">
        <v>26</v>
      </c>
      <c r="I2119" t="s">
        <v>114</v>
      </c>
      <c r="Z2119" t="s">
        <v>32</v>
      </c>
    </row>
    <row r="2120" spans="1:26" x14ac:dyDescent="0.2">
      <c r="A2120" s="3">
        <v>42516</v>
      </c>
      <c r="B2120" t="s">
        <v>23</v>
      </c>
      <c r="C2120">
        <v>401</v>
      </c>
      <c r="D2120">
        <v>7</v>
      </c>
      <c r="E2120">
        <v>1</v>
      </c>
      <c r="F2120" t="s">
        <v>33</v>
      </c>
      <c r="G2120" t="s">
        <v>25</v>
      </c>
      <c r="H2120" t="s">
        <v>26</v>
      </c>
      <c r="I2120" t="s">
        <v>114</v>
      </c>
      <c r="Z2120" t="s">
        <v>32</v>
      </c>
    </row>
    <row r="2121" spans="1:26" x14ac:dyDescent="0.2">
      <c r="A2121" s="3">
        <v>42516</v>
      </c>
      <c r="B2121" t="s">
        <v>23</v>
      </c>
      <c r="C2121">
        <v>401</v>
      </c>
      <c r="D2121">
        <v>7</v>
      </c>
      <c r="E2121">
        <v>2</v>
      </c>
      <c r="F2121" t="s">
        <v>33</v>
      </c>
      <c r="G2121" t="s">
        <v>25</v>
      </c>
      <c r="H2121" t="s">
        <v>26</v>
      </c>
      <c r="I2121" t="s">
        <v>114</v>
      </c>
      <c r="Z2121" t="s">
        <v>32</v>
      </c>
    </row>
    <row r="2122" spans="1:26" x14ac:dyDescent="0.2">
      <c r="A2122" s="3">
        <v>42516</v>
      </c>
      <c r="B2122" t="s">
        <v>23</v>
      </c>
      <c r="C2122">
        <v>401</v>
      </c>
      <c r="D2122">
        <v>8</v>
      </c>
      <c r="E2122">
        <v>2</v>
      </c>
      <c r="F2122" t="s">
        <v>33</v>
      </c>
      <c r="G2122" t="s">
        <v>25</v>
      </c>
      <c r="H2122" t="s">
        <v>26</v>
      </c>
      <c r="I2122" t="s">
        <v>114</v>
      </c>
      <c r="Z2122" t="s">
        <v>32</v>
      </c>
    </row>
    <row r="2123" spans="1:26" x14ac:dyDescent="0.2">
      <c r="A2123" s="3">
        <v>42516</v>
      </c>
      <c r="B2123" t="s">
        <v>23</v>
      </c>
      <c r="C2123">
        <v>401</v>
      </c>
      <c r="D2123">
        <v>9</v>
      </c>
      <c r="E2123">
        <v>1</v>
      </c>
      <c r="F2123" t="s">
        <v>33</v>
      </c>
      <c r="G2123" t="s">
        <v>25</v>
      </c>
      <c r="H2123" t="s">
        <v>26</v>
      </c>
      <c r="I2123" t="s">
        <v>114</v>
      </c>
      <c r="Z2123" t="s">
        <v>32</v>
      </c>
    </row>
    <row r="2124" spans="1:26" x14ac:dyDescent="0.2">
      <c r="A2124" s="3">
        <v>42516</v>
      </c>
      <c r="B2124" t="s">
        <v>23</v>
      </c>
      <c r="C2124">
        <v>401</v>
      </c>
      <c r="D2124">
        <v>9</v>
      </c>
      <c r="E2124">
        <v>2</v>
      </c>
      <c r="F2124" t="s">
        <v>33</v>
      </c>
      <c r="G2124" t="s">
        <v>25</v>
      </c>
      <c r="H2124" t="s">
        <v>26</v>
      </c>
      <c r="I2124" t="s">
        <v>114</v>
      </c>
      <c r="Z2124" t="s">
        <v>32</v>
      </c>
    </row>
    <row r="2125" spans="1:26" x14ac:dyDescent="0.2">
      <c r="A2125" s="3">
        <v>42516</v>
      </c>
      <c r="B2125" t="s">
        <v>23</v>
      </c>
      <c r="C2125">
        <v>401</v>
      </c>
      <c r="D2125">
        <v>10</v>
      </c>
      <c r="E2125">
        <v>1</v>
      </c>
      <c r="F2125" t="s">
        <v>33</v>
      </c>
      <c r="G2125" t="s">
        <v>25</v>
      </c>
      <c r="H2125" t="s">
        <v>26</v>
      </c>
      <c r="I2125" t="s">
        <v>114</v>
      </c>
      <c r="Z2125" t="s">
        <v>32</v>
      </c>
    </row>
    <row r="2126" spans="1:26" x14ac:dyDescent="0.2">
      <c r="A2126" s="3">
        <v>42516</v>
      </c>
      <c r="B2126" t="s">
        <v>23</v>
      </c>
      <c r="C2126">
        <v>401</v>
      </c>
      <c r="D2126">
        <v>10</v>
      </c>
      <c r="E2126">
        <v>2</v>
      </c>
      <c r="F2126" t="s">
        <v>33</v>
      </c>
      <c r="G2126" t="s">
        <v>25</v>
      </c>
      <c r="H2126" t="s">
        <v>26</v>
      </c>
      <c r="I2126" t="s">
        <v>114</v>
      </c>
      <c r="Z2126" t="s">
        <v>32</v>
      </c>
    </row>
    <row r="2127" spans="1:26" x14ac:dyDescent="0.2">
      <c r="A2127" s="3">
        <v>42516</v>
      </c>
      <c r="B2127" t="s">
        <v>23</v>
      </c>
      <c r="C2127">
        <v>703</v>
      </c>
      <c r="D2127">
        <v>6</v>
      </c>
      <c r="E2127">
        <v>2</v>
      </c>
      <c r="F2127" t="s">
        <v>24</v>
      </c>
      <c r="G2127" t="s">
        <v>25</v>
      </c>
      <c r="H2127" t="s">
        <v>26</v>
      </c>
      <c r="I2127" t="s">
        <v>114</v>
      </c>
      <c r="Z2127" t="s">
        <v>32</v>
      </c>
    </row>
    <row r="2128" spans="1:26" x14ac:dyDescent="0.2">
      <c r="A2128" s="3">
        <v>42536</v>
      </c>
      <c r="B2128" t="s">
        <v>23</v>
      </c>
      <c r="C2128">
        <v>701</v>
      </c>
      <c r="D2128">
        <v>7</v>
      </c>
      <c r="E2128">
        <v>1</v>
      </c>
      <c r="F2128" t="s">
        <v>33</v>
      </c>
      <c r="G2128" t="s">
        <v>25</v>
      </c>
      <c r="H2128" t="s">
        <v>26</v>
      </c>
      <c r="I2128" t="s">
        <v>114</v>
      </c>
      <c r="Z2128" t="s">
        <v>32</v>
      </c>
    </row>
    <row r="2129" spans="1:29" x14ac:dyDescent="0.2">
      <c r="A2129" s="3">
        <v>42542</v>
      </c>
      <c r="B2129" t="s">
        <v>23</v>
      </c>
      <c r="C2129">
        <v>113</v>
      </c>
      <c r="D2129">
        <v>3</v>
      </c>
      <c r="E2129">
        <v>1</v>
      </c>
      <c r="F2129" t="s">
        <v>24</v>
      </c>
      <c r="G2129" t="s">
        <v>25</v>
      </c>
      <c r="H2129" t="s">
        <v>26</v>
      </c>
      <c r="I2129" t="s">
        <v>114</v>
      </c>
      <c r="Z2129" t="s">
        <v>32</v>
      </c>
    </row>
    <row r="2130" spans="1:29" x14ac:dyDescent="0.2">
      <c r="A2130" s="3">
        <v>42543</v>
      </c>
      <c r="B2130" t="s">
        <v>23</v>
      </c>
      <c r="C2130">
        <v>112</v>
      </c>
      <c r="D2130">
        <v>1</v>
      </c>
      <c r="E2130">
        <v>1</v>
      </c>
      <c r="F2130" t="s">
        <v>24</v>
      </c>
      <c r="G2130" t="s">
        <v>25</v>
      </c>
      <c r="H2130" t="s">
        <v>26</v>
      </c>
      <c r="I2130" t="s">
        <v>114</v>
      </c>
      <c r="Z2130" t="s">
        <v>32</v>
      </c>
    </row>
    <row r="2131" spans="1:29" x14ac:dyDescent="0.2">
      <c r="A2131" s="3">
        <v>42543</v>
      </c>
      <c r="B2131" t="s">
        <v>23</v>
      </c>
      <c r="C2131">
        <v>112</v>
      </c>
      <c r="D2131">
        <v>2</v>
      </c>
      <c r="E2131">
        <v>1</v>
      </c>
      <c r="F2131" t="s">
        <v>24</v>
      </c>
      <c r="G2131" t="s">
        <v>25</v>
      </c>
      <c r="H2131" t="s">
        <v>26</v>
      </c>
      <c r="I2131" t="s">
        <v>114</v>
      </c>
      <c r="Z2131" t="s">
        <v>32</v>
      </c>
    </row>
    <row r="2132" spans="1:29" x14ac:dyDescent="0.2">
      <c r="A2132" s="3">
        <v>42543</v>
      </c>
      <c r="B2132" t="s">
        <v>23</v>
      </c>
      <c r="C2132">
        <v>112</v>
      </c>
      <c r="D2132">
        <v>2</v>
      </c>
      <c r="E2132">
        <v>2</v>
      </c>
      <c r="F2132" t="s">
        <v>24</v>
      </c>
      <c r="G2132" t="s">
        <v>25</v>
      </c>
      <c r="H2132" t="s">
        <v>26</v>
      </c>
      <c r="I2132" t="s">
        <v>114</v>
      </c>
      <c r="Z2132" t="s">
        <v>32</v>
      </c>
    </row>
    <row r="2133" spans="1:29" x14ac:dyDescent="0.2">
      <c r="A2133" s="3">
        <v>42543</v>
      </c>
      <c r="B2133" t="s">
        <v>23</v>
      </c>
      <c r="C2133">
        <v>112</v>
      </c>
      <c r="D2133">
        <v>3</v>
      </c>
      <c r="E2133">
        <v>1</v>
      </c>
      <c r="F2133" t="s">
        <v>24</v>
      </c>
      <c r="G2133" t="s">
        <v>25</v>
      </c>
      <c r="H2133" t="s">
        <v>26</v>
      </c>
      <c r="I2133" t="s">
        <v>114</v>
      </c>
      <c r="Z2133" t="s">
        <v>32</v>
      </c>
    </row>
    <row r="2134" spans="1:29" x14ac:dyDescent="0.2">
      <c r="A2134" s="3">
        <v>42543</v>
      </c>
      <c r="B2134" t="s">
        <v>23</v>
      </c>
      <c r="C2134">
        <v>112</v>
      </c>
      <c r="D2134">
        <v>3</v>
      </c>
      <c r="E2134">
        <v>2</v>
      </c>
      <c r="F2134" t="s">
        <v>24</v>
      </c>
      <c r="G2134" t="s">
        <v>25</v>
      </c>
      <c r="H2134" t="s">
        <v>26</v>
      </c>
      <c r="I2134" t="s">
        <v>114</v>
      </c>
      <c r="Z2134" t="s">
        <v>32</v>
      </c>
    </row>
    <row r="2135" spans="1:29" x14ac:dyDescent="0.2">
      <c r="A2135" s="3">
        <v>42543</v>
      </c>
      <c r="B2135" t="s">
        <v>23</v>
      </c>
      <c r="C2135">
        <v>112</v>
      </c>
      <c r="D2135">
        <v>4</v>
      </c>
      <c r="E2135">
        <v>1</v>
      </c>
      <c r="F2135" t="s">
        <v>24</v>
      </c>
      <c r="G2135" t="s">
        <v>25</v>
      </c>
      <c r="H2135" t="s">
        <v>26</v>
      </c>
      <c r="I2135" t="s">
        <v>114</v>
      </c>
      <c r="Z2135" t="s">
        <v>32</v>
      </c>
    </row>
    <row r="2136" spans="1:29" x14ac:dyDescent="0.2">
      <c r="A2136" s="3">
        <v>42543</v>
      </c>
      <c r="B2136" t="s">
        <v>23</v>
      </c>
      <c r="C2136">
        <v>112</v>
      </c>
      <c r="D2136">
        <v>5</v>
      </c>
      <c r="E2136">
        <v>1</v>
      </c>
      <c r="F2136" t="s">
        <v>24</v>
      </c>
      <c r="G2136" t="s">
        <v>25</v>
      </c>
      <c r="H2136" t="s">
        <v>26</v>
      </c>
      <c r="I2136" t="s">
        <v>114</v>
      </c>
      <c r="Z2136" t="s">
        <v>32</v>
      </c>
    </row>
    <row r="2137" spans="1:29" x14ac:dyDescent="0.2">
      <c r="A2137" s="3">
        <v>42543</v>
      </c>
      <c r="B2137" t="s">
        <v>23</v>
      </c>
      <c r="C2137">
        <v>112</v>
      </c>
      <c r="D2137">
        <v>6</v>
      </c>
      <c r="E2137">
        <v>1</v>
      </c>
      <c r="F2137" t="s">
        <v>24</v>
      </c>
      <c r="G2137" t="s">
        <v>25</v>
      </c>
      <c r="H2137" t="s">
        <v>26</v>
      </c>
      <c r="I2137" t="s">
        <v>114</v>
      </c>
      <c r="Z2137" t="s">
        <v>32</v>
      </c>
    </row>
    <row r="2138" spans="1:29" x14ac:dyDescent="0.2">
      <c r="A2138" s="3">
        <v>42543</v>
      </c>
      <c r="B2138" t="s">
        <v>23</v>
      </c>
      <c r="C2138">
        <v>112</v>
      </c>
      <c r="D2138">
        <v>6</v>
      </c>
      <c r="E2138">
        <v>2</v>
      </c>
      <c r="F2138" t="s">
        <v>24</v>
      </c>
      <c r="G2138" t="s">
        <v>25</v>
      </c>
      <c r="H2138" t="s">
        <v>26</v>
      </c>
      <c r="I2138" t="s">
        <v>114</v>
      </c>
      <c r="Z2138" t="s">
        <v>32</v>
      </c>
    </row>
    <row r="2139" spans="1:29" x14ac:dyDescent="0.2">
      <c r="A2139" s="3">
        <v>42543</v>
      </c>
      <c r="B2139" t="s">
        <v>23</v>
      </c>
      <c r="C2139">
        <v>112</v>
      </c>
      <c r="D2139">
        <v>7</v>
      </c>
      <c r="E2139">
        <v>1</v>
      </c>
      <c r="F2139" t="s">
        <v>24</v>
      </c>
      <c r="G2139" t="s">
        <v>25</v>
      </c>
      <c r="H2139" t="s">
        <v>26</v>
      </c>
      <c r="I2139" t="s">
        <v>114</v>
      </c>
      <c r="Z2139" t="s">
        <v>32</v>
      </c>
    </row>
    <row r="2140" spans="1:29" x14ac:dyDescent="0.2">
      <c r="A2140" s="3">
        <v>42543</v>
      </c>
      <c r="B2140" t="s">
        <v>23</v>
      </c>
      <c r="C2140">
        <v>112</v>
      </c>
      <c r="D2140">
        <v>7</v>
      </c>
      <c r="E2140">
        <v>2</v>
      </c>
      <c r="F2140" t="s">
        <v>24</v>
      </c>
      <c r="G2140" t="s">
        <v>25</v>
      </c>
      <c r="H2140" t="s">
        <v>26</v>
      </c>
      <c r="I2140" t="s">
        <v>114</v>
      </c>
      <c r="Z2140" t="s">
        <v>32</v>
      </c>
    </row>
    <row r="2141" spans="1:29" x14ac:dyDescent="0.2">
      <c r="A2141" s="3">
        <v>42543</v>
      </c>
      <c r="B2141" t="s">
        <v>23</v>
      </c>
      <c r="C2141">
        <v>112</v>
      </c>
      <c r="D2141">
        <v>8</v>
      </c>
      <c r="E2141">
        <v>1</v>
      </c>
      <c r="F2141" t="s">
        <v>24</v>
      </c>
      <c r="G2141" t="s">
        <v>25</v>
      </c>
      <c r="H2141" t="s">
        <v>26</v>
      </c>
      <c r="I2141" t="s">
        <v>114</v>
      </c>
      <c r="Z2141" t="s">
        <v>32</v>
      </c>
    </row>
    <row r="2142" spans="1:29" x14ac:dyDescent="0.2">
      <c r="A2142" s="3">
        <v>42543</v>
      </c>
      <c r="B2142" t="s">
        <v>23</v>
      </c>
      <c r="C2142">
        <v>112</v>
      </c>
      <c r="D2142">
        <v>8</v>
      </c>
      <c r="E2142">
        <v>2</v>
      </c>
      <c r="F2142" t="s">
        <v>24</v>
      </c>
      <c r="G2142" t="s">
        <v>25</v>
      </c>
      <c r="H2142" t="s">
        <v>26</v>
      </c>
      <c r="I2142" t="s">
        <v>114</v>
      </c>
      <c r="Z2142" t="s">
        <v>32</v>
      </c>
    </row>
    <row r="2143" spans="1:29" x14ac:dyDescent="0.2">
      <c r="A2143" s="3">
        <v>42543</v>
      </c>
      <c r="B2143" t="s">
        <v>23</v>
      </c>
      <c r="C2143">
        <v>112</v>
      </c>
      <c r="D2143">
        <v>10</v>
      </c>
      <c r="E2143">
        <v>1</v>
      </c>
      <c r="F2143" t="s">
        <v>24</v>
      </c>
      <c r="G2143" t="s">
        <v>25</v>
      </c>
      <c r="H2143" t="s">
        <v>26</v>
      </c>
      <c r="I2143" t="s">
        <v>114</v>
      </c>
      <c r="Z2143" t="s">
        <v>32</v>
      </c>
    </row>
    <row r="2144" spans="1:29" x14ac:dyDescent="0.2">
      <c r="A2144" s="3">
        <v>42507</v>
      </c>
      <c r="B2144" t="s">
        <v>23</v>
      </c>
      <c r="C2144">
        <v>112</v>
      </c>
      <c r="D2144">
        <v>3</v>
      </c>
      <c r="E2144">
        <v>1</v>
      </c>
      <c r="F2144" t="s">
        <v>24</v>
      </c>
      <c r="G2144" t="s">
        <v>25</v>
      </c>
      <c r="H2144" t="s">
        <v>26</v>
      </c>
      <c r="I2144" t="s">
        <v>113</v>
      </c>
      <c r="Z2144" t="s">
        <v>32</v>
      </c>
      <c r="AB2144" t="s">
        <v>44</v>
      </c>
      <c r="AC2144" t="s">
        <v>116</v>
      </c>
    </row>
    <row r="2145" spans="1:29" x14ac:dyDescent="0.2">
      <c r="A2145" s="3">
        <v>42501</v>
      </c>
      <c r="B2145" t="s">
        <v>23</v>
      </c>
      <c r="C2145">
        <v>501</v>
      </c>
      <c r="D2145">
        <v>3</v>
      </c>
      <c r="E2145">
        <v>1</v>
      </c>
      <c r="F2145" t="s">
        <v>24</v>
      </c>
      <c r="G2145" t="s">
        <v>25</v>
      </c>
      <c r="H2145" t="s">
        <v>26</v>
      </c>
      <c r="I2145" t="s">
        <v>71</v>
      </c>
      <c r="Z2145" t="s">
        <v>32</v>
      </c>
    </row>
    <row r="2146" spans="1:29" x14ac:dyDescent="0.2">
      <c r="A2146" s="3">
        <v>42516</v>
      </c>
      <c r="B2146" t="s">
        <v>23</v>
      </c>
      <c r="C2146">
        <v>401</v>
      </c>
      <c r="D2146">
        <v>8</v>
      </c>
      <c r="E2146">
        <v>1</v>
      </c>
      <c r="F2146" t="s">
        <v>33</v>
      </c>
      <c r="G2146" t="s">
        <v>25</v>
      </c>
      <c r="H2146" t="s">
        <v>26</v>
      </c>
      <c r="I2146" t="s">
        <v>154</v>
      </c>
      <c r="Z2146" t="s">
        <v>32</v>
      </c>
    </row>
    <row r="2147" spans="1:29" x14ac:dyDescent="0.2">
      <c r="A2147" s="3">
        <v>42494</v>
      </c>
      <c r="B2147" t="s">
        <v>23</v>
      </c>
      <c r="C2147">
        <v>201</v>
      </c>
      <c r="D2147">
        <v>6</v>
      </c>
      <c r="E2147">
        <v>1</v>
      </c>
      <c r="F2147" t="s">
        <v>33</v>
      </c>
      <c r="G2147" t="s">
        <v>25</v>
      </c>
      <c r="H2147" t="s">
        <v>26</v>
      </c>
      <c r="I2147" t="s">
        <v>57</v>
      </c>
      <c r="Z2147" t="s">
        <v>32</v>
      </c>
      <c r="AB2147" t="s">
        <v>60</v>
      </c>
      <c r="AC2147" t="s">
        <v>59</v>
      </c>
    </row>
    <row r="2148" spans="1:29" x14ac:dyDescent="0.2">
      <c r="A2148" s="3">
        <v>42495</v>
      </c>
      <c r="B2148" t="s">
        <v>23</v>
      </c>
      <c r="C2148">
        <v>201</v>
      </c>
      <c r="D2148">
        <v>6</v>
      </c>
      <c r="E2148">
        <v>1</v>
      </c>
      <c r="F2148" t="s">
        <v>33</v>
      </c>
      <c r="G2148" t="s">
        <v>25</v>
      </c>
      <c r="H2148" t="s">
        <v>26</v>
      </c>
      <c r="I2148" t="s">
        <v>57</v>
      </c>
      <c r="Z2148" t="s">
        <v>32</v>
      </c>
    </row>
    <row r="2149" spans="1:29" x14ac:dyDescent="0.2">
      <c r="A2149" s="3">
        <v>42495</v>
      </c>
      <c r="B2149" t="s">
        <v>23</v>
      </c>
      <c r="C2149">
        <v>304</v>
      </c>
      <c r="D2149">
        <v>1</v>
      </c>
      <c r="E2149">
        <v>1</v>
      </c>
      <c r="F2149" t="s">
        <v>33</v>
      </c>
      <c r="G2149" t="s">
        <v>25</v>
      </c>
      <c r="H2149" t="s">
        <v>26</v>
      </c>
      <c r="I2149" t="s">
        <v>57</v>
      </c>
      <c r="Z2149" t="s">
        <v>32</v>
      </c>
    </row>
    <row r="2150" spans="1:29" x14ac:dyDescent="0.2">
      <c r="A2150" s="3">
        <v>42495</v>
      </c>
      <c r="B2150" t="s">
        <v>23</v>
      </c>
      <c r="C2150">
        <v>201</v>
      </c>
      <c r="D2150">
        <v>1</v>
      </c>
      <c r="E2150">
        <v>1</v>
      </c>
      <c r="F2150" t="s">
        <v>24</v>
      </c>
      <c r="G2150" t="s">
        <v>25</v>
      </c>
      <c r="H2150" t="s">
        <v>26</v>
      </c>
      <c r="I2150" t="s">
        <v>57</v>
      </c>
      <c r="Z2150" t="s">
        <v>32</v>
      </c>
      <c r="AB2150" t="s">
        <v>53</v>
      </c>
      <c r="AC2150" t="s">
        <v>59</v>
      </c>
    </row>
    <row r="2151" spans="1:29" x14ac:dyDescent="0.2">
      <c r="A2151" s="3">
        <v>42495</v>
      </c>
      <c r="B2151" t="s">
        <v>23</v>
      </c>
      <c r="C2151">
        <v>201</v>
      </c>
      <c r="D2151">
        <v>1</v>
      </c>
      <c r="E2151">
        <v>2</v>
      </c>
      <c r="F2151" t="s">
        <v>24</v>
      </c>
      <c r="G2151" t="s">
        <v>25</v>
      </c>
      <c r="H2151" t="s">
        <v>26</v>
      </c>
      <c r="I2151" t="s">
        <v>57</v>
      </c>
      <c r="Z2151" t="s">
        <v>32</v>
      </c>
      <c r="AB2151" t="s">
        <v>53</v>
      </c>
      <c r="AC2151" t="s">
        <v>59</v>
      </c>
    </row>
    <row r="2152" spans="1:29" x14ac:dyDescent="0.2">
      <c r="A2152" s="3">
        <v>42495</v>
      </c>
      <c r="B2152" t="s">
        <v>23</v>
      </c>
      <c r="C2152">
        <v>202</v>
      </c>
      <c r="D2152">
        <v>4</v>
      </c>
      <c r="E2152">
        <v>1</v>
      </c>
      <c r="F2152" t="s">
        <v>24</v>
      </c>
      <c r="G2152" t="s">
        <v>25</v>
      </c>
      <c r="H2152" t="s">
        <v>26</v>
      </c>
      <c r="I2152" t="s">
        <v>57</v>
      </c>
      <c r="Z2152" t="s">
        <v>32</v>
      </c>
      <c r="AB2152" t="s">
        <v>53</v>
      </c>
      <c r="AC2152" t="s">
        <v>59</v>
      </c>
    </row>
    <row r="2153" spans="1:29" x14ac:dyDescent="0.2">
      <c r="A2153" s="3">
        <v>42495</v>
      </c>
      <c r="B2153" t="s">
        <v>23</v>
      </c>
      <c r="C2153">
        <v>304</v>
      </c>
      <c r="D2153">
        <v>7</v>
      </c>
      <c r="E2153">
        <v>1</v>
      </c>
      <c r="F2153" t="s">
        <v>24</v>
      </c>
      <c r="G2153" t="s">
        <v>25</v>
      </c>
      <c r="H2153" t="s">
        <v>26</v>
      </c>
      <c r="I2153" t="s">
        <v>57</v>
      </c>
      <c r="Z2153" t="s">
        <v>32</v>
      </c>
    </row>
    <row r="2154" spans="1:29" x14ac:dyDescent="0.2">
      <c r="A2154" s="3">
        <v>42495</v>
      </c>
      <c r="B2154" t="s">
        <v>23</v>
      </c>
      <c r="C2154">
        <v>304</v>
      </c>
      <c r="D2154">
        <v>9</v>
      </c>
      <c r="E2154">
        <v>1</v>
      </c>
      <c r="F2154" t="s">
        <v>24</v>
      </c>
      <c r="G2154" t="s">
        <v>25</v>
      </c>
      <c r="H2154" t="s">
        <v>26</v>
      </c>
      <c r="I2154" t="s">
        <v>57</v>
      </c>
      <c r="Z2154" t="s">
        <v>32</v>
      </c>
    </row>
    <row r="2155" spans="1:29" x14ac:dyDescent="0.2">
      <c r="A2155" s="3">
        <v>42500</v>
      </c>
      <c r="B2155" t="s">
        <v>23</v>
      </c>
      <c r="C2155">
        <v>503</v>
      </c>
      <c r="D2155">
        <v>7</v>
      </c>
      <c r="E2155">
        <v>1</v>
      </c>
      <c r="F2155" t="s">
        <v>24</v>
      </c>
      <c r="G2155" t="s">
        <v>25</v>
      </c>
      <c r="H2155" t="s">
        <v>26</v>
      </c>
      <c r="I2155" t="s">
        <v>57</v>
      </c>
      <c r="Z2155" t="s">
        <v>32</v>
      </c>
    </row>
    <row r="2156" spans="1:29" x14ac:dyDescent="0.2">
      <c r="A2156" s="3">
        <v>42500</v>
      </c>
      <c r="B2156" t="s">
        <v>23</v>
      </c>
      <c r="C2156">
        <v>503</v>
      </c>
      <c r="D2156">
        <v>7</v>
      </c>
      <c r="E2156">
        <v>2</v>
      </c>
      <c r="F2156" t="s">
        <v>24</v>
      </c>
      <c r="G2156" t="s">
        <v>25</v>
      </c>
      <c r="H2156" t="s">
        <v>26</v>
      </c>
      <c r="I2156" t="s">
        <v>57</v>
      </c>
      <c r="Z2156" t="s">
        <v>32</v>
      </c>
    </row>
    <row r="2157" spans="1:29" x14ac:dyDescent="0.2">
      <c r="A2157" s="3">
        <v>42500</v>
      </c>
      <c r="B2157" t="s">
        <v>23</v>
      </c>
      <c r="C2157">
        <v>401</v>
      </c>
      <c r="D2157">
        <v>6</v>
      </c>
      <c r="E2157">
        <v>1</v>
      </c>
      <c r="F2157" t="s">
        <v>24</v>
      </c>
      <c r="G2157" t="s">
        <v>25</v>
      </c>
      <c r="H2157" t="s">
        <v>26</v>
      </c>
      <c r="I2157" t="s">
        <v>57</v>
      </c>
      <c r="Z2157" t="s">
        <v>32</v>
      </c>
    </row>
    <row r="2158" spans="1:29" x14ac:dyDescent="0.2">
      <c r="A2158" s="3">
        <v>42500</v>
      </c>
      <c r="B2158" t="s">
        <v>23</v>
      </c>
      <c r="C2158">
        <v>401</v>
      </c>
      <c r="D2158">
        <v>7</v>
      </c>
      <c r="E2158">
        <v>1</v>
      </c>
      <c r="F2158" t="s">
        <v>24</v>
      </c>
      <c r="G2158" t="s">
        <v>25</v>
      </c>
      <c r="H2158" t="s">
        <v>26</v>
      </c>
      <c r="I2158" t="s">
        <v>57</v>
      </c>
      <c r="Z2158" t="s">
        <v>32</v>
      </c>
    </row>
    <row r="2159" spans="1:29" x14ac:dyDescent="0.2">
      <c r="A2159" s="3">
        <v>42500</v>
      </c>
      <c r="B2159" t="s">
        <v>23</v>
      </c>
      <c r="C2159">
        <v>803</v>
      </c>
      <c r="D2159">
        <v>3</v>
      </c>
      <c r="E2159">
        <v>1</v>
      </c>
      <c r="F2159" t="s">
        <v>33</v>
      </c>
      <c r="G2159" t="s">
        <v>25</v>
      </c>
      <c r="H2159" t="s">
        <v>26</v>
      </c>
      <c r="I2159" t="s">
        <v>57</v>
      </c>
      <c r="Z2159" t="s">
        <v>32</v>
      </c>
    </row>
    <row r="2160" spans="1:29" x14ac:dyDescent="0.2">
      <c r="A2160" s="3">
        <v>42501</v>
      </c>
      <c r="B2160" t="s">
        <v>23</v>
      </c>
      <c r="C2160">
        <v>501</v>
      </c>
      <c r="D2160">
        <v>6</v>
      </c>
      <c r="E2160">
        <v>1</v>
      </c>
      <c r="F2160" t="s">
        <v>24</v>
      </c>
      <c r="G2160" t="s">
        <v>25</v>
      </c>
      <c r="H2160" t="s">
        <v>26</v>
      </c>
      <c r="I2160" t="s">
        <v>57</v>
      </c>
      <c r="Z2160" t="s">
        <v>32</v>
      </c>
    </row>
    <row r="2161" spans="1:29" x14ac:dyDescent="0.2">
      <c r="A2161" s="3">
        <v>42501</v>
      </c>
      <c r="B2161" t="s">
        <v>23</v>
      </c>
      <c r="C2161">
        <v>501</v>
      </c>
      <c r="D2161">
        <v>8</v>
      </c>
      <c r="E2161">
        <v>1</v>
      </c>
      <c r="F2161" t="s">
        <v>24</v>
      </c>
      <c r="G2161" t="s">
        <v>25</v>
      </c>
      <c r="H2161" t="s">
        <v>26</v>
      </c>
      <c r="I2161" t="s">
        <v>57</v>
      </c>
      <c r="Z2161" t="s">
        <v>32</v>
      </c>
    </row>
    <row r="2162" spans="1:29" x14ac:dyDescent="0.2">
      <c r="A2162" s="3">
        <v>42501</v>
      </c>
      <c r="B2162" t="s">
        <v>23</v>
      </c>
      <c r="C2162">
        <v>501</v>
      </c>
      <c r="D2162">
        <v>8</v>
      </c>
      <c r="E2162">
        <v>2</v>
      </c>
      <c r="F2162" t="s">
        <v>24</v>
      </c>
      <c r="G2162" t="s">
        <v>25</v>
      </c>
      <c r="H2162" t="s">
        <v>26</v>
      </c>
      <c r="I2162" t="s">
        <v>57</v>
      </c>
      <c r="Z2162" t="s">
        <v>32</v>
      </c>
    </row>
    <row r="2163" spans="1:29" x14ac:dyDescent="0.2">
      <c r="A2163" s="3">
        <v>42501</v>
      </c>
      <c r="B2163" t="s">
        <v>23</v>
      </c>
      <c r="C2163">
        <v>503</v>
      </c>
      <c r="D2163">
        <v>4</v>
      </c>
      <c r="E2163">
        <v>1</v>
      </c>
      <c r="F2163" t="s">
        <v>24</v>
      </c>
      <c r="G2163" t="s">
        <v>25</v>
      </c>
      <c r="H2163" t="s">
        <v>26</v>
      </c>
      <c r="I2163" t="s">
        <v>57</v>
      </c>
      <c r="Z2163" t="s">
        <v>32</v>
      </c>
    </row>
    <row r="2164" spans="1:29" x14ac:dyDescent="0.2">
      <c r="A2164" s="3">
        <v>42501</v>
      </c>
      <c r="B2164" t="s">
        <v>23</v>
      </c>
      <c r="C2164">
        <v>303</v>
      </c>
      <c r="D2164">
        <v>2</v>
      </c>
      <c r="E2164">
        <v>1</v>
      </c>
      <c r="F2164" t="s">
        <v>24</v>
      </c>
      <c r="G2164" t="s">
        <v>25</v>
      </c>
      <c r="H2164" t="s">
        <v>26</v>
      </c>
      <c r="I2164" t="s">
        <v>57</v>
      </c>
      <c r="Z2164" t="s">
        <v>32</v>
      </c>
    </row>
    <row r="2165" spans="1:29" x14ac:dyDescent="0.2">
      <c r="A2165" s="3">
        <v>42501</v>
      </c>
      <c r="B2165" t="s">
        <v>23</v>
      </c>
      <c r="C2165">
        <v>401</v>
      </c>
      <c r="D2165">
        <v>4</v>
      </c>
      <c r="E2165">
        <v>1</v>
      </c>
      <c r="F2165" t="s">
        <v>24</v>
      </c>
      <c r="G2165" t="s">
        <v>25</v>
      </c>
      <c r="H2165" t="s">
        <v>26</v>
      </c>
      <c r="I2165" t="s">
        <v>57</v>
      </c>
      <c r="Z2165" t="s">
        <v>32</v>
      </c>
    </row>
    <row r="2166" spans="1:29" x14ac:dyDescent="0.2">
      <c r="A2166" s="3">
        <v>42501</v>
      </c>
      <c r="B2166" t="s">
        <v>23</v>
      </c>
      <c r="C2166">
        <v>401</v>
      </c>
      <c r="D2166">
        <v>5</v>
      </c>
      <c r="E2166">
        <v>1</v>
      </c>
      <c r="F2166" t="s">
        <v>24</v>
      </c>
      <c r="G2166" t="s">
        <v>25</v>
      </c>
      <c r="H2166" t="s">
        <v>26</v>
      </c>
      <c r="I2166" t="s">
        <v>57</v>
      </c>
      <c r="Z2166" t="s">
        <v>32</v>
      </c>
    </row>
    <row r="2167" spans="1:29" x14ac:dyDescent="0.2">
      <c r="A2167" s="3">
        <v>42501</v>
      </c>
      <c r="B2167" t="s">
        <v>23</v>
      </c>
      <c r="C2167">
        <v>701</v>
      </c>
      <c r="D2167">
        <v>9</v>
      </c>
      <c r="E2167">
        <v>1</v>
      </c>
      <c r="F2167" t="s">
        <v>33</v>
      </c>
      <c r="G2167" t="s">
        <v>25</v>
      </c>
      <c r="H2167" t="s">
        <v>26</v>
      </c>
      <c r="I2167" t="s">
        <v>57</v>
      </c>
      <c r="Z2167" t="s">
        <v>32</v>
      </c>
    </row>
    <row r="2168" spans="1:29" x14ac:dyDescent="0.2">
      <c r="A2168" s="3">
        <v>42501</v>
      </c>
      <c r="B2168" t="s">
        <v>23</v>
      </c>
      <c r="C2168">
        <v>801</v>
      </c>
      <c r="D2168">
        <v>8</v>
      </c>
      <c r="E2168">
        <v>1</v>
      </c>
      <c r="F2168" t="s">
        <v>33</v>
      </c>
      <c r="G2168" t="s">
        <v>25</v>
      </c>
      <c r="H2168" t="s">
        <v>26</v>
      </c>
      <c r="I2168" t="s">
        <v>57</v>
      </c>
      <c r="Z2168" t="s">
        <v>32</v>
      </c>
    </row>
    <row r="2169" spans="1:29" x14ac:dyDescent="0.2">
      <c r="A2169" s="3">
        <v>42502</v>
      </c>
      <c r="B2169" t="s">
        <v>23</v>
      </c>
      <c r="C2169">
        <v>503</v>
      </c>
      <c r="D2169">
        <v>7</v>
      </c>
      <c r="E2169">
        <v>1</v>
      </c>
      <c r="F2169" t="s">
        <v>24</v>
      </c>
      <c r="G2169" t="s">
        <v>25</v>
      </c>
      <c r="H2169" t="s">
        <v>26</v>
      </c>
      <c r="I2169" t="s">
        <v>57</v>
      </c>
      <c r="Z2169" t="s">
        <v>32</v>
      </c>
      <c r="AB2169" t="s">
        <v>53</v>
      </c>
      <c r="AC2169" t="s">
        <v>59</v>
      </c>
    </row>
    <row r="2170" spans="1:29" x14ac:dyDescent="0.2">
      <c r="A2170" s="3">
        <v>42502</v>
      </c>
      <c r="B2170" t="s">
        <v>23</v>
      </c>
      <c r="C2170">
        <v>503</v>
      </c>
      <c r="D2170">
        <v>9</v>
      </c>
      <c r="E2170">
        <v>1</v>
      </c>
      <c r="F2170" t="s">
        <v>24</v>
      </c>
      <c r="G2170" t="s">
        <v>25</v>
      </c>
      <c r="H2170" t="s">
        <v>26</v>
      </c>
      <c r="I2170" t="s">
        <v>57</v>
      </c>
      <c r="Z2170" t="s">
        <v>32</v>
      </c>
      <c r="AB2170" t="s">
        <v>53</v>
      </c>
      <c r="AC2170" t="s">
        <v>59</v>
      </c>
    </row>
    <row r="2171" spans="1:29" x14ac:dyDescent="0.2">
      <c r="A2171" s="3">
        <v>42502</v>
      </c>
      <c r="B2171" t="s">
        <v>23</v>
      </c>
      <c r="C2171">
        <v>401</v>
      </c>
      <c r="D2171">
        <v>3</v>
      </c>
      <c r="E2171">
        <v>1</v>
      </c>
      <c r="F2171" t="s">
        <v>24</v>
      </c>
      <c r="G2171" t="s">
        <v>25</v>
      </c>
      <c r="H2171" t="s">
        <v>26</v>
      </c>
      <c r="I2171" t="s">
        <v>57</v>
      </c>
      <c r="Z2171" t="s">
        <v>32</v>
      </c>
    </row>
    <row r="2172" spans="1:29" x14ac:dyDescent="0.2">
      <c r="A2172" s="3">
        <v>42502</v>
      </c>
      <c r="B2172" t="s">
        <v>23</v>
      </c>
      <c r="C2172">
        <v>701</v>
      </c>
      <c r="D2172">
        <v>3</v>
      </c>
      <c r="E2172">
        <v>1</v>
      </c>
      <c r="F2172" t="s">
        <v>33</v>
      </c>
      <c r="G2172" t="s">
        <v>25</v>
      </c>
      <c r="H2172" t="s">
        <v>26</v>
      </c>
      <c r="I2172" t="s">
        <v>57</v>
      </c>
      <c r="Z2172" t="s">
        <v>32</v>
      </c>
    </row>
    <row r="2173" spans="1:29" x14ac:dyDescent="0.2">
      <c r="A2173" s="3">
        <v>42502</v>
      </c>
      <c r="B2173" t="s">
        <v>23</v>
      </c>
      <c r="C2173">
        <v>803</v>
      </c>
      <c r="D2173">
        <v>5</v>
      </c>
      <c r="E2173">
        <v>1</v>
      </c>
      <c r="F2173" t="s">
        <v>33</v>
      </c>
      <c r="G2173" t="s">
        <v>25</v>
      </c>
      <c r="H2173" t="s">
        <v>26</v>
      </c>
      <c r="I2173" t="s">
        <v>57</v>
      </c>
      <c r="Z2173" t="s">
        <v>32</v>
      </c>
      <c r="AB2173" t="s">
        <v>53</v>
      </c>
      <c r="AC2173" t="s">
        <v>59</v>
      </c>
    </row>
    <row r="2174" spans="1:29" x14ac:dyDescent="0.2">
      <c r="A2174" s="3">
        <v>42507</v>
      </c>
      <c r="B2174" t="s">
        <v>23</v>
      </c>
      <c r="C2174">
        <v>113</v>
      </c>
      <c r="D2174">
        <v>5</v>
      </c>
      <c r="E2174">
        <v>1</v>
      </c>
      <c r="F2174" t="s">
        <v>24</v>
      </c>
      <c r="G2174" t="s">
        <v>25</v>
      </c>
      <c r="H2174" t="s">
        <v>26</v>
      </c>
      <c r="I2174" t="s">
        <v>57</v>
      </c>
      <c r="Z2174" t="s">
        <v>32</v>
      </c>
      <c r="AB2174" t="s">
        <v>44</v>
      </c>
      <c r="AC2174" t="s">
        <v>116</v>
      </c>
    </row>
    <row r="2175" spans="1:29" x14ac:dyDescent="0.2">
      <c r="A2175" s="3">
        <v>42507</v>
      </c>
      <c r="B2175" t="s">
        <v>23</v>
      </c>
      <c r="C2175">
        <v>113</v>
      </c>
      <c r="D2175">
        <v>8</v>
      </c>
      <c r="E2175">
        <v>1</v>
      </c>
      <c r="F2175" t="s">
        <v>24</v>
      </c>
      <c r="G2175" t="s">
        <v>25</v>
      </c>
      <c r="H2175" t="s">
        <v>26</v>
      </c>
      <c r="I2175" t="s">
        <v>57</v>
      </c>
      <c r="Z2175" t="s">
        <v>32</v>
      </c>
      <c r="AB2175" t="s">
        <v>44</v>
      </c>
      <c r="AC2175" t="s">
        <v>116</v>
      </c>
    </row>
    <row r="2176" spans="1:29" x14ac:dyDescent="0.2">
      <c r="A2176" s="3">
        <v>42507</v>
      </c>
      <c r="B2176" t="s">
        <v>23</v>
      </c>
      <c r="C2176">
        <v>113</v>
      </c>
      <c r="D2176">
        <v>8</v>
      </c>
      <c r="E2176">
        <v>2</v>
      </c>
      <c r="F2176" t="s">
        <v>24</v>
      </c>
      <c r="G2176" t="s">
        <v>25</v>
      </c>
      <c r="H2176" t="s">
        <v>26</v>
      </c>
      <c r="I2176" t="s">
        <v>57</v>
      </c>
      <c r="Z2176" t="s">
        <v>32</v>
      </c>
      <c r="AB2176" t="s">
        <v>44</v>
      </c>
      <c r="AC2176" t="s">
        <v>116</v>
      </c>
    </row>
    <row r="2177" spans="1:29" x14ac:dyDescent="0.2">
      <c r="A2177" s="3">
        <v>42507</v>
      </c>
      <c r="B2177" t="s">
        <v>23</v>
      </c>
      <c r="C2177">
        <v>113</v>
      </c>
      <c r="D2177">
        <v>9</v>
      </c>
      <c r="E2177">
        <v>1</v>
      </c>
      <c r="F2177" t="s">
        <v>24</v>
      </c>
      <c r="G2177" t="s">
        <v>25</v>
      </c>
      <c r="H2177" t="s">
        <v>26</v>
      </c>
      <c r="I2177" t="s">
        <v>57</v>
      </c>
      <c r="Z2177" t="s">
        <v>32</v>
      </c>
      <c r="AB2177" t="s">
        <v>44</v>
      </c>
      <c r="AC2177" t="s">
        <v>116</v>
      </c>
    </row>
    <row r="2178" spans="1:29" x14ac:dyDescent="0.2">
      <c r="A2178" s="3">
        <v>42507</v>
      </c>
      <c r="B2178" t="s">
        <v>23</v>
      </c>
      <c r="C2178">
        <v>113</v>
      </c>
      <c r="D2178">
        <v>9</v>
      </c>
      <c r="E2178">
        <v>2</v>
      </c>
      <c r="F2178" t="s">
        <v>24</v>
      </c>
      <c r="G2178" t="s">
        <v>25</v>
      </c>
      <c r="H2178" t="s">
        <v>26</v>
      </c>
      <c r="I2178" t="s">
        <v>57</v>
      </c>
      <c r="Z2178" t="s">
        <v>32</v>
      </c>
      <c r="AB2178" t="s">
        <v>44</v>
      </c>
      <c r="AC2178" t="s">
        <v>116</v>
      </c>
    </row>
    <row r="2179" spans="1:29" x14ac:dyDescent="0.2">
      <c r="A2179" s="3">
        <v>42507</v>
      </c>
      <c r="B2179" t="s">
        <v>23</v>
      </c>
      <c r="C2179">
        <v>402</v>
      </c>
      <c r="D2179">
        <v>1</v>
      </c>
      <c r="E2179">
        <v>1</v>
      </c>
      <c r="F2179" t="s">
        <v>24</v>
      </c>
      <c r="G2179" t="s">
        <v>25</v>
      </c>
      <c r="H2179" t="s">
        <v>26</v>
      </c>
      <c r="I2179" t="s">
        <v>57</v>
      </c>
      <c r="Z2179" t="s">
        <v>32</v>
      </c>
      <c r="AB2179" t="s">
        <v>44</v>
      </c>
      <c r="AC2179" t="s">
        <v>116</v>
      </c>
    </row>
    <row r="2180" spans="1:29" x14ac:dyDescent="0.2">
      <c r="A2180" s="3">
        <v>42507</v>
      </c>
      <c r="B2180" t="s">
        <v>23</v>
      </c>
      <c r="C2180">
        <v>402</v>
      </c>
      <c r="D2180">
        <v>1</v>
      </c>
      <c r="E2180">
        <v>2</v>
      </c>
      <c r="F2180" t="s">
        <v>24</v>
      </c>
      <c r="G2180" t="s">
        <v>25</v>
      </c>
      <c r="H2180" t="s">
        <v>26</v>
      </c>
      <c r="I2180" t="s">
        <v>57</v>
      </c>
      <c r="Z2180" t="s">
        <v>32</v>
      </c>
      <c r="AB2180" t="s">
        <v>44</v>
      </c>
      <c r="AC2180" t="s">
        <v>116</v>
      </c>
    </row>
    <row r="2181" spans="1:29" x14ac:dyDescent="0.2">
      <c r="A2181" s="3">
        <v>42507</v>
      </c>
      <c r="B2181" t="s">
        <v>23</v>
      </c>
      <c r="C2181">
        <v>402</v>
      </c>
      <c r="D2181">
        <v>2</v>
      </c>
      <c r="E2181">
        <v>1</v>
      </c>
      <c r="F2181" t="s">
        <v>24</v>
      </c>
      <c r="G2181" t="s">
        <v>25</v>
      </c>
      <c r="H2181" t="s">
        <v>26</v>
      </c>
      <c r="I2181" t="s">
        <v>57</v>
      </c>
      <c r="Z2181" t="s">
        <v>32</v>
      </c>
      <c r="AB2181" t="s">
        <v>44</v>
      </c>
      <c r="AC2181" t="s">
        <v>116</v>
      </c>
    </row>
    <row r="2182" spans="1:29" x14ac:dyDescent="0.2">
      <c r="A2182" s="3">
        <v>42507</v>
      </c>
      <c r="B2182" t="s">
        <v>23</v>
      </c>
      <c r="C2182">
        <v>402</v>
      </c>
      <c r="D2182">
        <v>9</v>
      </c>
      <c r="E2182">
        <v>1</v>
      </c>
      <c r="F2182" t="s">
        <v>24</v>
      </c>
      <c r="G2182" t="s">
        <v>25</v>
      </c>
      <c r="H2182" t="s">
        <v>26</v>
      </c>
      <c r="I2182" t="s">
        <v>57</v>
      </c>
      <c r="Z2182" t="s">
        <v>32</v>
      </c>
      <c r="AB2182" t="s">
        <v>44</v>
      </c>
      <c r="AC2182" t="s">
        <v>116</v>
      </c>
    </row>
    <row r="2183" spans="1:29" x14ac:dyDescent="0.2">
      <c r="A2183" s="3">
        <v>42507</v>
      </c>
      <c r="B2183" t="s">
        <v>23</v>
      </c>
      <c r="C2183">
        <v>203</v>
      </c>
      <c r="D2183">
        <v>8</v>
      </c>
      <c r="E2183">
        <v>1</v>
      </c>
      <c r="F2183" t="s">
        <v>33</v>
      </c>
      <c r="G2183" t="s">
        <v>25</v>
      </c>
      <c r="H2183" t="s">
        <v>26</v>
      </c>
      <c r="I2183" t="s">
        <v>57</v>
      </c>
      <c r="Z2183" t="s">
        <v>32</v>
      </c>
    </row>
    <row r="2184" spans="1:29" x14ac:dyDescent="0.2">
      <c r="A2184" s="3">
        <v>42507</v>
      </c>
      <c r="B2184" t="s">
        <v>23</v>
      </c>
      <c r="C2184">
        <v>203</v>
      </c>
      <c r="D2184">
        <v>9</v>
      </c>
      <c r="E2184">
        <v>1</v>
      </c>
      <c r="F2184" t="s">
        <v>33</v>
      </c>
      <c r="G2184" t="s">
        <v>25</v>
      </c>
      <c r="H2184" t="s">
        <v>26</v>
      </c>
      <c r="I2184" t="s">
        <v>57</v>
      </c>
      <c r="Z2184" t="s">
        <v>32</v>
      </c>
    </row>
    <row r="2185" spans="1:29" x14ac:dyDescent="0.2">
      <c r="A2185" s="3">
        <v>42507</v>
      </c>
      <c r="B2185" t="s">
        <v>23</v>
      </c>
      <c r="C2185">
        <v>203</v>
      </c>
      <c r="D2185">
        <v>9</v>
      </c>
      <c r="E2185">
        <v>2</v>
      </c>
      <c r="F2185" t="s">
        <v>33</v>
      </c>
      <c r="G2185" t="s">
        <v>25</v>
      </c>
      <c r="H2185" t="s">
        <v>26</v>
      </c>
      <c r="I2185" t="s">
        <v>57</v>
      </c>
      <c r="Z2185" t="s">
        <v>32</v>
      </c>
    </row>
    <row r="2186" spans="1:29" x14ac:dyDescent="0.2">
      <c r="A2186" s="3">
        <v>42507</v>
      </c>
      <c r="B2186" t="s">
        <v>23</v>
      </c>
      <c r="C2186">
        <v>202</v>
      </c>
      <c r="D2186">
        <v>8</v>
      </c>
      <c r="E2186">
        <v>1</v>
      </c>
      <c r="F2186" t="s">
        <v>33</v>
      </c>
      <c r="G2186" t="s">
        <v>25</v>
      </c>
      <c r="H2186" t="s">
        <v>26</v>
      </c>
      <c r="I2186" t="s">
        <v>57</v>
      </c>
      <c r="Z2186" t="s">
        <v>32</v>
      </c>
    </row>
    <row r="2187" spans="1:29" x14ac:dyDescent="0.2">
      <c r="A2187" s="3">
        <v>42508</v>
      </c>
      <c r="B2187" t="s">
        <v>23</v>
      </c>
      <c r="C2187">
        <v>112</v>
      </c>
      <c r="D2187">
        <v>8</v>
      </c>
      <c r="E2187">
        <v>1</v>
      </c>
      <c r="F2187" t="s">
        <v>24</v>
      </c>
      <c r="G2187" t="s">
        <v>25</v>
      </c>
      <c r="H2187" t="s">
        <v>26</v>
      </c>
      <c r="I2187" t="s">
        <v>57</v>
      </c>
      <c r="Z2187" t="s">
        <v>32</v>
      </c>
    </row>
    <row r="2188" spans="1:29" x14ac:dyDescent="0.2">
      <c r="A2188" s="3">
        <v>42508</v>
      </c>
      <c r="B2188" t="s">
        <v>23</v>
      </c>
      <c r="C2188">
        <v>113</v>
      </c>
      <c r="D2188">
        <v>1</v>
      </c>
      <c r="E2188">
        <v>1</v>
      </c>
      <c r="F2188" t="s">
        <v>24</v>
      </c>
      <c r="G2188" t="s">
        <v>25</v>
      </c>
      <c r="H2188" t="s">
        <v>26</v>
      </c>
      <c r="I2188" t="s">
        <v>57</v>
      </c>
      <c r="Z2188" t="s">
        <v>32</v>
      </c>
    </row>
    <row r="2189" spans="1:29" x14ac:dyDescent="0.2">
      <c r="A2189" s="3">
        <v>42508</v>
      </c>
      <c r="B2189" t="s">
        <v>23</v>
      </c>
      <c r="C2189">
        <v>113</v>
      </c>
      <c r="D2189">
        <v>1</v>
      </c>
      <c r="E2189">
        <v>2</v>
      </c>
      <c r="F2189" t="s">
        <v>24</v>
      </c>
      <c r="G2189" t="s">
        <v>25</v>
      </c>
      <c r="H2189" t="s">
        <v>26</v>
      </c>
      <c r="I2189" t="s">
        <v>57</v>
      </c>
      <c r="Z2189" t="s">
        <v>32</v>
      </c>
    </row>
    <row r="2190" spans="1:29" x14ac:dyDescent="0.2">
      <c r="A2190" s="3">
        <v>42508</v>
      </c>
      <c r="B2190" t="s">
        <v>23</v>
      </c>
      <c r="C2190">
        <v>113</v>
      </c>
      <c r="D2190">
        <v>3</v>
      </c>
      <c r="E2190">
        <v>1</v>
      </c>
      <c r="F2190" t="s">
        <v>24</v>
      </c>
      <c r="G2190" t="s">
        <v>25</v>
      </c>
      <c r="H2190" t="s">
        <v>26</v>
      </c>
      <c r="I2190" t="s">
        <v>57</v>
      </c>
      <c r="Z2190" t="s">
        <v>32</v>
      </c>
    </row>
    <row r="2191" spans="1:29" x14ac:dyDescent="0.2">
      <c r="A2191" s="3">
        <v>42508</v>
      </c>
      <c r="B2191" t="s">
        <v>23</v>
      </c>
      <c r="C2191">
        <v>113</v>
      </c>
      <c r="D2191">
        <v>8</v>
      </c>
      <c r="E2191">
        <v>1</v>
      </c>
      <c r="F2191" t="s">
        <v>24</v>
      </c>
      <c r="G2191" t="s">
        <v>25</v>
      </c>
      <c r="H2191" t="s">
        <v>26</v>
      </c>
      <c r="I2191" t="s">
        <v>57</v>
      </c>
      <c r="Z2191" t="s">
        <v>32</v>
      </c>
    </row>
    <row r="2192" spans="1:29" x14ac:dyDescent="0.2">
      <c r="A2192" s="3">
        <v>42508</v>
      </c>
      <c r="B2192" t="s">
        <v>23</v>
      </c>
      <c r="C2192">
        <v>113</v>
      </c>
      <c r="D2192">
        <v>10</v>
      </c>
      <c r="E2192">
        <v>1</v>
      </c>
      <c r="F2192" t="s">
        <v>24</v>
      </c>
      <c r="G2192" t="s">
        <v>25</v>
      </c>
      <c r="H2192" t="s">
        <v>26</v>
      </c>
      <c r="I2192" t="s">
        <v>57</v>
      </c>
      <c r="Z2192" t="s">
        <v>32</v>
      </c>
    </row>
    <row r="2193" spans="1:26" x14ac:dyDescent="0.2">
      <c r="A2193" s="3">
        <v>42508</v>
      </c>
      <c r="B2193" t="s">
        <v>23</v>
      </c>
      <c r="C2193">
        <v>402</v>
      </c>
      <c r="D2193">
        <v>1</v>
      </c>
      <c r="E2193">
        <v>1</v>
      </c>
      <c r="F2193" t="s">
        <v>24</v>
      </c>
      <c r="G2193" t="s">
        <v>25</v>
      </c>
      <c r="H2193" t="s">
        <v>26</v>
      </c>
      <c r="I2193" t="s">
        <v>57</v>
      </c>
      <c r="Z2193" t="s">
        <v>32</v>
      </c>
    </row>
    <row r="2194" spans="1:26" x14ac:dyDescent="0.2">
      <c r="A2194" s="3">
        <v>42508</v>
      </c>
      <c r="B2194" t="s">
        <v>23</v>
      </c>
      <c r="C2194">
        <v>304</v>
      </c>
      <c r="D2194">
        <v>1</v>
      </c>
      <c r="E2194">
        <v>1</v>
      </c>
      <c r="F2194" t="s">
        <v>24</v>
      </c>
      <c r="G2194" t="s">
        <v>25</v>
      </c>
      <c r="H2194" t="s">
        <v>26</v>
      </c>
      <c r="I2194" t="s">
        <v>57</v>
      </c>
      <c r="Z2194" t="s">
        <v>32</v>
      </c>
    </row>
    <row r="2195" spans="1:26" x14ac:dyDescent="0.2">
      <c r="A2195" s="3">
        <v>42508</v>
      </c>
      <c r="B2195" t="s">
        <v>23</v>
      </c>
      <c r="C2195">
        <v>304</v>
      </c>
      <c r="D2195">
        <v>8</v>
      </c>
      <c r="E2195">
        <v>1</v>
      </c>
      <c r="F2195" t="s">
        <v>24</v>
      </c>
      <c r="G2195" t="s">
        <v>25</v>
      </c>
      <c r="H2195" t="s">
        <v>26</v>
      </c>
      <c r="I2195" t="s">
        <v>57</v>
      </c>
      <c r="Z2195" t="s">
        <v>32</v>
      </c>
    </row>
    <row r="2196" spans="1:26" x14ac:dyDescent="0.2">
      <c r="A2196" s="3">
        <v>42508</v>
      </c>
      <c r="B2196" t="s">
        <v>23</v>
      </c>
      <c r="C2196">
        <v>304</v>
      </c>
      <c r="D2196">
        <v>9</v>
      </c>
      <c r="E2196">
        <v>1</v>
      </c>
      <c r="F2196" t="s">
        <v>24</v>
      </c>
      <c r="G2196" t="s">
        <v>25</v>
      </c>
      <c r="H2196" t="s">
        <v>26</v>
      </c>
      <c r="I2196" t="s">
        <v>57</v>
      </c>
      <c r="Z2196" t="s">
        <v>32</v>
      </c>
    </row>
    <row r="2197" spans="1:26" x14ac:dyDescent="0.2">
      <c r="A2197" s="3">
        <v>42508</v>
      </c>
      <c r="B2197" t="s">
        <v>23</v>
      </c>
      <c r="C2197">
        <v>201</v>
      </c>
      <c r="D2197">
        <v>1</v>
      </c>
      <c r="E2197">
        <v>1</v>
      </c>
      <c r="F2197" t="s">
        <v>33</v>
      </c>
      <c r="G2197" t="s">
        <v>25</v>
      </c>
      <c r="H2197" t="s">
        <v>26</v>
      </c>
      <c r="I2197" t="s">
        <v>57</v>
      </c>
      <c r="Z2197" t="s">
        <v>32</v>
      </c>
    </row>
    <row r="2198" spans="1:26" x14ac:dyDescent="0.2">
      <c r="A2198" s="3">
        <v>42508</v>
      </c>
      <c r="B2198" t="s">
        <v>23</v>
      </c>
      <c r="C2198">
        <v>201</v>
      </c>
      <c r="D2198">
        <v>2</v>
      </c>
      <c r="E2198">
        <v>1</v>
      </c>
      <c r="F2198" t="s">
        <v>33</v>
      </c>
      <c r="G2198" t="s">
        <v>25</v>
      </c>
      <c r="H2198" t="s">
        <v>26</v>
      </c>
      <c r="I2198" t="s">
        <v>57</v>
      </c>
      <c r="Z2198" t="s">
        <v>32</v>
      </c>
    </row>
    <row r="2199" spans="1:26" x14ac:dyDescent="0.2">
      <c r="A2199" s="3">
        <v>42508</v>
      </c>
      <c r="B2199" t="s">
        <v>23</v>
      </c>
      <c r="C2199">
        <v>201</v>
      </c>
      <c r="D2199">
        <v>4</v>
      </c>
      <c r="E2199">
        <v>1</v>
      </c>
      <c r="F2199" t="s">
        <v>33</v>
      </c>
      <c r="G2199" t="s">
        <v>25</v>
      </c>
      <c r="H2199" t="s">
        <v>26</v>
      </c>
      <c r="I2199" t="s">
        <v>57</v>
      </c>
      <c r="Z2199" t="s">
        <v>32</v>
      </c>
    </row>
    <row r="2200" spans="1:26" x14ac:dyDescent="0.2">
      <c r="A2200" s="3">
        <v>42508</v>
      </c>
      <c r="B2200" t="s">
        <v>23</v>
      </c>
      <c r="C2200">
        <v>203</v>
      </c>
      <c r="D2200">
        <v>3</v>
      </c>
      <c r="E2200">
        <v>1</v>
      </c>
      <c r="F2200" t="s">
        <v>33</v>
      </c>
      <c r="G2200" t="s">
        <v>25</v>
      </c>
      <c r="H2200" t="s">
        <v>26</v>
      </c>
      <c r="I2200" t="s">
        <v>57</v>
      </c>
      <c r="Z2200" t="s">
        <v>32</v>
      </c>
    </row>
    <row r="2201" spans="1:26" x14ac:dyDescent="0.2">
      <c r="A2201" s="3">
        <v>42508</v>
      </c>
      <c r="B2201" t="s">
        <v>23</v>
      </c>
      <c r="C2201">
        <v>203</v>
      </c>
      <c r="D2201">
        <v>5</v>
      </c>
      <c r="E2201">
        <v>1</v>
      </c>
      <c r="F2201" t="s">
        <v>33</v>
      </c>
      <c r="G2201" t="s">
        <v>25</v>
      </c>
      <c r="H2201" t="s">
        <v>26</v>
      </c>
      <c r="I2201" t="s">
        <v>57</v>
      </c>
      <c r="Z2201" t="s">
        <v>32</v>
      </c>
    </row>
    <row r="2202" spans="1:26" x14ac:dyDescent="0.2">
      <c r="A2202" s="3">
        <v>42508</v>
      </c>
      <c r="B2202" t="s">
        <v>23</v>
      </c>
      <c r="C2202">
        <v>203</v>
      </c>
      <c r="D2202">
        <v>5</v>
      </c>
      <c r="E2202">
        <v>2</v>
      </c>
      <c r="F2202" t="s">
        <v>33</v>
      </c>
      <c r="G2202" t="s">
        <v>25</v>
      </c>
      <c r="H2202" t="s">
        <v>26</v>
      </c>
      <c r="I2202" t="s">
        <v>57</v>
      </c>
      <c r="Z2202" t="s">
        <v>32</v>
      </c>
    </row>
    <row r="2203" spans="1:26" x14ac:dyDescent="0.2">
      <c r="A2203" s="3">
        <v>42509</v>
      </c>
      <c r="B2203" t="s">
        <v>23</v>
      </c>
      <c r="C2203">
        <v>203</v>
      </c>
      <c r="D2203">
        <v>2</v>
      </c>
      <c r="E2203">
        <v>1</v>
      </c>
      <c r="F2203" t="s">
        <v>33</v>
      </c>
      <c r="G2203" t="s">
        <v>25</v>
      </c>
      <c r="H2203" t="s">
        <v>26</v>
      </c>
      <c r="I2203" t="s">
        <v>57</v>
      </c>
      <c r="Z2203" t="s">
        <v>32</v>
      </c>
    </row>
    <row r="2204" spans="1:26" x14ac:dyDescent="0.2">
      <c r="A2204" s="3">
        <v>42509</v>
      </c>
      <c r="B2204" t="s">
        <v>23</v>
      </c>
      <c r="C2204">
        <v>203</v>
      </c>
      <c r="D2204">
        <v>3</v>
      </c>
      <c r="E2204">
        <v>1</v>
      </c>
      <c r="F2204" t="s">
        <v>33</v>
      </c>
      <c r="G2204" t="s">
        <v>25</v>
      </c>
      <c r="H2204" t="s">
        <v>26</v>
      </c>
      <c r="I2204" t="s">
        <v>57</v>
      </c>
      <c r="Z2204" t="s">
        <v>32</v>
      </c>
    </row>
    <row r="2205" spans="1:26" x14ac:dyDescent="0.2">
      <c r="A2205" s="3">
        <v>42509</v>
      </c>
      <c r="B2205" t="s">
        <v>23</v>
      </c>
      <c r="C2205">
        <v>203</v>
      </c>
      <c r="D2205">
        <v>3</v>
      </c>
      <c r="E2205">
        <v>2</v>
      </c>
      <c r="F2205" t="s">
        <v>33</v>
      </c>
      <c r="G2205" t="s">
        <v>25</v>
      </c>
      <c r="H2205" t="s">
        <v>26</v>
      </c>
      <c r="I2205" t="s">
        <v>57</v>
      </c>
      <c r="Z2205" t="s">
        <v>32</v>
      </c>
    </row>
    <row r="2206" spans="1:26" x14ac:dyDescent="0.2">
      <c r="A2206" s="3">
        <v>42509</v>
      </c>
      <c r="B2206" t="s">
        <v>23</v>
      </c>
      <c r="C2206">
        <v>202</v>
      </c>
      <c r="D2206">
        <v>8</v>
      </c>
      <c r="E2206">
        <v>1</v>
      </c>
      <c r="F2206" t="s">
        <v>33</v>
      </c>
      <c r="G2206" t="s">
        <v>25</v>
      </c>
      <c r="H2206" t="s">
        <v>26</v>
      </c>
      <c r="I2206" t="s">
        <v>57</v>
      </c>
      <c r="Z2206" t="s">
        <v>32</v>
      </c>
    </row>
    <row r="2207" spans="1:26" x14ac:dyDescent="0.2">
      <c r="A2207" s="3">
        <v>42509</v>
      </c>
      <c r="B2207" t="s">
        <v>23</v>
      </c>
      <c r="C2207">
        <v>202</v>
      </c>
      <c r="D2207">
        <v>10</v>
      </c>
      <c r="E2207">
        <v>1</v>
      </c>
      <c r="F2207" t="s">
        <v>33</v>
      </c>
      <c r="G2207" t="s">
        <v>25</v>
      </c>
      <c r="H2207" t="s">
        <v>26</v>
      </c>
      <c r="I2207" t="s">
        <v>57</v>
      </c>
      <c r="Z2207" t="s">
        <v>32</v>
      </c>
    </row>
    <row r="2208" spans="1:26" x14ac:dyDescent="0.2">
      <c r="A2208" s="3">
        <v>42509</v>
      </c>
      <c r="B2208" t="s">
        <v>23</v>
      </c>
      <c r="C2208">
        <v>304</v>
      </c>
      <c r="D2208">
        <v>2</v>
      </c>
      <c r="E2208">
        <v>2</v>
      </c>
      <c r="F2208" t="s">
        <v>33</v>
      </c>
      <c r="G2208" t="s">
        <v>25</v>
      </c>
      <c r="H2208" t="s">
        <v>26</v>
      </c>
      <c r="I2208" t="s">
        <v>57</v>
      </c>
      <c r="Z2208" t="s">
        <v>32</v>
      </c>
    </row>
    <row r="2209" spans="1:26" x14ac:dyDescent="0.2">
      <c r="A2209" s="3">
        <v>42509</v>
      </c>
      <c r="B2209" t="s">
        <v>23</v>
      </c>
      <c r="C2209">
        <v>113</v>
      </c>
      <c r="D2209">
        <v>4</v>
      </c>
      <c r="E2209">
        <v>2</v>
      </c>
      <c r="F2209" t="s">
        <v>24</v>
      </c>
      <c r="G2209" t="s">
        <v>25</v>
      </c>
      <c r="H2209" t="s">
        <v>26</v>
      </c>
      <c r="I2209" t="s">
        <v>57</v>
      </c>
      <c r="Z2209" t="s">
        <v>32</v>
      </c>
    </row>
    <row r="2210" spans="1:26" x14ac:dyDescent="0.2">
      <c r="A2210" s="3">
        <v>42509</v>
      </c>
      <c r="B2210" t="s">
        <v>23</v>
      </c>
      <c r="C2210">
        <v>113</v>
      </c>
      <c r="D2210">
        <v>6</v>
      </c>
      <c r="E2210">
        <v>1</v>
      </c>
      <c r="F2210" t="s">
        <v>24</v>
      </c>
      <c r="G2210" t="s">
        <v>25</v>
      </c>
      <c r="H2210" t="s">
        <v>26</v>
      </c>
      <c r="I2210" t="s">
        <v>57</v>
      </c>
      <c r="Z2210" t="s">
        <v>32</v>
      </c>
    </row>
    <row r="2211" spans="1:26" x14ac:dyDescent="0.2">
      <c r="A2211" s="3">
        <v>42509</v>
      </c>
      <c r="B2211" t="s">
        <v>23</v>
      </c>
      <c r="C2211">
        <v>113</v>
      </c>
      <c r="D2211">
        <v>9</v>
      </c>
      <c r="E2211">
        <v>1</v>
      </c>
      <c r="F2211" t="s">
        <v>24</v>
      </c>
      <c r="G2211" t="s">
        <v>25</v>
      </c>
      <c r="H2211" t="s">
        <v>26</v>
      </c>
      <c r="I2211" t="s">
        <v>57</v>
      </c>
      <c r="Z2211" t="s">
        <v>32</v>
      </c>
    </row>
    <row r="2212" spans="1:26" x14ac:dyDescent="0.2">
      <c r="A2212" s="3">
        <v>42509</v>
      </c>
      <c r="B2212" t="s">
        <v>23</v>
      </c>
      <c r="C2212">
        <v>304</v>
      </c>
      <c r="D2212">
        <v>1</v>
      </c>
      <c r="E2212">
        <v>1</v>
      </c>
      <c r="F2212" t="s">
        <v>24</v>
      </c>
      <c r="G2212" t="s">
        <v>25</v>
      </c>
      <c r="H2212" t="s">
        <v>26</v>
      </c>
      <c r="I2212" t="s">
        <v>57</v>
      </c>
      <c r="Z2212" t="s">
        <v>32</v>
      </c>
    </row>
    <row r="2213" spans="1:26" x14ac:dyDescent="0.2">
      <c r="A2213" s="3">
        <v>42509</v>
      </c>
      <c r="B2213" t="s">
        <v>23</v>
      </c>
      <c r="C2213">
        <v>304</v>
      </c>
      <c r="D2213">
        <v>2</v>
      </c>
      <c r="E2213">
        <v>1</v>
      </c>
      <c r="F2213" t="s">
        <v>24</v>
      </c>
      <c r="G2213" t="s">
        <v>25</v>
      </c>
      <c r="H2213" t="s">
        <v>26</v>
      </c>
      <c r="I2213" t="s">
        <v>57</v>
      </c>
      <c r="Z2213" t="s">
        <v>32</v>
      </c>
    </row>
    <row r="2214" spans="1:26" x14ac:dyDescent="0.2">
      <c r="A2214" s="3">
        <v>42509</v>
      </c>
      <c r="B2214" t="s">
        <v>23</v>
      </c>
      <c r="C2214">
        <v>304</v>
      </c>
      <c r="D2214">
        <v>7</v>
      </c>
      <c r="E2214">
        <v>1</v>
      </c>
      <c r="F2214" t="s">
        <v>24</v>
      </c>
      <c r="G2214" t="s">
        <v>25</v>
      </c>
      <c r="H2214" t="s">
        <v>26</v>
      </c>
      <c r="I2214" t="s">
        <v>57</v>
      </c>
      <c r="Z2214" t="s">
        <v>32</v>
      </c>
    </row>
    <row r="2215" spans="1:26" x14ac:dyDescent="0.2">
      <c r="A2215" s="3">
        <v>42514</v>
      </c>
      <c r="B2215" t="s">
        <v>23</v>
      </c>
      <c r="C2215">
        <v>501</v>
      </c>
      <c r="D2215">
        <v>6</v>
      </c>
      <c r="E2215">
        <v>1</v>
      </c>
      <c r="F2215" t="s">
        <v>33</v>
      </c>
      <c r="G2215" t="s">
        <v>25</v>
      </c>
      <c r="H2215" t="s">
        <v>26</v>
      </c>
      <c r="I2215" t="s">
        <v>57</v>
      </c>
      <c r="Z2215" t="s">
        <v>32</v>
      </c>
    </row>
    <row r="2216" spans="1:26" x14ac:dyDescent="0.2">
      <c r="A2216" s="3">
        <v>42514</v>
      </c>
      <c r="B2216" t="s">
        <v>23</v>
      </c>
      <c r="C2216">
        <v>501</v>
      </c>
      <c r="D2216">
        <v>9</v>
      </c>
      <c r="E2216">
        <v>1</v>
      </c>
      <c r="F2216" t="s">
        <v>33</v>
      </c>
      <c r="G2216" t="s">
        <v>25</v>
      </c>
      <c r="H2216" t="s">
        <v>26</v>
      </c>
      <c r="I2216" t="s">
        <v>57</v>
      </c>
      <c r="Z2216" t="s">
        <v>32</v>
      </c>
    </row>
    <row r="2217" spans="1:26" x14ac:dyDescent="0.2">
      <c r="A2217" s="3">
        <v>42514</v>
      </c>
      <c r="B2217" t="s">
        <v>23</v>
      </c>
      <c r="C2217">
        <v>503</v>
      </c>
      <c r="D2217">
        <v>5</v>
      </c>
      <c r="E2217">
        <v>1</v>
      </c>
      <c r="F2217" t="s">
        <v>33</v>
      </c>
      <c r="G2217" t="s">
        <v>25</v>
      </c>
      <c r="H2217" t="s">
        <v>26</v>
      </c>
      <c r="I2217" t="s">
        <v>57</v>
      </c>
      <c r="Z2217" t="s">
        <v>32</v>
      </c>
    </row>
    <row r="2218" spans="1:26" x14ac:dyDescent="0.2">
      <c r="A2218" s="3">
        <v>42514</v>
      </c>
      <c r="B2218" t="s">
        <v>23</v>
      </c>
      <c r="C2218">
        <v>503</v>
      </c>
      <c r="D2218">
        <v>6</v>
      </c>
      <c r="E2218">
        <v>1</v>
      </c>
      <c r="F2218" t="s">
        <v>33</v>
      </c>
      <c r="G2218" t="s">
        <v>25</v>
      </c>
      <c r="H2218" t="s">
        <v>26</v>
      </c>
      <c r="I2218" t="s">
        <v>57</v>
      </c>
      <c r="Z2218" t="s">
        <v>32</v>
      </c>
    </row>
    <row r="2219" spans="1:26" x14ac:dyDescent="0.2">
      <c r="A2219" s="3">
        <v>42514</v>
      </c>
      <c r="B2219" t="s">
        <v>23</v>
      </c>
      <c r="C2219">
        <v>503</v>
      </c>
      <c r="D2219">
        <v>6</v>
      </c>
      <c r="E2219">
        <v>2</v>
      </c>
      <c r="F2219" t="s">
        <v>33</v>
      </c>
      <c r="G2219" t="s">
        <v>25</v>
      </c>
      <c r="H2219" t="s">
        <v>26</v>
      </c>
      <c r="I2219" t="s">
        <v>57</v>
      </c>
      <c r="Z2219" t="s">
        <v>32</v>
      </c>
    </row>
    <row r="2220" spans="1:26" x14ac:dyDescent="0.2">
      <c r="A2220" s="3">
        <v>42514</v>
      </c>
      <c r="B2220" t="s">
        <v>23</v>
      </c>
      <c r="C2220">
        <v>401</v>
      </c>
      <c r="D2220">
        <v>1</v>
      </c>
      <c r="E2220">
        <v>1</v>
      </c>
      <c r="F2220" t="s">
        <v>33</v>
      </c>
      <c r="G2220" t="s">
        <v>25</v>
      </c>
      <c r="H2220" t="s">
        <v>26</v>
      </c>
      <c r="I2220" t="s">
        <v>57</v>
      </c>
      <c r="Z2220" t="s">
        <v>32</v>
      </c>
    </row>
    <row r="2221" spans="1:26" x14ac:dyDescent="0.2">
      <c r="A2221" s="3">
        <v>42514</v>
      </c>
      <c r="B2221" t="s">
        <v>23</v>
      </c>
      <c r="C2221">
        <v>401</v>
      </c>
      <c r="D2221">
        <v>2</v>
      </c>
      <c r="E2221">
        <v>1</v>
      </c>
      <c r="F2221" t="s">
        <v>33</v>
      </c>
      <c r="G2221" t="s">
        <v>25</v>
      </c>
      <c r="H2221" t="s">
        <v>26</v>
      </c>
      <c r="I2221" t="s">
        <v>57</v>
      </c>
      <c r="Z2221" t="s">
        <v>32</v>
      </c>
    </row>
    <row r="2222" spans="1:26" x14ac:dyDescent="0.2">
      <c r="A2222" s="3">
        <v>42514</v>
      </c>
      <c r="B2222" t="s">
        <v>23</v>
      </c>
      <c r="C2222">
        <v>701</v>
      </c>
      <c r="D2222">
        <v>6</v>
      </c>
      <c r="E2222">
        <v>1</v>
      </c>
      <c r="F2222" t="s">
        <v>24</v>
      </c>
      <c r="G2222" t="s">
        <v>25</v>
      </c>
      <c r="H2222" t="s">
        <v>26</v>
      </c>
      <c r="I2222" t="s">
        <v>57</v>
      </c>
      <c r="Z2222" t="s">
        <v>32</v>
      </c>
    </row>
    <row r="2223" spans="1:26" x14ac:dyDescent="0.2">
      <c r="A2223" s="3">
        <v>42515</v>
      </c>
      <c r="B2223" t="s">
        <v>23</v>
      </c>
      <c r="C2223">
        <v>501</v>
      </c>
      <c r="D2223">
        <v>2</v>
      </c>
      <c r="E2223">
        <v>1</v>
      </c>
      <c r="F2223" t="s">
        <v>33</v>
      </c>
      <c r="G2223" t="s">
        <v>25</v>
      </c>
      <c r="H2223" t="s">
        <v>26</v>
      </c>
      <c r="I2223" t="s">
        <v>57</v>
      </c>
      <c r="Z2223" t="s">
        <v>32</v>
      </c>
    </row>
    <row r="2224" spans="1:26" x14ac:dyDescent="0.2">
      <c r="A2224" s="3">
        <v>42515</v>
      </c>
      <c r="B2224" t="s">
        <v>23</v>
      </c>
      <c r="C2224">
        <v>503</v>
      </c>
      <c r="D2224">
        <v>3</v>
      </c>
      <c r="E2224">
        <v>1</v>
      </c>
      <c r="F2224" t="s">
        <v>33</v>
      </c>
      <c r="G2224" t="s">
        <v>25</v>
      </c>
      <c r="H2224" t="s">
        <v>26</v>
      </c>
      <c r="I2224" t="s">
        <v>57</v>
      </c>
      <c r="Z2224" t="s">
        <v>32</v>
      </c>
    </row>
    <row r="2225" spans="1:26" x14ac:dyDescent="0.2">
      <c r="A2225" s="3">
        <v>42515</v>
      </c>
      <c r="B2225" t="s">
        <v>23</v>
      </c>
      <c r="C2225">
        <v>503</v>
      </c>
      <c r="D2225">
        <v>5</v>
      </c>
      <c r="E2225">
        <v>1</v>
      </c>
      <c r="F2225" t="s">
        <v>33</v>
      </c>
      <c r="G2225" t="s">
        <v>25</v>
      </c>
      <c r="H2225" t="s">
        <v>26</v>
      </c>
      <c r="I2225" t="s">
        <v>57</v>
      </c>
      <c r="Z2225" t="s">
        <v>32</v>
      </c>
    </row>
    <row r="2226" spans="1:26" x14ac:dyDescent="0.2">
      <c r="A2226" s="3">
        <v>42515</v>
      </c>
      <c r="B2226" t="s">
        <v>23</v>
      </c>
      <c r="C2226">
        <v>503</v>
      </c>
      <c r="D2226">
        <v>5</v>
      </c>
      <c r="E2226">
        <v>2</v>
      </c>
      <c r="F2226" t="s">
        <v>33</v>
      </c>
      <c r="G2226" t="s">
        <v>25</v>
      </c>
      <c r="H2226" t="s">
        <v>26</v>
      </c>
      <c r="I2226" t="s">
        <v>57</v>
      </c>
      <c r="Z2226" t="s">
        <v>32</v>
      </c>
    </row>
    <row r="2227" spans="1:26" x14ac:dyDescent="0.2">
      <c r="A2227" s="3">
        <v>42515</v>
      </c>
      <c r="B2227" t="s">
        <v>23</v>
      </c>
      <c r="C2227">
        <v>503</v>
      </c>
      <c r="D2227">
        <v>6</v>
      </c>
      <c r="E2227">
        <v>1</v>
      </c>
      <c r="F2227" t="s">
        <v>33</v>
      </c>
      <c r="G2227" t="s">
        <v>25</v>
      </c>
      <c r="H2227" t="s">
        <v>26</v>
      </c>
      <c r="I2227" t="s">
        <v>57</v>
      </c>
      <c r="Z2227" t="s">
        <v>32</v>
      </c>
    </row>
    <row r="2228" spans="1:26" x14ac:dyDescent="0.2">
      <c r="A2228" s="3">
        <v>42515</v>
      </c>
      <c r="B2228" t="s">
        <v>23</v>
      </c>
      <c r="C2228">
        <v>503</v>
      </c>
      <c r="D2228">
        <v>10</v>
      </c>
      <c r="E2228">
        <v>1</v>
      </c>
      <c r="F2228" t="s">
        <v>33</v>
      </c>
      <c r="G2228" t="s">
        <v>25</v>
      </c>
      <c r="H2228" t="s">
        <v>26</v>
      </c>
      <c r="I2228" t="s">
        <v>57</v>
      </c>
      <c r="Z2228" t="s">
        <v>32</v>
      </c>
    </row>
    <row r="2229" spans="1:26" x14ac:dyDescent="0.2">
      <c r="A2229" s="3">
        <v>42515</v>
      </c>
      <c r="B2229" t="s">
        <v>23</v>
      </c>
      <c r="C2229">
        <v>303</v>
      </c>
      <c r="D2229">
        <v>10</v>
      </c>
      <c r="E2229">
        <v>1</v>
      </c>
      <c r="F2229" t="s">
        <v>33</v>
      </c>
      <c r="G2229" t="s">
        <v>25</v>
      </c>
      <c r="H2229" t="s">
        <v>26</v>
      </c>
      <c r="I2229" t="s">
        <v>57</v>
      </c>
      <c r="Z2229" t="s">
        <v>32</v>
      </c>
    </row>
    <row r="2230" spans="1:26" x14ac:dyDescent="0.2">
      <c r="A2230" s="3">
        <v>42515</v>
      </c>
      <c r="B2230" t="s">
        <v>23</v>
      </c>
      <c r="C2230">
        <v>303</v>
      </c>
      <c r="D2230">
        <v>10</v>
      </c>
      <c r="E2230">
        <v>2</v>
      </c>
      <c r="F2230" t="s">
        <v>33</v>
      </c>
      <c r="G2230" t="s">
        <v>25</v>
      </c>
      <c r="H2230" t="s">
        <v>26</v>
      </c>
      <c r="I2230" t="s">
        <v>57</v>
      </c>
      <c r="Z2230" t="s">
        <v>32</v>
      </c>
    </row>
    <row r="2231" spans="1:26" x14ac:dyDescent="0.2">
      <c r="A2231" s="3">
        <v>42515</v>
      </c>
      <c r="B2231" t="s">
        <v>23</v>
      </c>
      <c r="C2231">
        <v>401</v>
      </c>
      <c r="D2231">
        <v>10</v>
      </c>
      <c r="E2231">
        <v>1</v>
      </c>
      <c r="F2231" t="s">
        <v>33</v>
      </c>
      <c r="G2231" t="s">
        <v>25</v>
      </c>
      <c r="H2231" t="s">
        <v>26</v>
      </c>
      <c r="I2231" t="s">
        <v>57</v>
      </c>
      <c r="Z2231" t="s">
        <v>32</v>
      </c>
    </row>
    <row r="2232" spans="1:26" x14ac:dyDescent="0.2">
      <c r="A2232" s="3">
        <v>42515</v>
      </c>
      <c r="B2232" t="s">
        <v>23</v>
      </c>
      <c r="C2232">
        <v>703</v>
      </c>
      <c r="D2232">
        <v>4</v>
      </c>
      <c r="E2232">
        <v>1</v>
      </c>
      <c r="F2232" t="s">
        <v>24</v>
      </c>
      <c r="G2232" t="s">
        <v>25</v>
      </c>
      <c r="H2232" t="s">
        <v>26</v>
      </c>
      <c r="I2232" t="s">
        <v>57</v>
      </c>
      <c r="Z2232" t="s">
        <v>32</v>
      </c>
    </row>
    <row r="2233" spans="1:26" x14ac:dyDescent="0.2">
      <c r="A2233" s="3">
        <v>42515</v>
      </c>
      <c r="B2233" t="s">
        <v>23</v>
      </c>
      <c r="C2233">
        <v>703</v>
      </c>
      <c r="D2233">
        <v>8</v>
      </c>
      <c r="E2233">
        <v>1</v>
      </c>
      <c r="F2233" t="s">
        <v>24</v>
      </c>
      <c r="G2233" t="s">
        <v>25</v>
      </c>
      <c r="H2233" t="s">
        <v>26</v>
      </c>
      <c r="I2233" t="s">
        <v>57</v>
      </c>
      <c r="Z2233" t="s">
        <v>32</v>
      </c>
    </row>
    <row r="2234" spans="1:26" x14ac:dyDescent="0.2">
      <c r="A2234" s="3">
        <v>42515</v>
      </c>
      <c r="B2234" t="s">
        <v>23</v>
      </c>
      <c r="C2234">
        <v>703</v>
      </c>
      <c r="D2234">
        <v>9</v>
      </c>
      <c r="E2234">
        <v>1</v>
      </c>
      <c r="F2234" t="s">
        <v>24</v>
      </c>
      <c r="G2234" t="s">
        <v>25</v>
      </c>
      <c r="H2234" t="s">
        <v>26</v>
      </c>
      <c r="I2234" t="s">
        <v>57</v>
      </c>
      <c r="Z2234" t="s">
        <v>32</v>
      </c>
    </row>
    <row r="2235" spans="1:26" x14ac:dyDescent="0.2">
      <c r="A2235" s="3">
        <v>42515</v>
      </c>
      <c r="B2235" t="s">
        <v>23</v>
      </c>
      <c r="C2235">
        <v>901</v>
      </c>
      <c r="D2235">
        <v>1</v>
      </c>
      <c r="E2235">
        <v>1</v>
      </c>
      <c r="F2235" t="s">
        <v>24</v>
      </c>
      <c r="G2235" t="s">
        <v>25</v>
      </c>
      <c r="H2235" t="s">
        <v>26</v>
      </c>
      <c r="I2235" t="s">
        <v>57</v>
      </c>
      <c r="Z2235" t="s">
        <v>32</v>
      </c>
    </row>
    <row r="2236" spans="1:26" x14ac:dyDescent="0.2">
      <c r="A2236" s="3">
        <v>42515</v>
      </c>
      <c r="B2236" t="s">
        <v>23</v>
      </c>
      <c r="C2236">
        <v>901</v>
      </c>
      <c r="D2236">
        <v>1</v>
      </c>
      <c r="E2236">
        <v>2</v>
      </c>
      <c r="F2236" t="s">
        <v>24</v>
      </c>
      <c r="G2236" t="s">
        <v>25</v>
      </c>
      <c r="H2236" t="s">
        <v>26</v>
      </c>
      <c r="I2236" t="s">
        <v>57</v>
      </c>
      <c r="Z2236" t="s">
        <v>32</v>
      </c>
    </row>
    <row r="2237" spans="1:26" x14ac:dyDescent="0.2">
      <c r="A2237" s="3">
        <v>42515</v>
      </c>
      <c r="B2237" t="s">
        <v>23</v>
      </c>
      <c r="C2237">
        <v>901</v>
      </c>
      <c r="D2237">
        <v>10</v>
      </c>
      <c r="E2237">
        <v>1</v>
      </c>
      <c r="F2237" t="s">
        <v>24</v>
      </c>
      <c r="G2237" t="s">
        <v>25</v>
      </c>
      <c r="H2237" t="s">
        <v>26</v>
      </c>
      <c r="I2237" t="s">
        <v>57</v>
      </c>
      <c r="Z2237" t="s">
        <v>32</v>
      </c>
    </row>
    <row r="2238" spans="1:26" x14ac:dyDescent="0.2">
      <c r="A2238" s="3">
        <v>42516</v>
      </c>
      <c r="B2238" t="s">
        <v>23</v>
      </c>
      <c r="C2238">
        <v>501</v>
      </c>
      <c r="D2238">
        <v>8</v>
      </c>
      <c r="E2238">
        <v>1</v>
      </c>
      <c r="F2238" t="s">
        <v>33</v>
      </c>
      <c r="G2238" t="s">
        <v>25</v>
      </c>
      <c r="H2238" t="s">
        <v>26</v>
      </c>
      <c r="I2238" t="s">
        <v>57</v>
      </c>
      <c r="Z2238" t="s">
        <v>32</v>
      </c>
    </row>
    <row r="2239" spans="1:26" x14ac:dyDescent="0.2">
      <c r="A2239" s="3">
        <v>42516</v>
      </c>
      <c r="B2239" t="s">
        <v>23</v>
      </c>
      <c r="C2239">
        <v>501</v>
      </c>
      <c r="D2239">
        <v>10</v>
      </c>
      <c r="E2239">
        <v>1</v>
      </c>
      <c r="F2239" t="s">
        <v>33</v>
      </c>
      <c r="G2239" t="s">
        <v>25</v>
      </c>
      <c r="H2239" t="s">
        <v>26</v>
      </c>
      <c r="I2239" t="s">
        <v>57</v>
      </c>
      <c r="Z2239" t="s">
        <v>32</v>
      </c>
    </row>
    <row r="2240" spans="1:26" x14ac:dyDescent="0.2">
      <c r="A2240" s="3">
        <v>42516</v>
      </c>
      <c r="B2240" t="s">
        <v>23</v>
      </c>
      <c r="C2240">
        <v>303</v>
      </c>
      <c r="D2240">
        <v>9</v>
      </c>
      <c r="E2240">
        <v>1</v>
      </c>
      <c r="F2240" t="s">
        <v>33</v>
      </c>
      <c r="G2240" t="s">
        <v>25</v>
      </c>
      <c r="H2240" t="s">
        <v>26</v>
      </c>
      <c r="I2240" t="s">
        <v>57</v>
      </c>
      <c r="Z2240" t="s">
        <v>32</v>
      </c>
    </row>
    <row r="2241" spans="1:26" x14ac:dyDescent="0.2">
      <c r="A2241" s="3">
        <v>42516</v>
      </c>
      <c r="B2241" t="s">
        <v>23</v>
      </c>
      <c r="C2241">
        <v>703</v>
      </c>
      <c r="D2241">
        <v>3</v>
      </c>
      <c r="E2241">
        <v>1</v>
      </c>
      <c r="F2241" t="s">
        <v>24</v>
      </c>
      <c r="G2241" t="s">
        <v>25</v>
      </c>
      <c r="H2241" t="s">
        <v>26</v>
      </c>
      <c r="I2241" t="s">
        <v>57</v>
      </c>
      <c r="Z2241" t="s">
        <v>32</v>
      </c>
    </row>
    <row r="2242" spans="1:26" x14ac:dyDescent="0.2">
      <c r="A2242" s="3">
        <v>42516</v>
      </c>
      <c r="B2242" t="s">
        <v>23</v>
      </c>
      <c r="C2242">
        <v>703</v>
      </c>
      <c r="D2242">
        <v>4</v>
      </c>
      <c r="E2242">
        <v>1</v>
      </c>
      <c r="F2242" t="s">
        <v>24</v>
      </c>
      <c r="G2242" t="s">
        <v>25</v>
      </c>
      <c r="H2242" t="s">
        <v>26</v>
      </c>
      <c r="I2242" t="s">
        <v>57</v>
      </c>
      <c r="Z2242" t="s">
        <v>32</v>
      </c>
    </row>
    <row r="2243" spans="1:26" x14ac:dyDescent="0.2">
      <c r="A2243" s="3">
        <v>42516</v>
      </c>
      <c r="B2243" t="s">
        <v>23</v>
      </c>
      <c r="C2243">
        <v>703</v>
      </c>
      <c r="D2243">
        <v>5</v>
      </c>
      <c r="E2243">
        <v>1</v>
      </c>
      <c r="F2243" t="s">
        <v>24</v>
      </c>
      <c r="G2243" t="s">
        <v>25</v>
      </c>
      <c r="H2243" t="s">
        <v>26</v>
      </c>
      <c r="I2243" t="s">
        <v>57</v>
      </c>
      <c r="Z2243" t="s">
        <v>32</v>
      </c>
    </row>
    <row r="2244" spans="1:26" x14ac:dyDescent="0.2">
      <c r="A2244" s="3">
        <v>42516</v>
      </c>
      <c r="B2244" t="s">
        <v>23</v>
      </c>
      <c r="C2244">
        <v>703</v>
      </c>
      <c r="D2244">
        <v>6</v>
      </c>
      <c r="E2244">
        <v>1</v>
      </c>
      <c r="F2244" t="s">
        <v>24</v>
      </c>
      <c r="G2244" t="s">
        <v>25</v>
      </c>
      <c r="H2244" t="s">
        <v>26</v>
      </c>
      <c r="I2244" t="s">
        <v>57</v>
      </c>
      <c r="Z2244" t="s">
        <v>32</v>
      </c>
    </row>
    <row r="2245" spans="1:26" x14ac:dyDescent="0.2">
      <c r="A2245" s="3">
        <v>42516</v>
      </c>
      <c r="B2245" t="s">
        <v>23</v>
      </c>
      <c r="C2245">
        <v>703</v>
      </c>
      <c r="D2245">
        <v>8</v>
      </c>
      <c r="E2245">
        <v>1</v>
      </c>
      <c r="F2245" t="s">
        <v>24</v>
      </c>
      <c r="G2245" t="s">
        <v>25</v>
      </c>
      <c r="H2245" t="s">
        <v>26</v>
      </c>
      <c r="I2245" t="s">
        <v>57</v>
      </c>
      <c r="Z2245" t="s">
        <v>32</v>
      </c>
    </row>
    <row r="2246" spans="1:26" x14ac:dyDescent="0.2">
      <c r="A2246" s="3">
        <v>42516</v>
      </c>
      <c r="B2246" t="s">
        <v>23</v>
      </c>
      <c r="C2246">
        <v>801</v>
      </c>
      <c r="D2246">
        <v>6</v>
      </c>
      <c r="E2246">
        <v>1</v>
      </c>
      <c r="F2246" t="s">
        <v>24</v>
      </c>
      <c r="G2246" t="s">
        <v>25</v>
      </c>
      <c r="H2246" t="s">
        <v>26</v>
      </c>
      <c r="I2246" t="s">
        <v>57</v>
      </c>
      <c r="Z2246" t="s">
        <v>32</v>
      </c>
    </row>
    <row r="2247" spans="1:26" x14ac:dyDescent="0.2">
      <c r="A2247" s="3">
        <v>42516</v>
      </c>
      <c r="B2247" t="s">
        <v>23</v>
      </c>
      <c r="C2247">
        <v>801</v>
      </c>
      <c r="D2247">
        <v>10</v>
      </c>
      <c r="E2247">
        <v>1</v>
      </c>
      <c r="F2247" t="s">
        <v>24</v>
      </c>
      <c r="G2247" t="s">
        <v>25</v>
      </c>
      <c r="H2247" t="s">
        <v>26</v>
      </c>
      <c r="I2247" t="s">
        <v>57</v>
      </c>
      <c r="Z2247" t="s">
        <v>32</v>
      </c>
    </row>
    <row r="2248" spans="1:26" x14ac:dyDescent="0.2">
      <c r="A2248" s="3">
        <v>42528</v>
      </c>
      <c r="B2248" t="s">
        <v>23</v>
      </c>
      <c r="C2248">
        <v>201</v>
      </c>
      <c r="D2248">
        <v>3</v>
      </c>
      <c r="E2248">
        <v>1</v>
      </c>
      <c r="F2248" t="s">
        <v>24</v>
      </c>
      <c r="G2248" t="s">
        <v>25</v>
      </c>
      <c r="H2248" t="s">
        <v>26</v>
      </c>
      <c r="I2248" t="s">
        <v>57</v>
      </c>
      <c r="Z2248" t="s">
        <v>32</v>
      </c>
    </row>
    <row r="2249" spans="1:26" x14ac:dyDescent="0.2">
      <c r="A2249" s="3">
        <v>42528</v>
      </c>
      <c r="B2249" t="s">
        <v>23</v>
      </c>
      <c r="C2249">
        <v>201</v>
      </c>
      <c r="D2249">
        <v>8</v>
      </c>
      <c r="E2249">
        <v>1</v>
      </c>
      <c r="F2249" t="s">
        <v>24</v>
      </c>
      <c r="G2249" t="s">
        <v>25</v>
      </c>
      <c r="H2249" t="s">
        <v>26</v>
      </c>
      <c r="I2249" t="s">
        <v>57</v>
      </c>
      <c r="Z2249" t="s">
        <v>32</v>
      </c>
    </row>
    <row r="2250" spans="1:26" x14ac:dyDescent="0.2">
      <c r="A2250" s="3">
        <v>42528</v>
      </c>
      <c r="B2250" t="s">
        <v>23</v>
      </c>
      <c r="C2250">
        <v>203</v>
      </c>
      <c r="D2250">
        <v>2</v>
      </c>
      <c r="E2250">
        <v>1</v>
      </c>
      <c r="F2250" t="s">
        <v>24</v>
      </c>
      <c r="G2250" t="s">
        <v>25</v>
      </c>
      <c r="H2250" t="s">
        <v>26</v>
      </c>
      <c r="I2250" t="s">
        <v>57</v>
      </c>
      <c r="Z2250" t="s">
        <v>32</v>
      </c>
    </row>
    <row r="2251" spans="1:26" x14ac:dyDescent="0.2">
      <c r="A2251" s="3">
        <v>42528</v>
      </c>
      <c r="B2251" t="s">
        <v>23</v>
      </c>
      <c r="C2251">
        <v>203</v>
      </c>
      <c r="D2251">
        <v>3</v>
      </c>
      <c r="E2251">
        <v>1</v>
      </c>
      <c r="F2251" t="s">
        <v>24</v>
      </c>
      <c r="G2251" t="s">
        <v>25</v>
      </c>
      <c r="H2251" t="s">
        <v>26</v>
      </c>
      <c r="I2251" t="s">
        <v>57</v>
      </c>
      <c r="Z2251" t="s">
        <v>32</v>
      </c>
    </row>
    <row r="2252" spans="1:26" x14ac:dyDescent="0.2">
      <c r="A2252" s="3">
        <v>42528</v>
      </c>
      <c r="B2252" t="s">
        <v>23</v>
      </c>
      <c r="C2252">
        <v>203</v>
      </c>
      <c r="D2252">
        <v>3</v>
      </c>
      <c r="E2252">
        <v>2</v>
      </c>
      <c r="F2252" t="s">
        <v>24</v>
      </c>
      <c r="G2252" t="s">
        <v>25</v>
      </c>
      <c r="H2252" t="s">
        <v>26</v>
      </c>
      <c r="I2252" t="s">
        <v>57</v>
      </c>
      <c r="Z2252" t="s">
        <v>32</v>
      </c>
    </row>
    <row r="2253" spans="1:26" x14ac:dyDescent="0.2">
      <c r="A2253" s="3">
        <v>42528</v>
      </c>
      <c r="B2253" t="s">
        <v>23</v>
      </c>
      <c r="C2253">
        <v>203</v>
      </c>
      <c r="D2253">
        <v>9</v>
      </c>
      <c r="E2253">
        <v>1</v>
      </c>
      <c r="F2253" t="s">
        <v>24</v>
      </c>
      <c r="G2253" t="s">
        <v>25</v>
      </c>
      <c r="H2253" t="s">
        <v>26</v>
      </c>
      <c r="I2253" t="s">
        <v>57</v>
      </c>
      <c r="Z2253" t="s">
        <v>32</v>
      </c>
    </row>
    <row r="2254" spans="1:26" x14ac:dyDescent="0.2">
      <c r="A2254" s="3">
        <v>42528</v>
      </c>
      <c r="B2254" t="s">
        <v>23</v>
      </c>
      <c r="C2254">
        <v>202</v>
      </c>
      <c r="D2254">
        <v>3</v>
      </c>
      <c r="E2254">
        <v>1</v>
      </c>
      <c r="F2254" t="s">
        <v>24</v>
      </c>
      <c r="G2254" t="s">
        <v>25</v>
      </c>
      <c r="H2254" t="s">
        <v>26</v>
      </c>
      <c r="I2254" t="s">
        <v>57</v>
      </c>
      <c r="Z2254" t="s">
        <v>32</v>
      </c>
    </row>
    <row r="2255" spans="1:26" x14ac:dyDescent="0.2">
      <c r="A2255" s="3">
        <v>42528</v>
      </c>
      <c r="B2255" t="s">
        <v>23</v>
      </c>
      <c r="C2255">
        <v>202</v>
      </c>
      <c r="D2255">
        <v>3</v>
      </c>
      <c r="E2255">
        <v>2</v>
      </c>
      <c r="F2255" t="s">
        <v>24</v>
      </c>
      <c r="G2255" t="s">
        <v>25</v>
      </c>
      <c r="H2255" t="s">
        <v>26</v>
      </c>
      <c r="I2255" t="s">
        <v>57</v>
      </c>
      <c r="Z2255" t="s">
        <v>32</v>
      </c>
    </row>
    <row r="2256" spans="1:26" x14ac:dyDescent="0.2">
      <c r="A2256" s="3">
        <v>42528</v>
      </c>
      <c r="B2256" t="s">
        <v>23</v>
      </c>
      <c r="C2256">
        <v>304</v>
      </c>
      <c r="D2256">
        <v>4</v>
      </c>
      <c r="E2256">
        <v>1</v>
      </c>
      <c r="F2256" t="s">
        <v>24</v>
      </c>
      <c r="G2256" t="s">
        <v>25</v>
      </c>
      <c r="H2256" t="s">
        <v>26</v>
      </c>
      <c r="I2256" t="s">
        <v>57</v>
      </c>
      <c r="Z2256" t="s">
        <v>32</v>
      </c>
    </row>
    <row r="2257" spans="1:26" x14ac:dyDescent="0.2">
      <c r="A2257" s="3">
        <v>42528</v>
      </c>
      <c r="B2257" t="s">
        <v>23</v>
      </c>
      <c r="C2257">
        <v>111</v>
      </c>
      <c r="D2257">
        <v>9</v>
      </c>
      <c r="E2257">
        <v>1</v>
      </c>
      <c r="F2257" t="s">
        <v>33</v>
      </c>
      <c r="G2257" t="s">
        <v>25</v>
      </c>
      <c r="H2257" t="s">
        <v>26</v>
      </c>
      <c r="I2257" t="s">
        <v>57</v>
      </c>
      <c r="Z2257" t="s">
        <v>32</v>
      </c>
    </row>
    <row r="2258" spans="1:26" x14ac:dyDescent="0.2">
      <c r="A2258" s="3">
        <v>42528</v>
      </c>
      <c r="B2258" t="s">
        <v>23</v>
      </c>
      <c r="C2258">
        <v>112</v>
      </c>
      <c r="D2258">
        <v>1</v>
      </c>
      <c r="E2258">
        <v>1</v>
      </c>
      <c r="F2258" t="s">
        <v>33</v>
      </c>
      <c r="G2258" t="s">
        <v>25</v>
      </c>
      <c r="H2258" t="s">
        <v>26</v>
      </c>
      <c r="I2258" t="s">
        <v>57</v>
      </c>
      <c r="Z2258" t="s">
        <v>32</v>
      </c>
    </row>
    <row r="2259" spans="1:26" x14ac:dyDescent="0.2">
      <c r="A2259" s="3">
        <v>42528</v>
      </c>
      <c r="B2259" t="s">
        <v>23</v>
      </c>
      <c r="C2259">
        <v>112</v>
      </c>
      <c r="D2259">
        <v>2</v>
      </c>
      <c r="E2259">
        <v>1</v>
      </c>
      <c r="F2259" t="s">
        <v>33</v>
      </c>
      <c r="G2259" t="s">
        <v>25</v>
      </c>
      <c r="H2259" t="s">
        <v>26</v>
      </c>
      <c r="I2259" t="s">
        <v>57</v>
      </c>
      <c r="Z2259" t="s">
        <v>32</v>
      </c>
    </row>
    <row r="2260" spans="1:26" x14ac:dyDescent="0.2">
      <c r="A2260" s="3">
        <v>42528</v>
      </c>
      <c r="B2260" t="s">
        <v>23</v>
      </c>
      <c r="C2260">
        <v>112</v>
      </c>
      <c r="D2260">
        <v>5</v>
      </c>
      <c r="E2260">
        <v>1</v>
      </c>
      <c r="F2260" t="s">
        <v>33</v>
      </c>
      <c r="G2260" t="s">
        <v>25</v>
      </c>
      <c r="H2260" t="s">
        <v>26</v>
      </c>
      <c r="I2260" t="s">
        <v>57</v>
      </c>
      <c r="Z2260" t="s">
        <v>32</v>
      </c>
    </row>
    <row r="2261" spans="1:26" x14ac:dyDescent="0.2">
      <c r="A2261" s="3">
        <v>42528</v>
      </c>
      <c r="B2261" t="s">
        <v>23</v>
      </c>
      <c r="C2261">
        <v>112</v>
      </c>
      <c r="D2261">
        <v>7</v>
      </c>
      <c r="E2261">
        <v>1</v>
      </c>
      <c r="F2261" t="s">
        <v>33</v>
      </c>
      <c r="G2261" t="s">
        <v>25</v>
      </c>
      <c r="H2261" t="s">
        <v>26</v>
      </c>
      <c r="I2261" t="s">
        <v>57</v>
      </c>
      <c r="Z2261" t="s">
        <v>32</v>
      </c>
    </row>
    <row r="2262" spans="1:26" x14ac:dyDescent="0.2">
      <c r="A2262" s="3">
        <v>42529</v>
      </c>
      <c r="B2262" t="s">
        <v>23</v>
      </c>
      <c r="C2262">
        <v>111</v>
      </c>
      <c r="D2262">
        <v>8</v>
      </c>
      <c r="E2262">
        <v>1</v>
      </c>
      <c r="F2262" t="s">
        <v>33</v>
      </c>
      <c r="G2262" t="s">
        <v>25</v>
      </c>
      <c r="H2262" t="s">
        <v>26</v>
      </c>
      <c r="I2262" t="s">
        <v>57</v>
      </c>
      <c r="Z2262" t="s">
        <v>32</v>
      </c>
    </row>
    <row r="2263" spans="1:26" x14ac:dyDescent="0.2">
      <c r="A2263" s="3">
        <v>42529</v>
      </c>
      <c r="B2263" t="s">
        <v>23</v>
      </c>
      <c r="C2263">
        <v>112</v>
      </c>
      <c r="D2263">
        <v>2</v>
      </c>
      <c r="E2263">
        <v>1</v>
      </c>
      <c r="F2263" t="s">
        <v>33</v>
      </c>
      <c r="G2263" t="s">
        <v>25</v>
      </c>
      <c r="H2263" t="s">
        <v>26</v>
      </c>
      <c r="I2263" t="s">
        <v>57</v>
      </c>
      <c r="Z2263" t="s">
        <v>32</v>
      </c>
    </row>
    <row r="2264" spans="1:26" x14ac:dyDescent="0.2">
      <c r="A2264" s="3">
        <v>42529</v>
      </c>
      <c r="B2264" t="s">
        <v>23</v>
      </c>
      <c r="C2264">
        <v>112</v>
      </c>
      <c r="D2264">
        <v>3</v>
      </c>
      <c r="E2264">
        <v>1</v>
      </c>
      <c r="F2264" t="s">
        <v>33</v>
      </c>
      <c r="G2264" t="s">
        <v>25</v>
      </c>
      <c r="H2264" t="s">
        <v>26</v>
      </c>
      <c r="I2264" t="s">
        <v>57</v>
      </c>
      <c r="Z2264" t="s">
        <v>32</v>
      </c>
    </row>
    <row r="2265" spans="1:26" x14ac:dyDescent="0.2">
      <c r="A2265" s="3">
        <v>42529</v>
      </c>
      <c r="B2265" t="s">
        <v>23</v>
      </c>
      <c r="C2265">
        <v>112</v>
      </c>
      <c r="D2265">
        <v>4</v>
      </c>
      <c r="E2265">
        <v>1</v>
      </c>
      <c r="F2265" t="s">
        <v>33</v>
      </c>
      <c r="G2265" t="s">
        <v>25</v>
      </c>
      <c r="H2265" t="s">
        <v>26</v>
      </c>
      <c r="I2265" t="s">
        <v>57</v>
      </c>
      <c r="Z2265" t="s">
        <v>32</v>
      </c>
    </row>
    <row r="2266" spans="1:26" x14ac:dyDescent="0.2">
      <c r="A2266" s="3">
        <v>42529</v>
      </c>
      <c r="B2266" t="s">
        <v>23</v>
      </c>
      <c r="C2266">
        <v>112</v>
      </c>
      <c r="D2266">
        <v>4</v>
      </c>
      <c r="E2266">
        <v>2</v>
      </c>
      <c r="F2266" t="s">
        <v>33</v>
      </c>
      <c r="G2266" t="s">
        <v>25</v>
      </c>
      <c r="H2266" t="s">
        <v>26</v>
      </c>
      <c r="I2266" t="s">
        <v>57</v>
      </c>
      <c r="Z2266" t="s">
        <v>32</v>
      </c>
    </row>
    <row r="2267" spans="1:26" x14ac:dyDescent="0.2">
      <c r="A2267" s="3">
        <v>42529</v>
      </c>
      <c r="B2267" t="s">
        <v>23</v>
      </c>
      <c r="C2267">
        <v>113</v>
      </c>
      <c r="D2267">
        <v>1</v>
      </c>
      <c r="E2267">
        <v>1</v>
      </c>
      <c r="F2267" t="s">
        <v>33</v>
      </c>
      <c r="G2267" t="s">
        <v>25</v>
      </c>
      <c r="H2267" t="s">
        <v>26</v>
      </c>
      <c r="I2267" t="s">
        <v>57</v>
      </c>
      <c r="Z2267" t="s">
        <v>32</v>
      </c>
    </row>
    <row r="2268" spans="1:26" x14ac:dyDescent="0.2">
      <c r="A2268" s="3">
        <v>42529</v>
      </c>
      <c r="B2268" t="s">
        <v>23</v>
      </c>
      <c r="C2268">
        <v>113</v>
      </c>
      <c r="D2268">
        <v>8</v>
      </c>
      <c r="E2268">
        <v>1</v>
      </c>
      <c r="F2268" t="s">
        <v>33</v>
      </c>
      <c r="G2268" t="s">
        <v>25</v>
      </c>
      <c r="H2268" t="s">
        <v>26</v>
      </c>
      <c r="I2268" t="s">
        <v>57</v>
      </c>
      <c r="Z2268" t="s">
        <v>32</v>
      </c>
    </row>
    <row r="2269" spans="1:26" x14ac:dyDescent="0.2">
      <c r="A2269" s="3">
        <v>42529</v>
      </c>
      <c r="B2269" t="s">
        <v>23</v>
      </c>
      <c r="C2269">
        <v>113</v>
      </c>
      <c r="D2269">
        <v>8</v>
      </c>
      <c r="E2269">
        <v>2</v>
      </c>
      <c r="F2269" t="s">
        <v>33</v>
      </c>
      <c r="G2269" t="s">
        <v>25</v>
      </c>
      <c r="H2269" t="s">
        <v>26</v>
      </c>
      <c r="I2269" t="s">
        <v>57</v>
      </c>
      <c r="Z2269" t="s">
        <v>32</v>
      </c>
    </row>
    <row r="2270" spans="1:26" x14ac:dyDescent="0.2">
      <c r="A2270" s="3">
        <v>42529</v>
      </c>
      <c r="B2270" t="s">
        <v>23</v>
      </c>
      <c r="C2270">
        <v>113</v>
      </c>
      <c r="D2270">
        <v>9</v>
      </c>
      <c r="E2270">
        <v>1</v>
      </c>
      <c r="F2270" t="s">
        <v>33</v>
      </c>
      <c r="G2270" t="s">
        <v>25</v>
      </c>
      <c r="H2270" t="s">
        <v>26</v>
      </c>
      <c r="I2270" t="s">
        <v>57</v>
      </c>
      <c r="Z2270" t="s">
        <v>32</v>
      </c>
    </row>
    <row r="2271" spans="1:26" x14ac:dyDescent="0.2">
      <c r="A2271" s="3">
        <v>42529</v>
      </c>
      <c r="B2271" t="s">
        <v>23</v>
      </c>
      <c r="C2271">
        <v>402</v>
      </c>
      <c r="D2271">
        <v>3</v>
      </c>
      <c r="E2271">
        <v>1</v>
      </c>
      <c r="F2271" t="s">
        <v>33</v>
      </c>
      <c r="G2271" t="s">
        <v>25</v>
      </c>
      <c r="H2271" t="s">
        <v>26</v>
      </c>
      <c r="I2271" t="s">
        <v>57</v>
      </c>
      <c r="Z2271" t="s">
        <v>32</v>
      </c>
    </row>
    <row r="2272" spans="1:26" x14ac:dyDescent="0.2">
      <c r="A2272" s="3">
        <v>42529</v>
      </c>
      <c r="B2272" t="s">
        <v>23</v>
      </c>
      <c r="C2272">
        <v>402</v>
      </c>
      <c r="D2272">
        <v>3</v>
      </c>
      <c r="E2272">
        <v>2</v>
      </c>
      <c r="F2272" t="s">
        <v>33</v>
      </c>
      <c r="G2272" t="s">
        <v>25</v>
      </c>
      <c r="H2272" t="s">
        <v>26</v>
      </c>
      <c r="I2272" t="s">
        <v>57</v>
      </c>
      <c r="Z2272" t="s">
        <v>32</v>
      </c>
    </row>
    <row r="2273" spans="1:26" x14ac:dyDescent="0.2">
      <c r="A2273" s="3">
        <v>42529</v>
      </c>
      <c r="B2273" t="s">
        <v>23</v>
      </c>
      <c r="C2273">
        <v>402</v>
      </c>
      <c r="D2273">
        <v>4</v>
      </c>
      <c r="E2273">
        <v>1</v>
      </c>
      <c r="F2273" t="s">
        <v>33</v>
      </c>
      <c r="G2273" t="s">
        <v>25</v>
      </c>
      <c r="H2273" t="s">
        <v>26</v>
      </c>
      <c r="I2273" t="s">
        <v>57</v>
      </c>
      <c r="Z2273" t="s">
        <v>32</v>
      </c>
    </row>
    <row r="2274" spans="1:26" x14ac:dyDescent="0.2">
      <c r="A2274" s="3">
        <v>42529</v>
      </c>
      <c r="B2274" t="s">
        <v>23</v>
      </c>
      <c r="C2274">
        <v>402</v>
      </c>
      <c r="D2274">
        <v>7</v>
      </c>
      <c r="E2274">
        <v>1</v>
      </c>
      <c r="F2274" t="s">
        <v>33</v>
      </c>
      <c r="G2274" t="s">
        <v>25</v>
      </c>
      <c r="H2274" t="s">
        <v>26</v>
      </c>
      <c r="I2274" t="s">
        <v>57</v>
      </c>
      <c r="Z2274" t="s">
        <v>32</v>
      </c>
    </row>
    <row r="2275" spans="1:26" x14ac:dyDescent="0.2">
      <c r="A2275" s="3">
        <v>42529</v>
      </c>
      <c r="B2275" t="s">
        <v>23</v>
      </c>
      <c r="C2275">
        <v>304</v>
      </c>
      <c r="D2275">
        <v>8</v>
      </c>
      <c r="E2275">
        <v>1</v>
      </c>
      <c r="F2275" t="s">
        <v>33</v>
      </c>
      <c r="G2275" t="s">
        <v>25</v>
      </c>
      <c r="H2275" t="s">
        <v>26</v>
      </c>
      <c r="I2275" t="s">
        <v>57</v>
      </c>
      <c r="Z2275" t="s">
        <v>32</v>
      </c>
    </row>
    <row r="2276" spans="1:26" x14ac:dyDescent="0.2">
      <c r="A2276" s="3">
        <v>42529</v>
      </c>
      <c r="B2276" t="s">
        <v>23</v>
      </c>
      <c r="C2276">
        <v>304</v>
      </c>
      <c r="D2276">
        <v>8</v>
      </c>
      <c r="E2276">
        <v>2</v>
      </c>
      <c r="F2276" t="s">
        <v>33</v>
      </c>
      <c r="G2276" t="s">
        <v>25</v>
      </c>
      <c r="H2276" t="s">
        <v>26</v>
      </c>
      <c r="I2276" t="s">
        <v>57</v>
      </c>
      <c r="Z2276" t="s">
        <v>32</v>
      </c>
    </row>
    <row r="2277" spans="1:26" x14ac:dyDescent="0.2">
      <c r="A2277" s="3">
        <v>42529</v>
      </c>
      <c r="B2277" t="s">
        <v>23</v>
      </c>
      <c r="C2277">
        <v>304</v>
      </c>
      <c r="D2277">
        <v>7</v>
      </c>
      <c r="E2277">
        <v>1</v>
      </c>
      <c r="F2277" t="s">
        <v>33</v>
      </c>
      <c r="G2277" t="s">
        <v>25</v>
      </c>
      <c r="H2277" t="s">
        <v>26</v>
      </c>
      <c r="I2277" t="s">
        <v>57</v>
      </c>
      <c r="Z2277" t="s">
        <v>32</v>
      </c>
    </row>
    <row r="2278" spans="1:26" x14ac:dyDescent="0.2">
      <c r="A2278" s="3">
        <v>42529</v>
      </c>
      <c r="B2278" t="s">
        <v>23</v>
      </c>
      <c r="C2278">
        <v>304</v>
      </c>
      <c r="D2278">
        <v>7</v>
      </c>
      <c r="E2278">
        <v>2</v>
      </c>
      <c r="F2278" t="s">
        <v>33</v>
      </c>
      <c r="G2278" t="s">
        <v>25</v>
      </c>
      <c r="H2278" t="s">
        <v>26</v>
      </c>
      <c r="I2278" t="s">
        <v>57</v>
      </c>
      <c r="Z2278" t="s">
        <v>32</v>
      </c>
    </row>
    <row r="2279" spans="1:26" x14ac:dyDescent="0.2">
      <c r="A2279" s="3">
        <v>42529</v>
      </c>
      <c r="B2279" t="s">
        <v>23</v>
      </c>
      <c r="C2279">
        <v>304</v>
      </c>
      <c r="D2279">
        <v>4</v>
      </c>
      <c r="E2279">
        <v>1</v>
      </c>
      <c r="F2279" t="s">
        <v>33</v>
      </c>
      <c r="G2279" t="s">
        <v>25</v>
      </c>
      <c r="H2279" t="s">
        <v>26</v>
      </c>
      <c r="I2279" t="s">
        <v>57</v>
      </c>
      <c r="Z2279" t="s">
        <v>32</v>
      </c>
    </row>
    <row r="2280" spans="1:26" x14ac:dyDescent="0.2">
      <c r="A2280" s="3">
        <v>42529</v>
      </c>
      <c r="B2280" t="s">
        <v>23</v>
      </c>
      <c r="C2280">
        <v>304</v>
      </c>
      <c r="D2280">
        <v>4</v>
      </c>
      <c r="E2280">
        <v>2</v>
      </c>
      <c r="F2280" t="s">
        <v>33</v>
      </c>
      <c r="G2280" t="s">
        <v>25</v>
      </c>
      <c r="H2280" t="s">
        <v>26</v>
      </c>
      <c r="I2280" t="s">
        <v>57</v>
      </c>
      <c r="Z2280" t="s">
        <v>32</v>
      </c>
    </row>
    <row r="2281" spans="1:26" x14ac:dyDescent="0.2">
      <c r="A2281" s="3">
        <v>42529</v>
      </c>
      <c r="B2281" t="s">
        <v>23</v>
      </c>
      <c r="C2281">
        <v>304</v>
      </c>
      <c r="D2281">
        <v>3</v>
      </c>
      <c r="E2281">
        <v>1</v>
      </c>
      <c r="F2281" t="s">
        <v>33</v>
      </c>
      <c r="G2281" t="s">
        <v>25</v>
      </c>
      <c r="H2281" t="s">
        <v>26</v>
      </c>
      <c r="I2281" t="s">
        <v>57</v>
      </c>
      <c r="Z2281" t="s">
        <v>32</v>
      </c>
    </row>
    <row r="2282" spans="1:26" x14ac:dyDescent="0.2">
      <c r="A2282" s="3">
        <v>42529</v>
      </c>
      <c r="B2282" t="s">
        <v>23</v>
      </c>
      <c r="C2282">
        <v>201</v>
      </c>
      <c r="D2282">
        <v>1</v>
      </c>
      <c r="E2282">
        <v>1</v>
      </c>
      <c r="F2282" t="s">
        <v>24</v>
      </c>
      <c r="G2282" t="s">
        <v>25</v>
      </c>
      <c r="H2282" t="s">
        <v>26</v>
      </c>
      <c r="I2282" t="s">
        <v>57</v>
      </c>
      <c r="Z2282" t="s">
        <v>32</v>
      </c>
    </row>
    <row r="2283" spans="1:26" x14ac:dyDescent="0.2">
      <c r="A2283" s="3">
        <v>42529</v>
      </c>
      <c r="B2283" t="s">
        <v>23</v>
      </c>
      <c r="C2283">
        <v>201</v>
      </c>
      <c r="D2283">
        <v>1</v>
      </c>
      <c r="E2283">
        <v>2</v>
      </c>
      <c r="F2283" t="s">
        <v>24</v>
      </c>
      <c r="G2283" t="s">
        <v>25</v>
      </c>
      <c r="H2283" t="s">
        <v>26</v>
      </c>
      <c r="I2283" t="s">
        <v>57</v>
      </c>
      <c r="Z2283" t="s">
        <v>32</v>
      </c>
    </row>
    <row r="2284" spans="1:26" x14ac:dyDescent="0.2">
      <c r="A2284" s="3">
        <v>42529</v>
      </c>
      <c r="B2284" t="s">
        <v>23</v>
      </c>
      <c r="C2284">
        <v>201</v>
      </c>
      <c r="D2284">
        <v>2</v>
      </c>
      <c r="E2284">
        <v>1</v>
      </c>
      <c r="F2284" t="s">
        <v>24</v>
      </c>
      <c r="G2284" t="s">
        <v>25</v>
      </c>
      <c r="H2284" t="s">
        <v>26</v>
      </c>
      <c r="I2284" t="s">
        <v>57</v>
      </c>
      <c r="Z2284" t="s">
        <v>32</v>
      </c>
    </row>
    <row r="2285" spans="1:26" x14ac:dyDescent="0.2">
      <c r="A2285" s="3">
        <v>42529</v>
      </c>
      <c r="B2285" t="s">
        <v>23</v>
      </c>
      <c r="C2285">
        <v>201</v>
      </c>
      <c r="D2285">
        <v>6</v>
      </c>
      <c r="E2285">
        <v>1</v>
      </c>
      <c r="F2285" t="s">
        <v>24</v>
      </c>
      <c r="G2285" t="s">
        <v>25</v>
      </c>
      <c r="H2285" t="s">
        <v>26</v>
      </c>
      <c r="I2285" t="s">
        <v>57</v>
      </c>
      <c r="Z2285" t="s">
        <v>32</v>
      </c>
    </row>
    <row r="2286" spans="1:26" x14ac:dyDescent="0.2">
      <c r="A2286" s="3">
        <v>42529</v>
      </c>
      <c r="B2286" t="s">
        <v>23</v>
      </c>
      <c r="C2286">
        <v>201</v>
      </c>
      <c r="D2286">
        <v>7</v>
      </c>
      <c r="E2286">
        <v>1</v>
      </c>
      <c r="F2286" t="s">
        <v>24</v>
      </c>
      <c r="G2286" t="s">
        <v>25</v>
      </c>
      <c r="H2286" t="s">
        <v>26</v>
      </c>
      <c r="I2286" t="s">
        <v>57</v>
      </c>
      <c r="Z2286" t="s">
        <v>32</v>
      </c>
    </row>
    <row r="2287" spans="1:26" x14ac:dyDescent="0.2">
      <c r="A2287" s="3">
        <v>42529</v>
      </c>
      <c r="B2287" t="s">
        <v>23</v>
      </c>
      <c r="C2287">
        <v>203</v>
      </c>
      <c r="D2287">
        <v>1</v>
      </c>
      <c r="E2287">
        <v>1</v>
      </c>
      <c r="F2287" t="s">
        <v>24</v>
      </c>
      <c r="G2287" t="s">
        <v>25</v>
      </c>
      <c r="H2287" t="s">
        <v>26</v>
      </c>
      <c r="I2287" t="s">
        <v>57</v>
      </c>
      <c r="Z2287" t="s">
        <v>32</v>
      </c>
    </row>
    <row r="2288" spans="1:26" x14ac:dyDescent="0.2">
      <c r="A2288" s="3">
        <v>42529</v>
      </c>
      <c r="B2288" t="s">
        <v>23</v>
      </c>
      <c r="C2288">
        <v>203</v>
      </c>
      <c r="D2288">
        <v>3</v>
      </c>
      <c r="E2288">
        <v>1</v>
      </c>
      <c r="F2288" t="s">
        <v>24</v>
      </c>
      <c r="G2288" t="s">
        <v>25</v>
      </c>
      <c r="H2288" t="s">
        <v>26</v>
      </c>
      <c r="I2288" t="s">
        <v>57</v>
      </c>
      <c r="Z2288" t="s">
        <v>32</v>
      </c>
    </row>
    <row r="2289" spans="1:26" x14ac:dyDescent="0.2">
      <c r="A2289" s="3">
        <v>42529</v>
      </c>
      <c r="B2289" t="s">
        <v>23</v>
      </c>
      <c r="C2289">
        <v>203</v>
      </c>
      <c r="D2289">
        <v>3</v>
      </c>
      <c r="E2289">
        <v>2</v>
      </c>
      <c r="F2289" t="s">
        <v>24</v>
      </c>
      <c r="G2289" t="s">
        <v>25</v>
      </c>
      <c r="H2289" t="s">
        <v>26</v>
      </c>
      <c r="I2289" t="s">
        <v>57</v>
      </c>
      <c r="Z2289" t="s">
        <v>32</v>
      </c>
    </row>
    <row r="2290" spans="1:26" x14ac:dyDescent="0.2">
      <c r="A2290" s="3">
        <v>42529</v>
      </c>
      <c r="B2290" t="s">
        <v>23</v>
      </c>
      <c r="C2290">
        <v>203</v>
      </c>
      <c r="D2290">
        <v>4</v>
      </c>
      <c r="E2290">
        <v>1</v>
      </c>
      <c r="F2290" t="s">
        <v>24</v>
      </c>
      <c r="G2290" t="s">
        <v>25</v>
      </c>
      <c r="H2290" t="s">
        <v>26</v>
      </c>
      <c r="I2290" t="s">
        <v>57</v>
      </c>
      <c r="Z2290" t="s">
        <v>32</v>
      </c>
    </row>
    <row r="2291" spans="1:26" x14ac:dyDescent="0.2">
      <c r="A2291" s="3">
        <v>42529</v>
      </c>
      <c r="B2291" t="s">
        <v>23</v>
      </c>
      <c r="C2291">
        <v>203</v>
      </c>
      <c r="D2291">
        <v>7</v>
      </c>
      <c r="E2291">
        <v>1</v>
      </c>
      <c r="F2291" t="s">
        <v>24</v>
      </c>
      <c r="G2291" t="s">
        <v>25</v>
      </c>
      <c r="H2291" t="s">
        <v>26</v>
      </c>
      <c r="I2291" t="s">
        <v>57</v>
      </c>
      <c r="Z2291" t="s">
        <v>32</v>
      </c>
    </row>
    <row r="2292" spans="1:26" x14ac:dyDescent="0.2">
      <c r="A2292" s="3">
        <v>42529</v>
      </c>
      <c r="B2292" t="s">
        <v>23</v>
      </c>
      <c r="C2292">
        <v>202</v>
      </c>
      <c r="D2292">
        <v>1</v>
      </c>
      <c r="E2292">
        <v>1</v>
      </c>
      <c r="F2292" t="s">
        <v>24</v>
      </c>
      <c r="G2292" t="s">
        <v>25</v>
      </c>
      <c r="H2292" t="s">
        <v>26</v>
      </c>
      <c r="I2292" t="s">
        <v>57</v>
      </c>
      <c r="Z2292" t="s">
        <v>32</v>
      </c>
    </row>
    <row r="2293" spans="1:26" x14ac:dyDescent="0.2">
      <c r="A2293" s="3">
        <v>42529</v>
      </c>
      <c r="B2293" t="s">
        <v>23</v>
      </c>
      <c r="C2293">
        <v>202</v>
      </c>
      <c r="D2293">
        <v>1</v>
      </c>
      <c r="E2293">
        <v>2</v>
      </c>
      <c r="F2293" t="s">
        <v>24</v>
      </c>
      <c r="G2293" t="s">
        <v>25</v>
      </c>
      <c r="H2293" t="s">
        <v>26</v>
      </c>
      <c r="I2293" t="s">
        <v>57</v>
      </c>
      <c r="Z2293" t="s">
        <v>32</v>
      </c>
    </row>
    <row r="2294" spans="1:26" x14ac:dyDescent="0.2">
      <c r="A2294" s="3">
        <v>42529</v>
      </c>
      <c r="B2294" t="s">
        <v>23</v>
      </c>
      <c r="C2294">
        <v>202</v>
      </c>
      <c r="D2294">
        <v>2</v>
      </c>
      <c r="E2294">
        <v>1</v>
      </c>
      <c r="F2294" t="s">
        <v>24</v>
      </c>
      <c r="G2294" t="s">
        <v>25</v>
      </c>
      <c r="H2294" t="s">
        <v>26</v>
      </c>
      <c r="I2294" t="s">
        <v>57</v>
      </c>
      <c r="Z2294" t="s">
        <v>32</v>
      </c>
    </row>
    <row r="2295" spans="1:26" x14ac:dyDescent="0.2">
      <c r="A2295" s="3">
        <v>42529</v>
      </c>
      <c r="B2295" t="s">
        <v>23</v>
      </c>
      <c r="C2295">
        <v>202</v>
      </c>
      <c r="D2295">
        <v>2</v>
      </c>
      <c r="E2295">
        <v>2</v>
      </c>
      <c r="F2295" t="s">
        <v>24</v>
      </c>
      <c r="G2295" t="s">
        <v>25</v>
      </c>
      <c r="H2295" t="s">
        <v>26</v>
      </c>
      <c r="I2295" t="s">
        <v>57</v>
      </c>
      <c r="Z2295" t="s">
        <v>32</v>
      </c>
    </row>
    <row r="2296" spans="1:26" x14ac:dyDescent="0.2">
      <c r="A2296" s="3">
        <v>42529</v>
      </c>
      <c r="B2296" t="s">
        <v>23</v>
      </c>
      <c r="C2296">
        <v>202</v>
      </c>
      <c r="D2296">
        <v>3</v>
      </c>
      <c r="E2296">
        <v>1</v>
      </c>
      <c r="F2296" t="s">
        <v>24</v>
      </c>
      <c r="G2296" t="s">
        <v>25</v>
      </c>
      <c r="H2296" t="s">
        <v>26</v>
      </c>
      <c r="I2296" t="s">
        <v>57</v>
      </c>
      <c r="Z2296" t="s">
        <v>32</v>
      </c>
    </row>
    <row r="2297" spans="1:26" x14ac:dyDescent="0.2">
      <c r="A2297" s="3">
        <v>42529</v>
      </c>
      <c r="B2297" t="s">
        <v>23</v>
      </c>
      <c r="C2297">
        <v>202</v>
      </c>
      <c r="D2297">
        <v>3</v>
      </c>
      <c r="E2297">
        <v>2</v>
      </c>
      <c r="F2297" t="s">
        <v>24</v>
      </c>
      <c r="G2297" t="s">
        <v>25</v>
      </c>
      <c r="H2297" t="s">
        <v>26</v>
      </c>
      <c r="I2297" t="s">
        <v>57</v>
      </c>
      <c r="Z2297" t="s">
        <v>32</v>
      </c>
    </row>
    <row r="2298" spans="1:26" x14ac:dyDescent="0.2">
      <c r="A2298" s="3">
        <v>42529</v>
      </c>
      <c r="B2298" t="s">
        <v>23</v>
      </c>
      <c r="C2298">
        <v>202</v>
      </c>
      <c r="D2298">
        <v>4</v>
      </c>
      <c r="E2298">
        <v>1</v>
      </c>
      <c r="F2298" t="s">
        <v>24</v>
      </c>
      <c r="G2298" t="s">
        <v>25</v>
      </c>
      <c r="H2298" t="s">
        <v>26</v>
      </c>
      <c r="I2298" t="s">
        <v>57</v>
      </c>
      <c r="Z2298" t="s">
        <v>32</v>
      </c>
    </row>
    <row r="2299" spans="1:26" x14ac:dyDescent="0.2">
      <c r="A2299" s="3">
        <v>42529</v>
      </c>
      <c r="B2299" t="s">
        <v>23</v>
      </c>
      <c r="C2299">
        <v>202</v>
      </c>
      <c r="D2299">
        <v>4</v>
      </c>
      <c r="E2299">
        <v>2</v>
      </c>
      <c r="F2299" t="s">
        <v>24</v>
      </c>
      <c r="G2299" t="s">
        <v>25</v>
      </c>
      <c r="H2299" t="s">
        <v>26</v>
      </c>
      <c r="I2299" t="s">
        <v>57</v>
      </c>
      <c r="Z2299" t="s">
        <v>32</v>
      </c>
    </row>
    <row r="2300" spans="1:26" x14ac:dyDescent="0.2">
      <c r="A2300" s="3">
        <v>42529</v>
      </c>
      <c r="B2300" t="s">
        <v>23</v>
      </c>
      <c r="C2300">
        <v>202</v>
      </c>
      <c r="D2300">
        <v>5</v>
      </c>
      <c r="E2300">
        <v>1</v>
      </c>
      <c r="F2300" t="s">
        <v>24</v>
      </c>
      <c r="G2300" t="s">
        <v>25</v>
      </c>
      <c r="H2300" t="s">
        <v>26</v>
      </c>
      <c r="I2300" t="s">
        <v>57</v>
      </c>
      <c r="Z2300" t="s">
        <v>32</v>
      </c>
    </row>
    <row r="2301" spans="1:26" x14ac:dyDescent="0.2">
      <c r="A2301" s="3">
        <v>42530</v>
      </c>
      <c r="B2301" t="s">
        <v>23</v>
      </c>
      <c r="C2301">
        <v>201</v>
      </c>
      <c r="D2301">
        <v>1</v>
      </c>
      <c r="E2301">
        <v>1</v>
      </c>
      <c r="F2301" t="s">
        <v>24</v>
      </c>
      <c r="G2301" t="s">
        <v>25</v>
      </c>
      <c r="H2301" t="s">
        <v>26</v>
      </c>
      <c r="I2301" t="s">
        <v>57</v>
      </c>
      <c r="Z2301" t="s">
        <v>32</v>
      </c>
    </row>
    <row r="2302" spans="1:26" x14ac:dyDescent="0.2">
      <c r="A2302" s="3">
        <v>42530</v>
      </c>
      <c r="B2302" t="s">
        <v>23</v>
      </c>
      <c r="C2302">
        <v>201</v>
      </c>
      <c r="D2302">
        <v>1</v>
      </c>
      <c r="E2302">
        <v>2</v>
      </c>
      <c r="F2302" t="s">
        <v>24</v>
      </c>
      <c r="G2302" t="s">
        <v>25</v>
      </c>
      <c r="H2302" t="s">
        <v>26</v>
      </c>
      <c r="I2302" t="s">
        <v>57</v>
      </c>
      <c r="Z2302" t="s">
        <v>32</v>
      </c>
    </row>
    <row r="2303" spans="1:26" x14ac:dyDescent="0.2">
      <c r="A2303" s="3">
        <v>42530</v>
      </c>
      <c r="B2303" t="s">
        <v>23</v>
      </c>
      <c r="C2303">
        <v>201</v>
      </c>
      <c r="D2303">
        <v>2</v>
      </c>
      <c r="E2303">
        <v>1</v>
      </c>
      <c r="F2303" t="s">
        <v>24</v>
      </c>
      <c r="G2303" t="s">
        <v>25</v>
      </c>
      <c r="H2303" t="s">
        <v>26</v>
      </c>
      <c r="I2303" t="s">
        <v>57</v>
      </c>
      <c r="Z2303" t="s">
        <v>32</v>
      </c>
    </row>
    <row r="2304" spans="1:26" x14ac:dyDescent="0.2">
      <c r="A2304" s="3">
        <v>42530</v>
      </c>
      <c r="B2304" t="s">
        <v>23</v>
      </c>
      <c r="C2304">
        <v>201</v>
      </c>
      <c r="D2304">
        <v>3</v>
      </c>
      <c r="E2304">
        <v>1</v>
      </c>
      <c r="F2304" t="s">
        <v>24</v>
      </c>
      <c r="G2304" t="s">
        <v>25</v>
      </c>
      <c r="H2304" t="s">
        <v>26</v>
      </c>
      <c r="I2304" t="s">
        <v>57</v>
      </c>
      <c r="Z2304" t="s">
        <v>32</v>
      </c>
    </row>
    <row r="2305" spans="1:26" x14ac:dyDescent="0.2">
      <c r="A2305" s="3">
        <v>42530</v>
      </c>
      <c r="B2305" t="s">
        <v>23</v>
      </c>
      <c r="C2305">
        <v>201</v>
      </c>
      <c r="D2305">
        <v>4</v>
      </c>
      <c r="E2305">
        <v>1</v>
      </c>
      <c r="F2305" t="s">
        <v>24</v>
      </c>
      <c r="G2305" t="s">
        <v>25</v>
      </c>
      <c r="H2305" t="s">
        <v>26</v>
      </c>
      <c r="I2305" t="s">
        <v>57</v>
      </c>
      <c r="Z2305" t="s">
        <v>32</v>
      </c>
    </row>
    <row r="2306" spans="1:26" x14ac:dyDescent="0.2">
      <c r="A2306" s="3">
        <v>42530</v>
      </c>
      <c r="B2306" t="s">
        <v>23</v>
      </c>
      <c r="C2306">
        <v>201</v>
      </c>
      <c r="D2306">
        <v>6</v>
      </c>
      <c r="E2306">
        <v>1</v>
      </c>
      <c r="F2306" t="s">
        <v>24</v>
      </c>
      <c r="G2306" t="s">
        <v>25</v>
      </c>
      <c r="H2306" t="s">
        <v>26</v>
      </c>
      <c r="I2306" t="s">
        <v>57</v>
      </c>
      <c r="Z2306" t="s">
        <v>32</v>
      </c>
    </row>
    <row r="2307" spans="1:26" x14ac:dyDescent="0.2">
      <c r="A2307" s="3">
        <v>42530</v>
      </c>
      <c r="B2307" t="s">
        <v>23</v>
      </c>
      <c r="C2307">
        <v>201</v>
      </c>
      <c r="D2307">
        <v>6</v>
      </c>
      <c r="E2307">
        <v>2</v>
      </c>
      <c r="F2307" t="s">
        <v>24</v>
      </c>
      <c r="G2307" t="s">
        <v>25</v>
      </c>
      <c r="H2307" t="s">
        <v>26</v>
      </c>
      <c r="I2307" t="s">
        <v>57</v>
      </c>
      <c r="Z2307" t="s">
        <v>32</v>
      </c>
    </row>
    <row r="2308" spans="1:26" x14ac:dyDescent="0.2">
      <c r="A2308" s="3">
        <v>42530</v>
      </c>
      <c r="B2308" t="s">
        <v>23</v>
      </c>
      <c r="C2308">
        <v>201</v>
      </c>
      <c r="D2308">
        <v>7</v>
      </c>
      <c r="E2308">
        <v>1</v>
      </c>
      <c r="F2308" t="s">
        <v>24</v>
      </c>
      <c r="G2308" t="s">
        <v>25</v>
      </c>
      <c r="H2308" t="s">
        <v>26</v>
      </c>
      <c r="I2308" t="s">
        <v>57</v>
      </c>
      <c r="Z2308" t="s">
        <v>32</v>
      </c>
    </row>
    <row r="2309" spans="1:26" x14ac:dyDescent="0.2">
      <c r="A2309" s="3">
        <v>42530</v>
      </c>
      <c r="B2309" t="s">
        <v>23</v>
      </c>
      <c r="C2309">
        <v>201</v>
      </c>
      <c r="D2309">
        <v>7</v>
      </c>
      <c r="E2309">
        <v>2</v>
      </c>
      <c r="F2309" t="s">
        <v>24</v>
      </c>
      <c r="G2309" t="s">
        <v>25</v>
      </c>
      <c r="H2309" t="s">
        <v>26</v>
      </c>
      <c r="I2309" t="s">
        <v>57</v>
      </c>
      <c r="Z2309" t="s">
        <v>32</v>
      </c>
    </row>
    <row r="2310" spans="1:26" x14ac:dyDescent="0.2">
      <c r="A2310" s="3">
        <v>42530</v>
      </c>
      <c r="B2310" t="s">
        <v>23</v>
      </c>
      <c r="C2310">
        <v>201</v>
      </c>
      <c r="D2310">
        <v>8</v>
      </c>
      <c r="E2310">
        <v>1</v>
      </c>
      <c r="F2310" t="s">
        <v>24</v>
      </c>
      <c r="G2310" t="s">
        <v>25</v>
      </c>
      <c r="H2310" t="s">
        <v>26</v>
      </c>
      <c r="I2310" t="s">
        <v>57</v>
      </c>
      <c r="Z2310" t="s">
        <v>32</v>
      </c>
    </row>
    <row r="2311" spans="1:26" x14ac:dyDescent="0.2">
      <c r="A2311" s="3">
        <v>42530</v>
      </c>
      <c r="B2311" t="s">
        <v>23</v>
      </c>
      <c r="C2311">
        <v>201</v>
      </c>
      <c r="D2311">
        <v>10</v>
      </c>
      <c r="E2311">
        <v>1</v>
      </c>
      <c r="F2311" t="s">
        <v>24</v>
      </c>
      <c r="G2311" t="s">
        <v>25</v>
      </c>
      <c r="H2311" t="s">
        <v>26</v>
      </c>
      <c r="I2311" t="s">
        <v>57</v>
      </c>
      <c r="Z2311" t="s">
        <v>32</v>
      </c>
    </row>
    <row r="2312" spans="1:26" x14ac:dyDescent="0.2">
      <c r="A2312" s="3">
        <v>42530</v>
      </c>
      <c r="B2312" t="s">
        <v>23</v>
      </c>
      <c r="C2312">
        <v>203</v>
      </c>
      <c r="D2312">
        <v>2</v>
      </c>
      <c r="E2312">
        <v>1</v>
      </c>
      <c r="F2312" t="s">
        <v>24</v>
      </c>
      <c r="G2312" t="s">
        <v>25</v>
      </c>
      <c r="H2312" t="s">
        <v>26</v>
      </c>
      <c r="I2312" t="s">
        <v>57</v>
      </c>
      <c r="Z2312" t="s">
        <v>32</v>
      </c>
    </row>
    <row r="2313" spans="1:26" x14ac:dyDescent="0.2">
      <c r="A2313" s="3">
        <v>42530</v>
      </c>
      <c r="B2313" t="s">
        <v>23</v>
      </c>
      <c r="C2313">
        <v>203</v>
      </c>
      <c r="D2313">
        <v>2</v>
      </c>
      <c r="E2313">
        <v>2</v>
      </c>
      <c r="F2313" t="s">
        <v>24</v>
      </c>
      <c r="G2313" t="s">
        <v>25</v>
      </c>
      <c r="H2313" t="s">
        <v>26</v>
      </c>
      <c r="I2313" t="s">
        <v>57</v>
      </c>
      <c r="Z2313" t="s">
        <v>32</v>
      </c>
    </row>
    <row r="2314" spans="1:26" x14ac:dyDescent="0.2">
      <c r="A2314" s="3">
        <v>42530</v>
      </c>
      <c r="B2314" t="s">
        <v>23</v>
      </c>
      <c r="C2314">
        <v>203</v>
      </c>
      <c r="D2314">
        <v>3</v>
      </c>
      <c r="E2314">
        <v>1</v>
      </c>
      <c r="F2314" t="s">
        <v>24</v>
      </c>
      <c r="G2314" t="s">
        <v>25</v>
      </c>
      <c r="H2314" t="s">
        <v>26</v>
      </c>
      <c r="I2314" t="s">
        <v>57</v>
      </c>
      <c r="Z2314" t="s">
        <v>32</v>
      </c>
    </row>
    <row r="2315" spans="1:26" x14ac:dyDescent="0.2">
      <c r="A2315" s="3">
        <v>42530</v>
      </c>
      <c r="B2315" t="s">
        <v>23</v>
      </c>
      <c r="C2315">
        <v>203</v>
      </c>
      <c r="D2315">
        <v>3</v>
      </c>
      <c r="E2315">
        <v>2</v>
      </c>
      <c r="F2315" t="s">
        <v>24</v>
      </c>
      <c r="G2315" t="s">
        <v>25</v>
      </c>
      <c r="H2315" t="s">
        <v>26</v>
      </c>
      <c r="I2315" t="s">
        <v>57</v>
      </c>
      <c r="Z2315" t="s">
        <v>32</v>
      </c>
    </row>
    <row r="2316" spans="1:26" x14ac:dyDescent="0.2">
      <c r="A2316" s="3">
        <v>42530</v>
      </c>
      <c r="B2316" t="s">
        <v>23</v>
      </c>
      <c r="C2316">
        <v>203</v>
      </c>
      <c r="D2316">
        <v>4</v>
      </c>
      <c r="E2316">
        <v>1</v>
      </c>
      <c r="F2316" t="s">
        <v>24</v>
      </c>
      <c r="G2316" t="s">
        <v>25</v>
      </c>
      <c r="H2316" t="s">
        <v>26</v>
      </c>
      <c r="I2316" t="s">
        <v>57</v>
      </c>
      <c r="Z2316" t="s">
        <v>32</v>
      </c>
    </row>
    <row r="2317" spans="1:26" x14ac:dyDescent="0.2">
      <c r="A2317" s="3">
        <v>42530</v>
      </c>
      <c r="B2317" t="s">
        <v>23</v>
      </c>
      <c r="C2317">
        <v>203</v>
      </c>
      <c r="D2317">
        <v>4</v>
      </c>
      <c r="E2317">
        <v>2</v>
      </c>
      <c r="F2317" t="s">
        <v>24</v>
      </c>
      <c r="G2317" t="s">
        <v>25</v>
      </c>
      <c r="H2317" t="s">
        <v>26</v>
      </c>
      <c r="I2317" t="s">
        <v>57</v>
      </c>
      <c r="Z2317" t="s">
        <v>32</v>
      </c>
    </row>
    <row r="2318" spans="1:26" x14ac:dyDescent="0.2">
      <c r="A2318" s="3">
        <v>42530</v>
      </c>
      <c r="B2318" t="s">
        <v>23</v>
      </c>
      <c r="C2318">
        <v>203</v>
      </c>
      <c r="D2318">
        <v>5</v>
      </c>
      <c r="E2318">
        <v>1</v>
      </c>
      <c r="F2318" t="s">
        <v>24</v>
      </c>
      <c r="G2318" t="s">
        <v>25</v>
      </c>
      <c r="H2318" t="s">
        <v>26</v>
      </c>
      <c r="I2318" t="s">
        <v>57</v>
      </c>
      <c r="Z2318" t="s">
        <v>32</v>
      </c>
    </row>
    <row r="2319" spans="1:26" x14ac:dyDescent="0.2">
      <c r="A2319" s="3">
        <v>42530</v>
      </c>
      <c r="B2319" t="s">
        <v>23</v>
      </c>
      <c r="C2319">
        <v>203</v>
      </c>
      <c r="D2319">
        <v>7</v>
      </c>
      <c r="E2319">
        <v>1</v>
      </c>
      <c r="F2319" t="s">
        <v>24</v>
      </c>
      <c r="G2319" t="s">
        <v>25</v>
      </c>
      <c r="H2319" t="s">
        <v>26</v>
      </c>
      <c r="I2319" t="s">
        <v>57</v>
      </c>
      <c r="Z2319" t="s">
        <v>32</v>
      </c>
    </row>
    <row r="2320" spans="1:26" x14ac:dyDescent="0.2">
      <c r="A2320" s="3">
        <v>42530</v>
      </c>
      <c r="B2320" t="s">
        <v>23</v>
      </c>
      <c r="C2320">
        <v>203</v>
      </c>
      <c r="D2320">
        <v>8</v>
      </c>
      <c r="E2320">
        <v>1</v>
      </c>
      <c r="F2320" t="s">
        <v>24</v>
      </c>
      <c r="G2320" t="s">
        <v>25</v>
      </c>
      <c r="H2320" t="s">
        <v>26</v>
      </c>
      <c r="I2320" t="s">
        <v>57</v>
      </c>
      <c r="Z2320" t="s">
        <v>32</v>
      </c>
    </row>
    <row r="2321" spans="1:26" x14ac:dyDescent="0.2">
      <c r="A2321" s="3">
        <v>42530</v>
      </c>
      <c r="B2321" t="s">
        <v>23</v>
      </c>
      <c r="C2321">
        <v>203</v>
      </c>
      <c r="D2321">
        <v>9</v>
      </c>
      <c r="E2321">
        <v>1</v>
      </c>
      <c r="F2321" t="s">
        <v>24</v>
      </c>
      <c r="G2321" t="s">
        <v>25</v>
      </c>
      <c r="H2321" t="s">
        <v>26</v>
      </c>
      <c r="I2321" t="s">
        <v>57</v>
      </c>
      <c r="Z2321" t="s">
        <v>32</v>
      </c>
    </row>
    <row r="2322" spans="1:26" x14ac:dyDescent="0.2">
      <c r="A2322" s="3">
        <v>42530</v>
      </c>
      <c r="B2322" t="s">
        <v>23</v>
      </c>
      <c r="C2322">
        <v>203</v>
      </c>
      <c r="D2322">
        <v>9</v>
      </c>
      <c r="E2322">
        <v>2</v>
      </c>
      <c r="F2322" t="s">
        <v>24</v>
      </c>
      <c r="G2322" t="s">
        <v>25</v>
      </c>
      <c r="H2322" t="s">
        <v>26</v>
      </c>
      <c r="I2322" t="s">
        <v>57</v>
      </c>
      <c r="Z2322" t="s">
        <v>32</v>
      </c>
    </row>
    <row r="2323" spans="1:26" x14ac:dyDescent="0.2">
      <c r="A2323" s="3">
        <v>42530</v>
      </c>
      <c r="B2323" t="s">
        <v>23</v>
      </c>
      <c r="C2323">
        <v>202</v>
      </c>
      <c r="D2323">
        <v>2</v>
      </c>
      <c r="E2323">
        <v>1</v>
      </c>
      <c r="F2323" t="s">
        <v>24</v>
      </c>
      <c r="G2323" t="s">
        <v>25</v>
      </c>
      <c r="H2323" t="s">
        <v>26</v>
      </c>
      <c r="I2323" t="s">
        <v>57</v>
      </c>
      <c r="Z2323" t="s">
        <v>32</v>
      </c>
    </row>
    <row r="2324" spans="1:26" x14ac:dyDescent="0.2">
      <c r="A2324" s="3">
        <v>42530</v>
      </c>
      <c r="B2324" t="s">
        <v>23</v>
      </c>
      <c r="C2324">
        <v>202</v>
      </c>
      <c r="D2324">
        <v>2</v>
      </c>
      <c r="E2324">
        <v>2</v>
      </c>
      <c r="F2324" t="s">
        <v>24</v>
      </c>
      <c r="G2324" t="s">
        <v>25</v>
      </c>
      <c r="H2324" t="s">
        <v>26</v>
      </c>
      <c r="I2324" t="s">
        <v>57</v>
      </c>
      <c r="Z2324" t="s">
        <v>32</v>
      </c>
    </row>
    <row r="2325" spans="1:26" x14ac:dyDescent="0.2">
      <c r="A2325" s="3">
        <v>42530</v>
      </c>
      <c r="B2325" t="s">
        <v>23</v>
      </c>
      <c r="C2325">
        <v>202</v>
      </c>
      <c r="D2325">
        <v>3</v>
      </c>
      <c r="E2325">
        <v>1</v>
      </c>
      <c r="F2325" t="s">
        <v>24</v>
      </c>
      <c r="G2325" t="s">
        <v>25</v>
      </c>
      <c r="H2325" t="s">
        <v>26</v>
      </c>
      <c r="I2325" t="s">
        <v>57</v>
      </c>
      <c r="Z2325" t="s">
        <v>32</v>
      </c>
    </row>
    <row r="2326" spans="1:26" x14ac:dyDescent="0.2">
      <c r="A2326" s="3">
        <v>42530</v>
      </c>
      <c r="B2326" t="s">
        <v>23</v>
      </c>
      <c r="C2326">
        <v>202</v>
      </c>
      <c r="D2326">
        <v>3</v>
      </c>
      <c r="E2326">
        <v>2</v>
      </c>
      <c r="F2326" t="s">
        <v>24</v>
      </c>
      <c r="G2326" t="s">
        <v>25</v>
      </c>
      <c r="H2326" t="s">
        <v>26</v>
      </c>
      <c r="I2326" t="s">
        <v>57</v>
      </c>
      <c r="Z2326" t="s">
        <v>32</v>
      </c>
    </row>
    <row r="2327" spans="1:26" x14ac:dyDescent="0.2">
      <c r="A2327" s="3">
        <v>42530</v>
      </c>
      <c r="B2327" t="s">
        <v>23</v>
      </c>
      <c r="C2327">
        <v>202</v>
      </c>
      <c r="D2327">
        <v>5</v>
      </c>
      <c r="E2327">
        <v>1</v>
      </c>
      <c r="F2327" t="s">
        <v>24</v>
      </c>
      <c r="G2327" t="s">
        <v>25</v>
      </c>
      <c r="H2327" t="s">
        <v>26</v>
      </c>
      <c r="I2327" t="s">
        <v>57</v>
      </c>
      <c r="Z2327" t="s">
        <v>32</v>
      </c>
    </row>
    <row r="2328" spans="1:26" x14ac:dyDescent="0.2">
      <c r="A2328" s="3">
        <v>42530</v>
      </c>
      <c r="B2328" t="s">
        <v>23</v>
      </c>
      <c r="C2328">
        <v>202</v>
      </c>
      <c r="D2328">
        <v>7</v>
      </c>
      <c r="E2328">
        <v>1</v>
      </c>
      <c r="F2328" t="s">
        <v>24</v>
      </c>
      <c r="G2328" t="s">
        <v>25</v>
      </c>
      <c r="H2328" t="s">
        <v>26</v>
      </c>
      <c r="I2328" t="s">
        <v>57</v>
      </c>
      <c r="Z2328" t="s">
        <v>32</v>
      </c>
    </row>
    <row r="2329" spans="1:26" x14ac:dyDescent="0.2">
      <c r="A2329" s="3">
        <v>42530</v>
      </c>
      <c r="B2329" t="s">
        <v>23</v>
      </c>
      <c r="C2329">
        <v>202</v>
      </c>
      <c r="D2329">
        <v>8</v>
      </c>
      <c r="E2329">
        <v>1</v>
      </c>
      <c r="F2329" t="s">
        <v>24</v>
      </c>
      <c r="G2329" t="s">
        <v>25</v>
      </c>
      <c r="H2329" t="s">
        <v>26</v>
      </c>
      <c r="I2329" t="s">
        <v>57</v>
      </c>
      <c r="Z2329" t="s">
        <v>32</v>
      </c>
    </row>
    <row r="2330" spans="1:26" x14ac:dyDescent="0.2">
      <c r="A2330" s="3">
        <v>42530</v>
      </c>
      <c r="B2330" t="s">
        <v>23</v>
      </c>
      <c r="C2330">
        <v>304</v>
      </c>
      <c r="D2330">
        <v>1</v>
      </c>
      <c r="E2330">
        <v>1</v>
      </c>
      <c r="F2330" t="s">
        <v>24</v>
      </c>
      <c r="G2330" t="s">
        <v>25</v>
      </c>
      <c r="H2330" t="s">
        <v>26</v>
      </c>
      <c r="I2330" t="s">
        <v>57</v>
      </c>
      <c r="Z2330" t="s">
        <v>32</v>
      </c>
    </row>
    <row r="2331" spans="1:26" x14ac:dyDescent="0.2">
      <c r="A2331" s="3">
        <v>42530</v>
      </c>
      <c r="B2331" t="s">
        <v>23</v>
      </c>
      <c r="C2331">
        <v>304</v>
      </c>
      <c r="D2331">
        <v>7</v>
      </c>
      <c r="E2331">
        <v>1</v>
      </c>
      <c r="F2331" t="s">
        <v>24</v>
      </c>
      <c r="G2331" t="s">
        <v>25</v>
      </c>
      <c r="H2331" t="s">
        <v>26</v>
      </c>
      <c r="I2331" t="s">
        <v>57</v>
      </c>
      <c r="Z2331" t="s">
        <v>32</v>
      </c>
    </row>
    <row r="2332" spans="1:26" x14ac:dyDescent="0.2">
      <c r="A2332" s="3">
        <v>42530</v>
      </c>
      <c r="B2332" t="s">
        <v>23</v>
      </c>
      <c r="C2332">
        <v>304</v>
      </c>
      <c r="D2332">
        <v>8</v>
      </c>
      <c r="E2332">
        <v>1</v>
      </c>
      <c r="F2332" t="s">
        <v>24</v>
      </c>
      <c r="G2332" t="s">
        <v>25</v>
      </c>
      <c r="H2332" t="s">
        <v>26</v>
      </c>
      <c r="I2332" t="s">
        <v>57</v>
      </c>
      <c r="Z2332" t="s">
        <v>32</v>
      </c>
    </row>
    <row r="2333" spans="1:26" x14ac:dyDescent="0.2">
      <c r="A2333" s="3">
        <v>42530</v>
      </c>
      <c r="B2333" t="s">
        <v>23</v>
      </c>
      <c r="C2333">
        <v>304</v>
      </c>
      <c r="D2333">
        <v>10</v>
      </c>
      <c r="E2333">
        <v>1</v>
      </c>
      <c r="F2333" t="s">
        <v>24</v>
      </c>
      <c r="G2333" t="s">
        <v>25</v>
      </c>
      <c r="H2333" t="s">
        <v>26</v>
      </c>
      <c r="I2333" t="s">
        <v>57</v>
      </c>
      <c r="Z2333" t="s">
        <v>32</v>
      </c>
    </row>
    <row r="2334" spans="1:26" x14ac:dyDescent="0.2">
      <c r="A2334" s="3">
        <v>42530</v>
      </c>
      <c r="B2334" t="s">
        <v>23</v>
      </c>
      <c r="C2334">
        <v>111</v>
      </c>
      <c r="D2334">
        <v>8</v>
      </c>
      <c r="E2334">
        <v>1</v>
      </c>
      <c r="F2334" t="s">
        <v>33</v>
      </c>
      <c r="G2334" t="s">
        <v>25</v>
      </c>
      <c r="H2334" t="s">
        <v>26</v>
      </c>
      <c r="I2334" t="s">
        <v>57</v>
      </c>
      <c r="Z2334" t="s">
        <v>32</v>
      </c>
    </row>
    <row r="2335" spans="1:26" x14ac:dyDescent="0.2">
      <c r="A2335" s="3">
        <v>42530</v>
      </c>
      <c r="B2335" t="s">
        <v>23</v>
      </c>
      <c r="C2335">
        <v>111</v>
      </c>
      <c r="D2335">
        <v>8</v>
      </c>
      <c r="E2335">
        <v>2</v>
      </c>
      <c r="F2335" t="s">
        <v>33</v>
      </c>
      <c r="G2335" t="s">
        <v>25</v>
      </c>
      <c r="H2335" t="s">
        <v>26</v>
      </c>
      <c r="I2335" t="s">
        <v>57</v>
      </c>
      <c r="Z2335" t="s">
        <v>32</v>
      </c>
    </row>
    <row r="2336" spans="1:26" x14ac:dyDescent="0.2">
      <c r="A2336" s="3">
        <v>42530</v>
      </c>
      <c r="B2336" t="s">
        <v>23</v>
      </c>
      <c r="C2336">
        <v>111</v>
      </c>
      <c r="D2336">
        <v>9</v>
      </c>
      <c r="E2336">
        <v>1</v>
      </c>
      <c r="F2336" t="s">
        <v>33</v>
      </c>
      <c r="G2336" t="s">
        <v>25</v>
      </c>
      <c r="H2336" t="s">
        <v>26</v>
      </c>
      <c r="I2336" t="s">
        <v>57</v>
      </c>
      <c r="Z2336" t="s">
        <v>32</v>
      </c>
    </row>
    <row r="2337" spans="1:26" x14ac:dyDescent="0.2">
      <c r="A2337" s="3">
        <v>42530</v>
      </c>
      <c r="B2337" t="s">
        <v>23</v>
      </c>
      <c r="C2337">
        <v>111</v>
      </c>
      <c r="D2337">
        <v>9</v>
      </c>
      <c r="E2337">
        <v>2</v>
      </c>
      <c r="F2337" t="s">
        <v>33</v>
      </c>
      <c r="G2337" t="s">
        <v>25</v>
      </c>
      <c r="H2337" t="s">
        <v>26</v>
      </c>
      <c r="I2337" t="s">
        <v>57</v>
      </c>
      <c r="Z2337" t="s">
        <v>32</v>
      </c>
    </row>
    <row r="2338" spans="1:26" x14ac:dyDescent="0.2">
      <c r="A2338" s="3">
        <v>42530</v>
      </c>
      <c r="B2338" t="s">
        <v>23</v>
      </c>
      <c r="C2338">
        <v>112</v>
      </c>
      <c r="D2338">
        <v>4</v>
      </c>
      <c r="E2338">
        <v>2</v>
      </c>
      <c r="F2338" t="s">
        <v>33</v>
      </c>
      <c r="G2338" t="s">
        <v>25</v>
      </c>
      <c r="H2338" t="s">
        <v>26</v>
      </c>
      <c r="I2338" t="s">
        <v>57</v>
      </c>
      <c r="Z2338" t="s">
        <v>32</v>
      </c>
    </row>
    <row r="2339" spans="1:26" x14ac:dyDescent="0.2">
      <c r="A2339" s="3">
        <v>42530</v>
      </c>
      <c r="B2339" t="s">
        <v>23</v>
      </c>
      <c r="C2339">
        <v>112</v>
      </c>
      <c r="D2339">
        <v>9</v>
      </c>
      <c r="E2339">
        <v>1</v>
      </c>
      <c r="F2339" t="s">
        <v>33</v>
      </c>
      <c r="G2339" t="s">
        <v>25</v>
      </c>
      <c r="H2339" t="s">
        <v>26</v>
      </c>
      <c r="I2339" t="s">
        <v>57</v>
      </c>
      <c r="Z2339" t="s">
        <v>32</v>
      </c>
    </row>
    <row r="2340" spans="1:26" x14ac:dyDescent="0.2">
      <c r="A2340" s="3">
        <v>42530</v>
      </c>
      <c r="B2340" t="s">
        <v>23</v>
      </c>
      <c r="C2340">
        <v>112</v>
      </c>
      <c r="D2340">
        <v>9</v>
      </c>
      <c r="E2340">
        <v>2</v>
      </c>
      <c r="F2340" t="s">
        <v>33</v>
      </c>
      <c r="G2340" t="s">
        <v>25</v>
      </c>
      <c r="H2340" t="s">
        <v>26</v>
      </c>
      <c r="I2340" t="s">
        <v>57</v>
      </c>
      <c r="Z2340" t="s">
        <v>32</v>
      </c>
    </row>
    <row r="2341" spans="1:26" x14ac:dyDescent="0.2">
      <c r="A2341" s="3">
        <v>42530</v>
      </c>
      <c r="B2341" t="s">
        <v>23</v>
      </c>
      <c r="C2341">
        <v>112</v>
      </c>
      <c r="D2341">
        <v>10</v>
      </c>
      <c r="E2341">
        <v>1</v>
      </c>
      <c r="F2341" t="s">
        <v>33</v>
      </c>
      <c r="G2341" t="s">
        <v>25</v>
      </c>
      <c r="H2341" t="s">
        <v>26</v>
      </c>
      <c r="I2341" t="s">
        <v>57</v>
      </c>
      <c r="Z2341" t="s">
        <v>32</v>
      </c>
    </row>
    <row r="2342" spans="1:26" x14ac:dyDescent="0.2">
      <c r="A2342" s="3">
        <v>42530</v>
      </c>
      <c r="B2342" t="s">
        <v>23</v>
      </c>
      <c r="C2342">
        <v>113</v>
      </c>
      <c r="D2342">
        <v>5</v>
      </c>
      <c r="E2342">
        <v>1</v>
      </c>
      <c r="F2342" t="s">
        <v>33</v>
      </c>
      <c r="G2342" t="s">
        <v>25</v>
      </c>
      <c r="H2342" t="s">
        <v>26</v>
      </c>
      <c r="I2342" t="s">
        <v>57</v>
      </c>
      <c r="Z2342" t="s">
        <v>32</v>
      </c>
    </row>
    <row r="2343" spans="1:26" x14ac:dyDescent="0.2">
      <c r="A2343" s="3">
        <v>42530</v>
      </c>
      <c r="B2343" t="s">
        <v>23</v>
      </c>
      <c r="C2343">
        <v>113</v>
      </c>
      <c r="D2343">
        <v>8</v>
      </c>
      <c r="E2343">
        <v>1</v>
      </c>
      <c r="F2343" t="s">
        <v>33</v>
      </c>
      <c r="G2343" t="s">
        <v>25</v>
      </c>
      <c r="H2343" t="s">
        <v>26</v>
      </c>
      <c r="I2343" t="s">
        <v>57</v>
      </c>
      <c r="Z2343" t="s">
        <v>32</v>
      </c>
    </row>
    <row r="2344" spans="1:26" x14ac:dyDescent="0.2">
      <c r="A2344" s="3">
        <v>42530</v>
      </c>
      <c r="B2344" t="s">
        <v>23</v>
      </c>
      <c r="C2344">
        <v>402</v>
      </c>
      <c r="D2344">
        <v>1</v>
      </c>
      <c r="E2344">
        <v>2</v>
      </c>
      <c r="F2344" t="s">
        <v>33</v>
      </c>
      <c r="G2344" t="s">
        <v>25</v>
      </c>
      <c r="H2344" t="s">
        <v>26</v>
      </c>
      <c r="I2344" t="s">
        <v>57</v>
      </c>
      <c r="Z2344" t="s">
        <v>32</v>
      </c>
    </row>
    <row r="2345" spans="1:26" x14ac:dyDescent="0.2">
      <c r="A2345" s="3">
        <v>42530</v>
      </c>
      <c r="B2345" t="s">
        <v>23</v>
      </c>
      <c r="C2345">
        <v>402</v>
      </c>
      <c r="D2345">
        <v>2</v>
      </c>
      <c r="E2345">
        <v>1</v>
      </c>
      <c r="F2345" t="s">
        <v>33</v>
      </c>
      <c r="G2345" t="s">
        <v>25</v>
      </c>
      <c r="H2345" t="s">
        <v>26</v>
      </c>
      <c r="I2345" t="s">
        <v>57</v>
      </c>
      <c r="Z2345" t="s">
        <v>32</v>
      </c>
    </row>
    <row r="2346" spans="1:26" x14ac:dyDescent="0.2">
      <c r="A2346" s="3">
        <v>42535</v>
      </c>
      <c r="B2346" t="s">
        <v>23</v>
      </c>
      <c r="C2346">
        <v>501</v>
      </c>
      <c r="D2346">
        <v>10</v>
      </c>
      <c r="E2346">
        <v>1</v>
      </c>
      <c r="F2346" t="s">
        <v>24</v>
      </c>
      <c r="G2346" t="s">
        <v>25</v>
      </c>
      <c r="H2346" t="s">
        <v>26</v>
      </c>
      <c r="I2346" t="s">
        <v>57</v>
      </c>
      <c r="Z2346" t="s">
        <v>32</v>
      </c>
    </row>
    <row r="2347" spans="1:26" x14ac:dyDescent="0.2">
      <c r="A2347" s="3">
        <v>42535</v>
      </c>
      <c r="B2347" t="s">
        <v>23</v>
      </c>
      <c r="C2347">
        <v>503</v>
      </c>
      <c r="D2347">
        <v>1</v>
      </c>
      <c r="E2347">
        <v>1</v>
      </c>
      <c r="F2347" t="s">
        <v>24</v>
      </c>
      <c r="G2347" t="s">
        <v>25</v>
      </c>
      <c r="H2347" t="s">
        <v>26</v>
      </c>
      <c r="I2347" t="s">
        <v>57</v>
      </c>
      <c r="Z2347" t="s">
        <v>32</v>
      </c>
    </row>
    <row r="2348" spans="1:26" x14ac:dyDescent="0.2">
      <c r="A2348" s="3">
        <v>42535</v>
      </c>
      <c r="B2348" t="s">
        <v>23</v>
      </c>
      <c r="C2348">
        <v>503</v>
      </c>
      <c r="D2348">
        <v>2</v>
      </c>
      <c r="E2348">
        <v>1</v>
      </c>
      <c r="F2348" t="s">
        <v>24</v>
      </c>
      <c r="G2348" t="s">
        <v>25</v>
      </c>
      <c r="H2348" t="s">
        <v>26</v>
      </c>
      <c r="I2348" t="s">
        <v>57</v>
      </c>
      <c r="Z2348" t="s">
        <v>32</v>
      </c>
    </row>
    <row r="2349" spans="1:26" x14ac:dyDescent="0.2">
      <c r="A2349" s="3">
        <v>42535</v>
      </c>
      <c r="B2349" t="s">
        <v>23</v>
      </c>
      <c r="C2349">
        <v>503</v>
      </c>
      <c r="D2349">
        <v>5</v>
      </c>
      <c r="E2349">
        <v>1</v>
      </c>
      <c r="F2349" t="s">
        <v>24</v>
      </c>
      <c r="G2349" t="s">
        <v>25</v>
      </c>
      <c r="H2349" t="s">
        <v>26</v>
      </c>
      <c r="I2349" t="s">
        <v>57</v>
      </c>
      <c r="Z2349" t="s">
        <v>32</v>
      </c>
    </row>
    <row r="2350" spans="1:26" x14ac:dyDescent="0.2">
      <c r="A2350" s="3">
        <v>42535</v>
      </c>
      <c r="B2350" t="s">
        <v>23</v>
      </c>
      <c r="C2350">
        <v>503</v>
      </c>
      <c r="D2350">
        <v>8</v>
      </c>
      <c r="E2350">
        <v>1</v>
      </c>
      <c r="F2350" t="s">
        <v>24</v>
      </c>
      <c r="G2350" t="s">
        <v>25</v>
      </c>
      <c r="H2350" t="s">
        <v>26</v>
      </c>
      <c r="I2350" t="s">
        <v>57</v>
      </c>
      <c r="Z2350" t="s">
        <v>32</v>
      </c>
    </row>
    <row r="2351" spans="1:26" x14ac:dyDescent="0.2">
      <c r="A2351" s="3">
        <v>42535</v>
      </c>
      <c r="B2351" t="s">
        <v>23</v>
      </c>
      <c r="C2351">
        <v>303</v>
      </c>
      <c r="D2351">
        <v>1</v>
      </c>
      <c r="E2351">
        <v>1</v>
      </c>
      <c r="F2351" t="s">
        <v>24</v>
      </c>
      <c r="G2351" t="s">
        <v>25</v>
      </c>
      <c r="H2351" t="s">
        <v>26</v>
      </c>
      <c r="I2351" t="s">
        <v>57</v>
      </c>
      <c r="Z2351" t="s">
        <v>32</v>
      </c>
    </row>
    <row r="2352" spans="1:26" x14ac:dyDescent="0.2">
      <c r="A2352" s="3">
        <v>42535</v>
      </c>
      <c r="B2352" t="s">
        <v>23</v>
      </c>
      <c r="C2352">
        <v>303</v>
      </c>
      <c r="D2352">
        <v>2</v>
      </c>
      <c r="E2352">
        <v>1</v>
      </c>
      <c r="F2352" t="s">
        <v>24</v>
      </c>
      <c r="G2352" t="s">
        <v>25</v>
      </c>
      <c r="H2352" t="s">
        <v>26</v>
      </c>
      <c r="I2352" t="s">
        <v>57</v>
      </c>
      <c r="Z2352" t="s">
        <v>32</v>
      </c>
    </row>
    <row r="2353" spans="1:26" x14ac:dyDescent="0.2">
      <c r="A2353" s="3">
        <v>42535</v>
      </c>
      <c r="B2353" t="s">
        <v>23</v>
      </c>
      <c r="C2353">
        <v>303</v>
      </c>
      <c r="D2353">
        <v>3</v>
      </c>
      <c r="E2353">
        <v>1</v>
      </c>
      <c r="F2353" t="s">
        <v>24</v>
      </c>
      <c r="G2353" t="s">
        <v>25</v>
      </c>
      <c r="H2353" t="s">
        <v>26</v>
      </c>
      <c r="I2353" t="s">
        <v>57</v>
      </c>
      <c r="Z2353" t="s">
        <v>32</v>
      </c>
    </row>
    <row r="2354" spans="1:26" x14ac:dyDescent="0.2">
      <c r="A2354" s="3">
        <v>42535</v>
      </c>
      <c r="B2354" t="s">
        <v>23</v>
      </c>
      <c r="C2354">
        <v>303</v>
      </c>
      <c r="D2354">
        <v>4</v>
      </c>
      <c r="E2354">
        <v>1</v>
      </c>
      <c r="F2354" t="s">
        <v>24</v>
      </c>
      <c r="G2354" t="s">
        <v>25</v>
      </c>
      <c r="H2354" t="s">
        <v>26</v>
      </c>
      <c r="I2354" t="s">
        <v>57</v>
      </c>
      <c r="Z2354" t="s">
        <v>32</v>
      </c>
    </row>
    <row r="2355" spans="1:26" x14ac:dyDescent="0.2">
      <c r="A2355" s="3">
        <v>42535</v>
      </c>
      <c r="B2355" t="s">
        <v>23</v>
      </c>
      <c r="C2355">
        <v>303</v>
      </c>
      <c r="D2355">
        <v>5</v>
      </c>
      <c r="E2355">
        <v>1</v>
      </c>
      <c r="F2355" t="s">
        <v>24</v>
      </c>
      <c r="G2355" t="s">
        <v>25</v>
      </c>
      <c r="H2355" t="s">
        <v>26</v>
      </c>
      <c r="I2355" t="s">
        <v>57</v>
      </c>
      <c r="Z2355" t="s">
        <v>32</v>
      </c>
    </row>
    <row r="2356" spans="1:26" x14ac:dyDescent="0.2">
      <c r="A2356" s="3">
        <v>42535</v>
      </c>
      <c r="B2356" t="s">
        <v>23</v>
      </c>
      <c r="C2356">
        <v>303</v>
      </c>
      <c r="D2356">
        <v>5</v>
      </c>
      <c r="E2356">
        <v>2</v>
      </c>
      <c r="F2356" t="s">
        <v>24</v>
      </c>
      <c r="G2356" t="s">
        <v>25</v>
      </c>
      <c r="H2356" t="s">
        <v>26</v>
      </c>
      <c r="I2356" t="s">
        <v>57</v>
      </c>
      <c r="Z2356" t="s">
        <v>32</v>
      </c>
    </row>
    <row r="2357" spans="1:26" x14ac:dyDescent="0.2">
      <c r="A2357" s="3">
        <v>42535</v>
      </c>
      <c r="B2357" t="s">
        <v>23</v>
      </c>
      <c r="C2357">
        <v>703</v>
      </c>
      <c r="D2357">
        <v>4</v>
      </c>
      <c r="E2357">
        <v>1</v>
      </c>
      <c r="F2357" t="s">
        <v>33</v>
      </c>
      <c r="G2357" t="s">
        <v>25</v>
      </c>
      <c r="H2357" t="s">
        <v>26</v>
      </c>
      <c r="I2357" t="s">
        <v>57</v>
      </c>
      <c r="Z2357" t="s">
        <v>32</v>
      </c>
    </row>
    <row r="2358" spans="1:26" x14ac:dyDescent="0.2">
      <c r="A2358" s="3">
        <v>42535</v>
      </c>
      <c r="B2358" t="s">
        <v>23</v>
      </c>
      <c r="C2358">
        <v>703</v>
      </c>
      <c r="D2358">
        <v>9</v>
      </c>
      <c r="E2358">
        <v>1</v>
      </c>
      <c r="F2358" t="s">
        <v>33</v>
      </c>
      <c r="G2358" t="s">
        <v>25</v>
      </c>
      <c r="H2358" t="s">
        <v>26</v>
      </c>
      <c r="I2358" t="s">
        <v>57</v>
      </c>
      <c r="Z2358" t="s">
        <v>32</v>
      </c>
    </row>
    <row r="2359" spans="1:26" x14ac:dyDescent="0.2">
      <c r="A2359" s="3">
        <v>42535</v>
      </c>
      <c r="B2359" t="s">
        <v>23</v>
      </c>
      <c r="C2359">
        <v>703</v>
      </c>
      <c r="D2359">
        <v>9</v>
      </c>
      <c r="E2359">
        <v>2</v>
      </c>
      <c r="F2359" t="s">
        <v>33</v>
      </c>
      <c r="G2359" t="s">
        <v>25</v>
      </c>
      <c r="H2359" t="s">
        <v>26</v>
      </c>
      <c r="I2359" t="s">
        <v>57</v>
      </c>
      <c r="Z2359" t="s">
        <v>32</v>
      </c>
    </row>
    <row r="2360" spans="1:26" x14ac:dyDescent="0.2">
      <c r="A2360" s="3">
        <v>42535</v>
      </c>
      <c r="B2360" t="s">
        <v>23</v>
      </c>
      <c r="C2360">
        <v>703</v>
      </c>
      <c r="D2360">
        <v>10</v>
      </c>
      <c r="E2360">
        <v>1</v>
      </c>
      <c r="F2360" t="s">
        <v>33</v>
      </c>
      <c r="G2360" t="s">
        <v>25</v>
      </c>
      <c r="H2360" t="s">
        <v>26</v>
      </c>
      <c r="I2360" t="s">
        <v>57</v>
      </c>
      <c r="Z2360" t="s">
        <v>32</v>
      </c>
    </row>
    <row r="2361" spans="1:26" x14ac:dyDescent="0.2">
      <c r="A2361" s="3">
        <v>42535</v>
      </c>
      <c r="B2361" t="s">
        <v>23</v>
      </c>
      <c r="C2361">
        <v>801</v>
      </c>
      <c r="D2361">
        <v>4</v>
      </c>
      <c r="E2361">
        <v>1</v>
      </c>
      <c r="F2361" t="s">
        <v>33</v>
      </c>
      <c r="G2361" t="s">
        <v>25</v>
      </c>
      <c r="H2361" t="s">
        <v>26</v>
      </c>
      <c r="I2361" t="s">
        <v>57</v>
      </c>
      <c r="Z2361" t="s">
        <v>32</v>
      </c>
    </row>
    <row r="2362" spans="1:26" x14ac:dyDescent="0.2">
      <c r="A2362" s="3">
        <v>42535</v>
      </c>
      <c r="B2362" t="s">
        <v>23</v>
      </c>
      <c r="C2362">
        <v>803</v>
      </c>
      <c r="D2362">
        <v>8</v>
      </c>
      <c r="E2362">
        <v>1</v>
      </c>
      <c r="F2362" t="s">
        <v>33</v>
      </c>
      <c r="G2362" t="s">
        <v>25</v>
      </c>
      <c r="H2362" t="s">
        <v>26</v>
      </c>
      <c r="I2362" t="s">
        <v>57</v>
      </c>
      <c r="Z2362" t="s">
        <v>32</v>
      </c>
    </row>
    <row r="2363" spans="1:26" x14ac:dyDescent="0.2">
      <c r="A2363" s="3">
        <v>42535</v>
      </c>
      <c r="B2363" t="s">
        <v>23</v>
      </c>
      <c r="C2363">
        <v>803</v>
      </c>
      <c r="D2363">
        <v>6</v>
      </c>
      <c r="E2363">
        <v>1</v>
      </c>
      <c r="F2363" t="s">
        <v>33</v>
      </c>
      <c r="G2363" t="s">
        <v>25</v>
      </c>
      <c r="H2363" t="s">
        <v>26</v>
      </c>
      <c r="I2363" t="s">
        <v>57</v>
      </c>
      <c r="Z2363" t="s">
        <v>32</v>
      </c>
    </row>
    <row r="2364" spans="1:26" x14ac:dyDescent="0.2">
      <c r="A2364" s="3">
        <v>42536</v>
      </c>
      <c r="B2364" t="s">
        <v>23</v>
      </c>
      <c r="C2364">
        <v>501</v>
      </c>
      <c r="D2364">
        <v>9</v>
      </c>
      <c r="E2364">
        <v>1</v>
      </c>
      <c r="F2364" t="s">
        <v>24</v>
      </c>
      <c r="G2364" t="s">
        <v>25</v>
      </c>
      <c r="H2364" t="s">
        <v>26</v>
      </c>
      <c r="I2364" t="s">
        <v>57</v>
      </c>
      <c r="Z2364" t="s">
        <v>32</v>
      </c>
    </row>
    <row r="2365" spans="1:26" x14ac:dyDescent="0.2">
      <c r="A2365" s="3">
        <v>42536</v>
      </c>
      <c r="B2365" t="s">
        <v>23</v>
      </c>
      <c r="C2365">
        <v>501</v>
      </c>
      <c r="D2365">
        <v>9</v>
      </c>
      <c r="E2365">
        <v>2</v>
      </c>
      <c r="F2365" t="s">
        <v>24</v>
      </c>
      <c r="G2365" t="s">
        <v>25</v>
      </c>
      <c r="H2365" t="s">
        <v>26</v>
      </c>
      <c r="I2365" t="s">
        <v>57</v>
      </c>
      <c r="Z2365" t="s">
        <v>32</v>
      </c>
    </row>
    <row r="2366" spans="1:26" x14ac:dyDescent="0.2">
      <c r="A2366" s="3">
        <v>42536</v>
      </c>
      <c r="B2366" t="s">
        <v>23</v>
      </c>
      <c r="C2366">
        <v>503</v>
      </c>
      <c r="D2366">
        <v>9</v>
      </c>
      <c r="E2366">
        <v>1</v>
      </c>
      <c r="F2366" t="s">
        <v>24</v>
      </c>
      <c r="G2366" t="s">
        <v>25</v>
      </c>
      <c r="H2366" t="s">
        <v>26</v>
      </c>
      <c r="I2366" t="s">
        <v>57</v>
      </c>
      <c r="Z2366" t="s">
        <v>32</v>
      </c>
    </row>
    <row r="2367" spans="1:26" x14ac:dyDescent="0.2">
      <c r="A2367" s="3">
        <v>42536</v>
      </c>
      <c r="B2367" t="s">
        <v>23</v>
      </c>
      <c r="C2367">
        <v>503</v>
      </c>
      <c r="D2367">
        <v>9</v>
      </c>
      <c r="E2367">
        <v>2</v>
      </c>
      <c r="F2367" t="s">
        <v>24</v>
      </c>
      <c r="G2367" t="s">
        <v>25</v>
      </c>
      <c r="H2367" t="s">
        <v>26</v>
      </c>
      <c r="I2367" t="s">
        <v>57</v>
      </c>
      <c r="Z2367" t="s">
        <v>32</v>
      </c>
    </row>
    <row r="2368" spans="1:26" x14ac:dyDescent="0.2">
      <c r="A2368" s="3">
        <v>42536</v>
      </c>
      <c r="B2368" t="s">
        <v>23</v>
      </c>
      <c r="C2368">
        <v>503</v>
      </c>
      <c r="D2368">
        <v>10</v>
      </c>
      <c r="E2368">
        <v>1</v>
      </c>
      <c r="F2368" t="s">
        <v>24</v>
      </c>
      <c r="G2368" t="s">
        <v>25</v>
      </c>
      <c r="H2368" t="s">
        <v>26</v>
      </c>
      <c r="I2368" t="s">
        <v>57</v>
      </c>
      <c r="Z2368" t="s">
        <v>32</v>
      </c>
    </row>
    <row r="2369" spans="1:26" x14ac:dyDescent="0.2">
      <c r="A2369" s="3">
        <v>42536</v>
      </c>
      <c r="B2369" t="s">
        <v>23</v>
      </c>
      <c r="C2369">
        <v>503</v>
      </c>
      <c r="D2369">
        <v>10</v>
      </c>
      <c r="E2369">
        <v>2</v>
      </c>
      <c r="F2369" t="s">
        <v>24</v>
      </c>
      <c r="G2369" t="s">
        <v>25</v>
      </c>
      <c r="H2369" t="s">
        <v>26</v>
      </c>
      <c r="I2369" t="s">
        <v>57</v>
      </c>
      <c r="Z2369" t="s">
        <v>32</v>
      </c>
    </row>
    <row r="2370" spans="1:26" x14ac:dyDescent="0.2">
      <c r="A2370" s="3">
        <v>42536</v>
      </c>
      <c r="B2370" t="s">
        <v>23</v>
      </c>
      <c r="C2370">
        <v>303</v>
      </c>
      <c r="D2370">
        <v>2</v>
      </c>
      <c r="E2370">
        <v>1</v>
      </c>
      <c r="F2370" t="s">
        <v>24</v>
      </c>
      <c r="G2370" t="s">
        <v>25</v>
      </c>
      <c r="H2370" t="s">
        <v>26</v>
      </c>
      <c r="I2370" t="s">
        <v>57</v>
      </c>
      <c r="Z2370" t="s">
        <v>32</v>
      </c>
    </row>
    <row r="2371" spans="1:26" x14ac:dyDescent="0.2">
      <c r="A2371" s="3">
        <v>42536</v>
      </c>
      <c r="B2371" t="s">
        <v>23</v>
      </c>
      <c r="C2371">
        <v>303</v>
      </c>
      <c r="D2371">
        <v>5</v>
      </c>
      <c r="E2371">
        <v>1</v>
      </c>
      <c r="F2371" t="s">
        <v>24</v>
      </c>
      <c r="G2371" t="s">
        <v>25</v>
      </c>
      <c r="H2371" t="s">
        <v>26</v>
      </c>
      <c r="I2371" t="s">
        <v>57</v>
      </c>
      <c r="Z2371" t="s">
        <v>32</v>
      </c>
    </row>
    <row r="2372" spans="1:26" x14ac:dyDescent="0.2">
      <c r="A2372" s="3">
        <v>42536</v>
      </c>
      <c r="B2372" t="s">
        <v>23</v>
      </c>
      <c r="C2372">
        <v>703</v>
      </c>
      <c r="D2372">
        <v>1</v>
      </c>
      <c r="E2372">
        <v>1</v>
      </c>
      <c r="F2372" t="s">
        <v>33</v>
      </c>
      <c r="G2372" t="s">
        <v>25</v>
      </c>
      <c r="H2372" t="s">
        <v>26</v>
      </c>
      <c r="I2372" t="s">
        <v>57</v>
      </c>
      <c r="Z2372" t="s">
        <v>32</v>
      </c>
    </row>
    <row r="2373" spans="1:26" x14ac:dyDescent="0.2">
      <c r="A2373" s="3">
        <v>42536</v>
      </c>
      <c r="B2373" t="s">
        <v>23</v>
      </c>
      <c r="C2373">
        <v>703</v>
      </c>
      <c r="D2373">
        <v>1</v>
      </c>
      <c r="E2373">
        <v>2</v>
      </c>
      <c r="F2373" t="s">
        <v>33</v>
      </c>
      <c r="G2373" t="s">
        <v>25</v>
      </c>
      <c r="H2373" t="s">
        <v>26</v>
      </c>
      <c r="I2373" t="s">
        <v>57</v>
      </c>
      <c r="Z2373" t="s">
        <v>32</v>
      </c>
    </row>
    <row r="2374" spans="1:26" x14ac:dyDescent="0.2">
      <c r="A2374" s="3">
        <v>42536</v>
      </c>
      <c r="B2374" t="s">
        <v>23</v>
      </c>
      <c r="C2374">
        <v>703</v>
      </c>
      <c r="D2374">
        <v>2</v>
      </c>
      <c r="E2374">
        <v>1</v>
      </c>
      <c r="F2374" t="s">
        <v>33</v>
      </c>
      <c r="G2374" t="s">
        <v>25</v>
      </c>
      <c r="H2374" t="s">
        <v>26</v>
      </c>
      <c r="I2374" t="s">
        <v>57</v>
      </c>
      <c r="Z2374" t="s">
        <v>32</v>
      </c>
    </row>
    <row r="2375" spans="1:26" x14ac:dyDescent="0.2">
      <c r="A2375" s="3">
        <v>42536</v>
      </c>
      <c r="B2375" t="s">
        <v>23</v>
      </c>
      <c r="C2375">
        <v>703</v>
      </c>
      <c r="D2375">
        <v>7</v>
      </c>
      <c r="E2375">
        <v>1</v>
      </c>
      <c r="F2375" t="s">
        <v>33</v>
      </c>
      <c r="G2375" t="s">
        <v>25</v>
      </c>
      <c r="H2375" t="s">
        <v>26</v>
      </c>
      <c r="I2375" t="s">
        <v>57</v>
      </c>
      <c r="Z2375" t="s">
        <v>32</v>
      </c>
    </row>
    <row r="2376" spans="1:26" x14ac:dyDescent="0.2">
      <c r="A2376" s="3">
        <v>42536</v>
      </c>
      <c r="B2376" t="s">
        <v>23</v>
      </c>
      <c r="C2376">
        <v>701</v>
      </c>
      <c r="D2376">
        <v>3</v>
      </c>
      <c r="E2376">
        <v>1</v>
      </c>
      <c r="F2376" t="s">
        <v>33</v>
      </c>
      <c r="G2376" t="s">
        <v>25</v>
      </c>
      <c r="H2376" t="s">
        <v>26</v>
      </c>
      <c r="I2376" t="s">
        <v>57</v>
      </c>
      <c r="Z2376" t="s">
        <v>32</v>
      </c>
    </row>
    <row r="2377" spans="1:26" x14ac:dyDescent="0.2">
      <c r="A2377" s="3">
        <v>42536</v>
      </c>
      <c r="B2377" t="s">
        <v>23</v>
      </c>
      <c r="C2377">
        <v>701</v>
      </c>
      <c r="D2377">
        <v>4</v>
      </c>
      <c r="E2377">
        <v>1</v>
      </c>
      <c r="F2377" t="s">
        <v>33</v>
      </c>
      <c r="G2377" t="s">
        <v>25</v>
      </c>
      <c r="H2377" t="s">
        <v>26</v>
      </c>
      <c r="I2377" t="s">
        <v>57</v>
      </c>
      <c r="Z2377" t="s">
        <v>32</v>
      </c>
    </row>
    <row r="2378" spans="1:26" x14ac:dyDescent="0.2">
      <c r="A2378" s="3">
        <v>42536</v>
      </c>
      <c r="B2378" t="s">
        <v>23</v>
      </c>
      <c r="C2378">
        <v>701</v>
      </c>
      <c r="D2378">
        <v>4</v>
      </c>
      <c r="E2378">
        <v>2</v>
      </c>
      <c r="F2378" t="s">
        <v>33</v>
      </c>
      <c r="G2378" t="s">
        <v>25</v>
      </c>
      <c r="H2378" t="s">
        <v>26</v>
      </c>
      <c r="I2378" t="s">
        <v>57</v>
      </c>
      <c r="Z2378" t="s">
        <v>32</v>
      </c>
    </row>
    <row r="2379" spans="1:26" x14ac:dyDescent="0.2">
      <c r="A2379" s="3">
        <v>42536</v>
      </c>
      <c r="B2379" t="s">
        <v>23</v>
      </c>
      <c r="C2379">
        <v>701</v>
      </c>
      <c r="D2379">
        <v>7</v>
      </c>
      <c r="E2379">
        <v>2</v>
      </c>
      <c r="F2379" t="s">
        <v>33</v>
      </c>
      <c r="G2379" t="s">
        <v>25</v>
      </c>
      <c r="H2379" t="s">
        <v>26</v>
      </c>
      <c r="I2379" t="s">
        <v>57</v>
      </c>
      <c r="Z2379" t="s">
        <v>32</v>
      </c>
    </row>
    <row r="2380" spans="1:26" x14ac:dyDescent="0.2">
      <c r="A2380" s="3">
        <v>42536</v>
      </c>
      <c r="B2380" t="s">
        <v>23</v>
      </c>
      <c r="C2380">
        <v>803</v>
      </c>
      <c r="D2380">
        <v>10</v>
      </c>
      <c r="E2380">
        <v>1</v>
      </c>
      <c r="F2380" t="s">
        <v>33</v>
      </c>
      <c r="G2380" t="s">
        <v>25</v>
      </c>
      <c r="H2380" t="s">
        <v>26</v>
      </c>
      <c r="I2380" t="s">
        <v>57</v>
      </c>
      <c r="Z2380" t="s">
        <v>32</v>
      </c>
    </row>
    <row r="2381" spans="1:26" x14ac:dyDescent="0.2">
      <c r="A2381" s="3">
        <v>42536</v>
      </c>
      <c r="B2381" t="s">
        <v>23</v>
      </c>
      <c r="C2381">
        <v>803</v>
      </c>
      <c r="D2381">
        <v>8</v>
      </c>
      <c r="E2381">
        <v>1</v>
      </c>
      <c r="F2381" t="s">
        <v>33</v>
      </c>
      <c r="G2381" t="s">
        <v>25</v>
      </c>
      <c r="H2381" t="s">
        <v>26</v>
      </c>
      <c r="I2381" t="s">
        <v>57</v>
      </c>
      <c r="Z2381" t="s">
        <v>32</v>
      </c>
    </row>
    <row r="2382" spans="1:26" x14ac:dyDescent="0.2">
      <c r="A2382" s="3">
        <v>42536</v>
      </c>
      <c r="B2382" t="s">
        <v>23</v>
      </c>
      <c r="C2382">
        <v>803</v>
      </c>
      <c r="D2382">
        <v>5</v>
      </c>
      <c r="E2382">
        <v>1</v>
      </c>
      <c r="F2382" t="s">
        <v>33</v>
      </c>
      <c r="G2382" t="s">
        <v>25</v>
      </c>
      <c r="H2382" t="s">
        <v>26</v>
      </c>
      <c r="I2382" t="s">
        <v>57</v>
      </c>
      <c r="Z2382" t="s">
        <v>32</v>
      </c>
    </row>
    <row r="2383" spans="1:26" x14ac:dyDescent="0.2">
      <c r="A2383" s="3">
        <v>42537</v>
      </c>
      <c r="B2383" t="s">
        <v>23</v>
      </c>
      <c r="C2383">
        <v>703</v>
      </c>
      <c r="D2383">
        <v>1</v>
      </c>
      <c r="E2383">
        <v>1</v>
      </c>
      <c r="F2383" t="s">
        <v>33</v>
      </c>
      <c r="G2383" t="s">
        <v>25</v>
      </c>
      <c r="H2383" t="s">
        <v>26</v>
      </c>
      <c r="I2383" t="s">
        <v>57</v>
      </c>
      <c r="Z2383" t="s">
        <v>32</v>
      </c>
    </row>
    <row r="2384" spans="1:26" x14ac:dyDescent="0.2">
      <c r="A2384" s="3">
        <v>42537</v>
      </c>
      <c r="B2384" t="s">
        <v>23</v>
      </c>
      <c r="C2384">
        <v>703</v>
      </c>
      <c r="D2384">
        <v>1</v>
      </c>
      <c r="E2384">
        <v>2</v>
      </c>
      <c r="F2384" t="s">
        <v>33</v>
      </c>
      <c r="G2384" t="s">
        <v>25</v>
      </c>
      <c r="H2384" t="s">
        <v>26</v>
      </c>
      <c r="I2384" t="s">
        <v>57</v>
      </c>
      <c r="Z2384" t="s">
        <v>32</v>
      </c>
    </row>
    <row r="2385" spans="1:26" x14ac:dyDescent="0.2">
      <c r="A2385" s="3">
        <v>42537</v>
      </c>
      <c r="B2385" t="s">
        <v>23</v>
      </c>
      <c r="C2385">
        <v>703</v>
      </c>
      <c r="D2385">
        <v>7</v>
      </c>
      <c r="E2385">
        <v>1</v>
      </c>
      <c r="F2385" t="s">
        <v>33</v>
      </c>
      <c r="G2385" t="s">
        <v>25</v>
      </c>
      <c r="H2385" t="s">
        <v>26</v>
      </c>
      <c r="I2385" t="s">
        <v>57</v>
      </c>
      <c r="Z2385" t="s">
        <v>32</v>
      </c>
    </row>
    <row r="2386" spans="1:26" x14ac:dyDescent="0.2">
      <c r="A2386" s="3">
        <v>42537</v>
      </c>
      <c r="B2386" t="s">
        <v>23</v>
      </c>
      <c r="C2386">
        <v>703</v>
      </c>
      <c r="D2386">
        <v>7</v>
      </c>
      <c r="E2386">
        <v>2</v>
      </c>
      <c r="F2386" t="s">
        <v>33</v>
      </c>
      <c r="G2386" t="s">
        <v>25</v>
      </c>
      <c r="H2386" t="s">
        <v>26</v>
      </c>
      <c r="I2386" t="s">
        <v>57</v>
      </c>
      <c r="Z2386" t="s">
        <v>32</v>
      </c>
    </row>
    <row r="2387" spans="1:26" x14ac:dyDescent="0.2">
      <c r="A2387" s="3">
        <v>42537</v>
      </c>
      <c r="B2387" t="s">
        <v>23</v>
      </c>
      <c r="C2387">
        <v>701</v>
      </c>
      <c r="D2387">
        <v>10</v>
      </c>
      <c r="E2387">
        <v>1</v>
      </c>
      <c r="F2387" t="s">
        <v>33</v>
      </c>
      <c r="G2387" t="s">
        <v>25</v>
      </c>
      <c r="H2387" t="s">
        <v>26</v>
      </c>
      <c r="I2387" t="s">
        <v>57</v>
      </c>
      <c r="Z2387" t="s">
        <v>32</v>
      </c>
    </row>
    <row r="2388" spans="1:26" x14ac:dyDescent="0.2">
      <c r="A2388" s="3">
        <v>42537</v>
      </c>
      <c r="B2388" t="s">
        <v>23</v>
      </c>
      <c r="C2388">
        <v>803</v>
      </c>
      <c r="D2388">
        <v>10</v>
      </c>
      <c r="E2388">
        <v>1</v>
      </c>
      <c r="F2388" t="s">
        <v>33</v>
      </c>
      <c r="G2388" t="s">
        <v>25</v>
      </c>
      <c r="H2388" t="s">
        <v>26</v>
      </c>
      <c r="I2388" t="s">
        <v>57</v>
      </c>
      <c r="Z2388" t="s">
        <v>32</v>
      </c>
    </row>
    <row r="2389" spans="1:26" x14ac:dyDescent="0.2">
      <c r="A2389" s="3">
        <v>42537</v>
      </c>
      <c r="B2389" t="s">
        <v>23</v>
      </c>
      <c r="C2389">
        <v>803</v>
      </c>
      <c r="D2389">
        <v>9</v>
      </c>
      <c r="E2389">
        <v>1</v>
      </c>
      <c r="F2389" t="s">
        <v>33</v>
      </c>
      <c r="G2389" t="s">
        <v>25</v>
      </c>
      <c r="H2389" t="s">
        <v>26</v>
      </c>
      <c r="I2389" t="s">
        <v>57</v>
      </c>
      <c r="Z2389" t="s">
        <v>32</v>
      </c>
    </row>
    <row r="2390" spans="1:26" x14ac:dyDescent="0.2">
      <c r="A2390" s="3">
        <v>42537</v>
      </c>
      <c r="B2390" t="s">
        <v>23</v>
      </c>
      <c r="C2390">
        <v>803</v>
      </c>
      <c r="D2390">
        <v>5</v>
      </c>
      <c r="E2390">
        <v>1</v>
      </c>
      <c r="F2390" t="s">
        <v>33</v>
      </c>
      <c r="G2390" t="s">
        <v>25</v>
      </c>
      <c r="H2390" t="s">
        <v>26</v>
      </c>
      <c r="I2390" t="s">
        <v>57</v>
      </c>
      <c r="Z2390" t="s">
        <v>32</v>
      </c>
    </row>
    <row r="2391" spans="1:26" x14ac:dyDescent="0.2">
      <c r="A2391" s="3">
        <v>42537</v>
      </c>
      <c r="B2391" t="s">
        <v>23</v>
      </c>
      <c r="C2391">
        <v>803</v>
      </c>
      <c r="D2391">
        <v>4</v>
      </c>
      <c r="E2391">
        <v>1</v>
      </c>
      <c r="F2391" t="s">
        <v>33</v>
      </c>
      <c r="G2391" t="s">
        <v>25</v>
      </c>
      <c r="H2391" t="s">
        <v>26</v>
      </c>
      <c r="I2391" t="s">
        <v>57</v>
      </c>
      <c r="Z2391" t="s">
        <v>32</v>
      </c>
    </row>
    <row r="2392" spans="1:26" x14ac:dyDescent="0.2">
      <c r="A2392" s="3">
        <v>42537</v>
      </c>
      <c r="B2392" t="s">
        <v>23</v>
      </c>
      <c r="C2392">
        <v>501</v>
      </c>
      <c r="D2392">
        <v>8</v>
      </c>
      <c r="E2392">
        <v>1</v>
      </c>
      <c r="F2392" t="s">
        <v>24</v>
      </c>
      <c r="G2392" t="s">
        <v>25</v>
      </c>
      <c r="H2392" t="s">
        <v>26</v>
      </c>
      <c r="I2392" t="s">
        <v>57</v>
      </c>
      <c r="Z2392" t="s">
        <v>32</v>
      </c>
    </row>
    <row r="2393" spans="1:26" x14ac:dyDescent="0.2">
      <c r="A2393" s="3">
        <v>42537</v>
      </c>
      <c r="B2393" t="s">
        <v>23</v>
      </c>
      <c r="C2393">
        <v>503</v>
      </c>
      <c r="D2393">
        <v>8</v>
      </c>
      <c r="E2393">
        <v>1</v>
      </c>
      <c r="F2393" t="s">
        <v>24</v>
      </c>
      <c r="G2393" t="s">
        <v>25</v>
      </c>
      <c r="H2393" t="s">
        <v>26</v>
      </c>
      <c r="I2393" t="s">
        <v>57</v>
      </c>
      <c r="Z2393" t="s">
        <v>32</v>
      </c>
    </row>
    <row r="2394" spans="1:26" x14ac:dyDescent="0.2">
      <c r="A2394" s="3">
        <v>42537</v>
      </c>
      <c r="B2394" t="s">
        <v>23</v>
      </c>
      <c r="C2394">
        <v>503</v>
      </c>
      <c r="D2394">
        <v>10</v>
      </c>
      <c r="E2394">
        <v>1</v>
      </c>
      <c r="F2394" t="s">
        <v>24</v>
      </c>
      <c r="G2394" t="s">
        <v>25</v>
      </c>
      <c r="H2394" t="s">
        <v>26</v>
      </c>
      <c r="I2394" t="s">
        <v>57</v>
      </c>
      <c r="Z2394" t="s">
        <v>32</v>
      </c>
    </row>
    <row r="2395" spans="1:26" x14ac:dyDescent="0.2">
      <c r="A2395" s="3">
        <v>42537</v>
      </c>
      <c r="B2395" t="s">
        <v>23</v>
      </c>
      <c r="C2395">
        <v>303</v>
      </c>
      <c r="D2395">
        <v>2</v>
      </c>
      <c r="E2395">
        <v>1</v>
      </c>
      <c r="F2395" t="s">
        <v>24</v>
      </c>
      <c r="G2395" t="s">
        <v>25</v>
      </c>
      <c r="H2395" t="s">
        <v>26</v>
      </c>
      <c r="I2395" t="s">
        <v>57</v>
      </c>
      <c r="Z2395" t="s">
        <v>32</v>
      </c>
    </row>
    <row r="2396" spans="1:26" x14ac:dyDescent="0.2">
      <c r="A2396" s="3">
        <v>42537</v>
      </c>
      <c r="B2396" t="s">
        <v>23</v>
      </c>
      <c r="C2396">
        <v>401</v>
      </c>
      <c r="D2396">
        <v>1</v>
      </c>
      <c r="E2396">
        <v>1</v>
      </c>
      <c r="F2396" t="s">
        <v>24</v>
      </c>
      <c r="G2396" t="s">
        <v>25</v>
      </c>
      <c r="H2396" t="s">
        <v>26</v>
      </c>
      <c r="I2396" t="s">
        <v>57</v>
      </c>
      <c r="Z2396" t="s">
        <v>32</v>
      </c>
    </row>
    <row r="2397" spans="1:26" x14ac:dyDescent="0.2">
      <c r="A2397" s="3">
        <v>42537</v>
      </c>
      <c r="B2397" t="s">
        <v>23</v>
      </c>
      <c r="C2397">
        <v>401</v>
      </c>
      <c r="D2397">
        <v>4</v>
      </c>
      <c r="E2397">
        <v>1</v>
      </c>
      <c r="F2397" t="s">
        <v>24</v>
      </c>
      <c r="G2397" t="s">
        <v>25</v>
      </c>
      <c r="H2397" t="s">
        <v>26</v>
      </c>
      <c r="I2397" t="s">
        <v>57</v>
      </c>
      <c r="Z2397" t="s">
        <v>32</v>
      </c>
    </row>
    <row r="2398" spans="1:26" x14ac:dyDescent="0.2">
      <c r="A2398" s="3">
        <v>42541</v>
      </c>
      <c r="B2398" t="s">
        <v>23</v>
      </c>
      <c r="C2398">
        <v>201</v>
      </c>
      <c r="D2398">
        <v>4</v>
      </c>
      <c r="E2398">
        <v>1</v>
      </c>
      <c r="F2398" t="s">
        <v>33</v>
      </c>
      <c r="G2398" t="s">
        <v>25</v>
      </c>
      <c r="H2398" t="s">
        <v>26</v>
      </c>
      <c r="I2398" t="s">
        <v>57</v>
      </c>
      <c r="Z2398" t="s">
        <v>32</v>
      </c>
    </row>
    <row r="2399" spans="1:26" x14ac:dyDescent="0.2">
      <c r="A2399" s="3">
        <v>42541</v>
      </c>
      <c r="B2399" t="s">
        <v>23</v>
      </c>
      <c r="C2399">
        <v>201</v>
      </c>
      <c r="D2399">
        <v>6</v>
      </c>
      <c r="E2399">
        <v>1</v>
      </c>
      <c r="F2399" t="s">
        <v>33</v>
      </c>
      <c r="G2399" t="s">
        <v>25</v>
      </c>
      <c r="H2399" t="s">
        <v>26</v>
      </c>
      <c r="I2399" t="s">
        <v>57</v>
      </c>
      <c r="Z2399" t="s">
        <v>32</v>
      </c>
    </row>
    <row r="2400" spans="1:26" x14ac:dyDescent="0.2">
      <c r="A2400" s="3">
        <v>42541</v>
      </c>
      <c r="B2400" t="s">
        <v>23</v>
      </c>
      <c r="C2400">
        <v>201</v>
      </c>
      <c r="D2400">
        <v>7</v>
      </c>
      <c r="E2400">
        <v>1</v>
      </c>
      <c r="F2400" t="s">
        <v>33</v>
      </c>
      <c r="G2400" t="s">
        <v>25</v>
      </c>
      <c r="H2400" t="s">
        <v>26</v>
      </c>
      <c r="I2400" t="s">
        <v>57</v>
      </c>
      <c r="Z2400" t="s">
        <v>32</v>
      </c>
    </row>
    <row r="2401" spans="1:26" x14ac:dyDescent="0.2">
      <c r="A2401" s="3">
        <v>42541</v>
      </c>
      <c r="B2401" t="s">
        <v>23</v>
      </c>
      <c r="C2401">
        <v>201</v>
      </c>
      <c r="D2401">
        <v>8</v>
      </c>
      <c r="E2401">
        <v>1</v>
      </c>
      <c r="F2401" t="s">
        <v>33</v>
      </c>
      <c r="G2401" t="s">
        <v>25</v>
      </c>
      <c r="H2401" t="s">
        <v>26</v>
      </c>
      <c r="I2401" t="s">
        <v>57</v>
      </c>
      <c r="Z2401" t="s">
        <v>32</v>
      </c>
    </row>
    <row r="2402" spans="1:26" x14ac:dyDescent="0.2">
      <c r="A2402" s="3">
        <v>42541</v>
      </c>
      <c r="B2402" t="s">
        <v>23</v>
      </c>
      <c r="C2402">
        <v>201</v>
      </c>
      <c r="D2402">
        <v>8</v>
      </c>
      <c r="E2402">
        <v>2</v>
      </c>
      <c r="F2402" t="s">
        <v>33</v>
      </c>
      <c r="G2402" t="s">
        <v>25</v>
      </c>
      <c r="H2402" t="s">
        <v>26</v>
      </c>
      <c r="I2402" t="s">
        <v>57</v>
      </c>
      <c r="Z2402" t="s">
        <v>32</v>
      </c>
    </row>
    <row r="2403" spans="1:26" x14ac:dyDescent="0.2">
      <c r="A2403" s="3">
        <v>42541</v>
      </c>
      <c r="B2403" t="s">
        <v>23</v>
      </c>
      <c r="C2403">
        <v>203</v>
      </c>
      <c r="D2403">
        <v>8</v>
      </c>
      <c r="E2403">
        <v>1</v>
      </c>
      <c r="F2403" t="s">
        <v>33</v>
      </c>
      <c r="G2403" t="s">
        <v>25</v>
      </c>
      <c r="H2403" t="s">
        <v>26</v>
      </c>
      <c r="I2403" t="s">
        <v>57</v>
      </c>
      <c r="Z2403" t="s">
        <v>32</v>
      </c>
    </row>
    <row r="2404" spans="1:26" x14ac:dyDescent="0.2">
      <c r="A2404" s="3">
        <v>42541</v>
      </c>
      <c r="B2404" t="s">
        <v>23</v>
      </c>
      <c r="C2404">
        <v>203</v>
      </c>
      <c r="D2404">
        <v>9</v>
      </c>
      <c r="E2404">
        <v>1</v>
      </c>
      <c r="F2404" t="s">
        <v>33</v>
      </c>
      <c r="G2404" t="s">
        <v>25</v>
      </c>
      <c r="H2404" t="s">
        <v>26</v>
      </c>
      <c r="I2404" t="s">
        <v>57</v>
      </c>
      <c r="Z2404" t="s">
        <v>32</v>
      </c>
    </row>
    <row r="2405" spans="1:26" x14ac:dyDescent="0.2">
      <c r="A2405" s="3">
        <v>42541</v>
      </c>
      <c r="B2405" t="s">
        <v>23</v>
      </c>
      <c r="C2405">
        <v>202</v>
      </c>
      <c r="D2405">
        <v>2</v>
      </c>
      <c r="E2405">
        <v>1</v>
      </c>
      <c r="F2405" t="s">
        <v>33</v>
      </c>
      <c r="G2405" t="s">
        <v>25</v>
      </c>
      <c r="H2405" t="s">
        <v>26</v>
      </c>
      <c r="I2405" t="s">
        <v>57</v>
      </c>
      <c r="Z2405" t="s">
        <v>32</v>
      </c>
    </row>
    <row r="2406" spans="1:26" x14ac:dyDescent="0.2">
      <c r="A2406" s="3">
        <v>42541</v>
      </c>
      <c r="B2406" t="s">
        <v>23</v>
      </c>
      <c r="C2406">
        <v>111</v>
      </c>
      <c r="D2406">
        <v>4</v>
      </c>
      <c r="E2406">
        <v>1</v>
      </c>
      <c r="F2406" t="s">
        <v>24</v>
      </c>
      <c r="G2406" t="s">
        <v>25</v>
      </c>
      <c r="H2406" t="s">
        <v>26</v>
      </c>
      <c r="I2406" t="s">
        <v>57</v>
      </c>
      <c r="Z2406" t="s">
        <v>32</v>
      </c>
    </row>
    <row r="2407" spans="1:26" x14ac:dyDescent="0.2">
      <c r="A2407" s="3">
        <v>42541</v>
      </c>
      <c r="B2407" t="s">
        <v>23</v>
      </c>
      <c r="C2407">
        <v>111</v>
      </c>
      <c r="D2407">
        <v>4</v>
      </c>
      <c r="E2407">
        <v>2</v>
      </c>
      <c r="F2407" t="s">
        <v>24</v>
      </c>
      <c r="G2407" t="s">
        <v>25</v>
      </c>
      <c r="H2407" t="s">
        <v>26</v>
      </c>
      <c r="I2407" t="s">
        <v>57</v>
      </c>
      <c r="Z2407" t="s">
        <v>32</v>
      </c>
    </row>
    <row r="2408" spans="1:26" x14ac:dyDescent="0.2">
      <c r="A2408" s="3">
        <v>42541</v>
      </c>
      <c r="B2408" t="s">
        <v>23</v>
      </c>
      <c r="C2408">
        <v>111</v>
      </c>
      <c r="D2408">
        <v>7</v>
      </c>
      <c r="E2408">
        <v>1</v>
      </c>
      <c r="F2408" t="s">
        <v>24</v>
      </c>
      <c r="G2408" t="s">
        <v>25</v>
      </c>
      <c r="H2408" t="s">
        <v>26</v>
      </c>
      <c r="I2408" t="s">
        <v>57</v>
      </c>
      <c r="Z2408" t="s">
        <v>32</v>
      </c>
    </row>
    <row r="2409" spans="1:26" x14ac:dyDescent="0.2">
      <c r="A2409" s="3">
        <v>42541</v>
      </c>
      <c r="B2409" t="s">
        <v>23</v>
      </c>
      <c r="C2409">
        <v>111</v>
      </c>
      <c r="D2409">
        <v>8</v>
      </c>
      <c r="E2409">
        <v>1</v>
      </c>
      <c r="F2409" t="s">
        <v>24</v>
      </c>
      <c r="G2409" t="s">
        <v>25</v>
      </c>
      <c r="H2409" t="s">
        <v>26</v>
      </c>
      <c r="I2409" t="s">
        <v>57</v>
      </c>
      <c r="Z2409" t="s">
        <v>32</v>
      </c>
    </row>
    <row r="2410" spans="1:26" x14ac:dyDescent="0.2">
      <c r="A2410" s="3">
        <v>42541</v>
      </c>
      <c r="B2410" t="s">
        <v>23</v>
      </c>
      <c r="C2410">
        <v>111</v>
      </c>
      <c r="D2410">
        <v>8</v>
      </c>
      <c r="E2410">
        <v>2</v>
      </c>
      <c r="F2410" t="s">
        <v>24</v>
      </c>
      <c r="G2410" t="s">
        <v>25</v>
      </c>
      <c r="H2410" t="s">
        <v>26</v>
      </c>
      <c r="I2410" t="s">
        <v>57</v>
      </c>
      <c r="Z2410" t="s">
        <v>32</v>
      </c>
    </row>
    <row r="2411" spans="1:26" x14ac:dyDescent="0.2">
      <c r="A2411" s="3">
        <v>42541</v>
      </c>
      <c r="B2411" t="s">
        <v>23</v>
      </c>
      <c r="C2411">
        <v>112</v>
      </c>
      <c r="D2411">
        <v>4</v>
      </c>
      <c r="E2411">
        <v>1</v>
      </c>
      <c r="F2411" t="s">
        <v>24</v>
      </c>
      <c r="G2411" t="s">
        <v>25</v>
      </c>
      <c r="H2411" t="s">
        <v>26</v>
      </c>
      <c r="I2411" t="s">
        <v>57</v>
      </c>
      <c r="Z2411" t="s">
        <v>32</v>
      </c>
    </row>
    <row r="2412" spans="1:26" x14ac:dyDescent="0.2">
      <c r="A2412" s="3">
        <v>42541</v>
      </c>
      <c r="B2412" t="s">
        <v>23</v>
      </c>
      <c r="C2412">
        <v>112</v>
      </c>
      <c r="D2412">
        <v>9</v>
      </c>
      <c r="E2412">
        <v>1</v>
      </c>
      <c r="F2412" t="s">
        <v>24</v>
      </c>
      <c r="G2412" t="s">
        <v>25</v>
      </c>
      <c r="H2412" t="s">
        <v>26</v>
      </c>
      <c r="I2412" t="s">
        <v>57</v>
      </c>
      <c r="Z2412" t="s">
        <v>32</v>
      </c>
    </row>
    <row r="2413" spans="1:26" x14ac:dyDescent="0.2">
      <c r="A2413" s="3">
        <v>42541</v>
      </c>
      <c r="B2413" t="s">
        <v>23</v>
      </c>
      <c r="C2413">
        <v>112</v>
      </c>
      <c r="D2413">
        <v>10</v>
      </c>
      <c r="E2413">
        <v>1</v>
      </c>
      <c r="F2413" t="s">
        <v>24</v>
      </c>
      <c r="G2413" t="s">
        <v>25</v>
      </c>
      <c r="H2413" t="s">
        <v>26</v>
      </c>
      <c r="I2413" t="s">
        <v>57</v>
      </c>
      <c r="Z2413" t="s">
        <v>32</v>
      </c>
    </row>
    <row r="2414" spans="1:26" x14ac:dyDescent="0.2">
      <c r="A2414" s="3">
        <v>42541</v>
      </c>
      <c r="B2414" t="s">
        <v>23</v>
      </c>
      <c r="C2414">
        <v>113</v>
      </c>
      <c r="D2414">
        <v>1</v>
      </c>
      <c r="E2414">
        <v>2</v>
      </c>
      <c r="F2414" t="s">
        <v>24</v>
      </c>
      <c r="G2414" t="s">
        <v>25</v>
      </c>
      <c r="H2414" t="s">
        <v>26</v>
      </c>
      <c r="I2414" t="s">
        <v>57</v>
      </c>
      <c r="Z2414" t="s">
        <v>32</v>
      </c>
    </row>
    <row r="2415" spans="1:26" x14ac:dyDescent="0.2">
      <c r="A2415" s="3">
        <v>42541</v>
      </c>
      <c r="B2415" t="s">
        <v>23</v>
      </c>
      <c r="C2415">
        <v>113</v>
      </c>
      <c r="D2415">
        <v>8</v>
      </c>
      <c r="E2415">
        <v>2</v>
      </c>
      <c r="F2415" t="s">
        <v>24</v>
      </c>
      <c r="G2415" t="s">
        <v>25</v>
      </c>
      <c r="H2415" t="s">
        <v>26</v>
      </c>
      <c r="I2415" t="s">
        <v>57</v>
      </c>
      <c r="Z2415" t="s">
        <v>32</v>
      </c>
    </row>
    <row r="2416" spans="1:26" x14ac:dyDescent="0.2">
      <c r="A2416" s="3">
        <v>42541</v>
      </c>
      <c r="B2416" t="s">
        <v>23</v>
      </c>
      <c r="C2416">
        <v>402</v>
      </c>
      <c r="D2416">
        <v>1</v>
      </c>
      <c r="E2416">
        <v>1</v>
      </c>
      <c r="F2416" t="s">
        <v>24</v>
      </c>
      <c r="G2416" t="s">
        <v>25</v>
      </c>
      <c r="H2416" t="s">
        <v>26</v>
      </c>
      <c r="I2416" t="s">
        <v>57</v>
      </c>
      <c r="Z2416" t="s">
        <v>32</v>
      </c>
    </row>
    <row r="2417" spans="1:26" x14ac:dyDescent="0.2">
      <c r="A2417" s="3">
        <v>42542</v>
      </c>
      <c r="B2417" t="s">
        <v>23</v>
      </c>
      <c r="C2417">
        <v>201</v>
      </c>
      <c r="D2417">
        <v>3</v>
      </c>
      <c r="E2417">
        <v>1</v>
      </c>
      <c r="F2417" t="s">
        <v>33</v>
      </c>
      <c r="G2417" t="s">
        <v>25</v>
      </c>
      <c r="H2417" t="s">
        <v>26</v>
      </c>
      <c r="I2417" t="s">
        <v>57</v>
      </c>
      <c r="Z2417" t="s">
        <v>32</v>
      </c>
    </row>
    <row r="2418" spans="1:26" x14ac:dyDescent="0.2">
      <c r="A2418" s="3">
        <v>42542</v>
      </c>
      <c r="B2418" t="s">
        <v>23</v>
      </c>
      <c r="C2418">
        <v>201</v>
      </c>
      <c r="D2418">
        <v>4</v>
      </c>
      <c r="E2418">
        <v>1</v>
      </c>
      <c r="F2418" t="s">
        <v>33</v>
      </c>
      <c r="G2418" t="s">
        <v>25</v>
      </c>
      <c r="H2418" t="s">
        <v>26</v>
      </c>
      <c r="I2418" t="s">
        <v>57</v>
      </c>
      <c r="Z2418" t="s">
        <v>32</v>
      </c>
    </row>
    <row r="2419" spans="1:26" x14ac:dyDescent="0.2">
      <c r="A2419" s="3">
        <v>42542</v>
      </c>
      <c r="B2419" t="s">
        <v>23</v>
      </c>
      <c r="C2419">
        <v>201</v>
      </c>
      <c r="D2419">
        <v>5</v>
      </c>
      <c r="E2419">
        <v>1</v>
      </c>
      <c r="F2419" t="s">
        <v>33</v>
      </c>
      <c r="G2419" t="s">
        <v>25</v>
      </c>
      <c r="H2419" t="s">
        <v>26</v>
      </c>
      <c r="I2419" t="s">
        <v>57</v>
      </c>
      <c r="Z2419" t="s">
        <v>32</v>
      </c>
    </row>
    <row r="2420" spans="1:26" x14ac:dyDescent="0.2">
      <c r="A2420" s="3">
        <v>42542</v>
      </c>
      <c r="B2420" t="s">
        <v>23</v>
      </c>
      <c r="C2420">
        <v>201</v>
      </c>
      <c r="D2420">
        <v>6</v>
      </c>
      <c r="E2420">
        <v>1</v>
      </c>
      <c r="F2420" t="s">
        <v>33</v>
      </c>
      <c r="G2420" t="s">
        <v>25</v>
      </c>
      <c r="H2420" t="s">
        <v>26</v>
      </c>
      <c r="I2420" t="s">
        <v>57</v>
      </c>
      <c r="Z2420" t="s">
        <v>32</v>
      </c>
    </row>
    <row r="2421" spans="1:26" x14ac:dyDescent="0.2">
      <c r="A2421" s="3">
        <v>42542</v>
      </c>
      <c r="B2421" t="s">
        <v>23</v>
      </c>
      <c r="C2421">
        <v>201</v>
      </c>
      <c r="D2421">
        <v>7</v>
      </c>
      <c r="E2421">
        <v>1</v>
      </c>
      <c r="F2421" t="s">
        <v>33</v>
      </c>
      <c r="G2421" t="s">
        <v>25</v>
      </c>
      <c r="H2421" t="s">
        <v>26</v>
      </c>
      <c r="I2421" t="s">
        <v>57</v>
      </c>
      <c r="Z2421" t="s">
        <v>32</v>
      </c>
    </row>
    <row r="2422" spans="1:26" x14ac:dyDescent="0.2">
      <c r="A2422" s="3">
        <v>42542</v>
      </c>
      <c r="B2422" t="s">
        <v>23</v>
      </c>
      <c r="C2422">
        <v>203</v>
      </c>
      <c r="D2422">
        <v>4</v>
      </c>
      <c r="E2422">
        <v>1</v>
      </c>
      <c r="F2422" t="s">
        <v>33</v>
      </c>
      <c r="G2422" t="s">
        <v>25</v>
      </c>
      <c r="H2422" t="s">
        <v>26</v>
      </c>
      <c r="I2422" t="s">
        <v>57</v>
      </c>
      <c r="Z2422" t="s">
        <v>32</v>
      </c>
    </row>
    <row r="2423" spans="1:26" x14ac:dyDescent="0.2">
      <c r="A2423" s="3">
        <v>42542</v>
      </c>
      <c r="B2423" t="s">
        <v>23</v>
      </c>
      <c r="C2423">
        <v>203</v>
      </c>
      <c r="D2423">
        <v>8</v>
      </c>
      <c r="E2423">
        <v>1</v>
      </c>
      <c r="F2423" t="s">
        <v>33</v>
      </c>
      <c r="G2423" t="s">
        <v>25</v>
      </c>
      <c r="H2423" t="s">
        <v>26</v>
      </c>
      <c r="I2423" t="s">
        <v>57</v>
      </c>
      <c r="Z2423" t="s">
        <v>32</v>
      </c>
    </row>
    <row r="2424" spans="1:26" x14ac:dyDescent="0.2">
      <c r="A2424" s="3">
        <v>42542</v>
      </c>
      <c r="B2424" t="s">
        <v>23</v>
      </c>
      <c r="C2424">
        <v>203</v>
      </c>
      <c r="D2424">
        <v>9</v>
      </c>
      <c r="E2424">
        <v>1</v>
      </c>
      <c r="F2424" t="s">
        <v>33</v>
      </c>
      <c r="G2424" t="s">
        <v>25</v>
      </c>
      <c r="H2424" t="s">
        <v>26</v>
      </c>
      <c r="I2424" t="s">
        <v>57</v>
      </c>
      <c r="Z2424" t="s">
        <v>32</v>
      </c>
    </row>
    <row r="2425" spans="1:26" x14ac:dyDescent="0.2">
      <c r="A2425" s="3">
        <v>42542</v>
      </c>
      <c r="B2425" t="s">
        <v>23</v>
      </c>
      <c r="C2425">
        <v>203</v>
      </c>
      <c r="D2425">
        <v>9</v>
      </c>
      <c r="E2425">
        <v>2</v>
      </c>
      <c r="F2425" t="s">
        <v>33</v>
      </c>
      <c r="G2425" t="s">
        <v>25</v>
      </c>
      <c r="H2425" t="s">
        <v>26</v>
      </c>
      <c r="I2425" t="s">
        <v>57</v>
      </c>
      <c r="Z2425" t="s">
        <v>32</v>
      </c>
    </row>
    <row r="2426" spans="1:26" x14ac:dyDescent="0.2">
      <c r="A2426" s="3">
        <v>42542</v>
      </c>
      <c r="B2426" t="s">
        <v>23</v>
      </c>
      <c r="C2426">
        <v>202</v>
      </c>
      <c r="D2426">
        <v>2</v>
      </c>
      <c r="E2426">
        <v>1</v>
      </c>
      <c r="F2426" t="s">
        <v>33</v>
      </c>
      <c r="G2426" t="s">
        <v>25</v>
      </c>
      <c r="H2426" t="s">
        <v>26</v>
      </c>
      <c r="I2426" t="s">
        <v>57</v>
      </c>
      <c r="Z2426" t="s">
        <v>32</v>
      </c>
    </row>
    <row r="2427" spans="1:26" x14ac:dyDescent="0.2">
      <c r="A2427" s="3">
        <v>42542</v>
      </c>
      <c r="B2427" t="s">
        <v>23</v>
      </c>
      <c r="C2427">
        <v>202</v>
      </c>
      <c r="D2427">
        <v>5</v>
      </c>
      <c r="E2427">
        <v>1</v>
      </c>
      <c r="F2427" t="s">
        <v>33</v>
      </c>
      <c r="G2427" t="s">
        <v>25</v>
      </c>
      <c r="H2427" t="s">
        <v>26</v>
      </c>
      <c r="I2427" t="s">
        <v>57</v>
      </c>
      <c r="Z2427" t="s">
        <v>32</v>
      </c>
    </row>
    <row r="2428" spans="1:26" x14ac:dyDescent="0.2">
      <c r="A2428" s="3">
        <v>42542</v>
      </c>
      <c r="B2428" t="s">
        <v>23</v>
      </c>
      <c r="C2428">
        <v>301</v>
      </c>
      <c r="D2428">
        <v>2</v>
      </c>
      <c r="E2428">
        <v>1</v>
      </c>
      <c r="F2428" t="s">
        <v>33</v>
      </c>
      <c r="G2428" t="s">
        <v>25</v>
      </c>
      <c r="H2428" t="s">
        <v>26</v>
      </c>
      <c r="I2428" t="s">
        <v>57</v>
      </c>
      <c r="Z2428" t="s">
        <v>32</v>
      </c>
    </row>
    <row r="2429" spans="1:26" x14ac:dyDescent="0.2">
      <c r="A2429" s="3">
        <v>42542</v>
      </c>
      <c r="B2429" t="s">
        <v>23</v>
      </c>
      <c r="C2429">
        <v>301</v>
      </c>
      <c r="D2429">
        <v>6</v>
      </c>
      <c r="E2429">
        <v>1</v>
      </c>
      <c r="F2429" t="s">
        <v>33</v>
      </c>
      <c r="G2429" t="s">
        <v>25</v>
      </c>
      <c r="H2429" t="s">
        <v>26</v>
      </c>
      <c r="I2429" t="s">
        <v>57</v>
      </c>
      <c r="Z2429" t="s">
        <v>32</v>
      </c>
    </row>
    <row r="2430" spans="1:26" x14ac:dyDescent="0.2">
      <c r="A2430" s="3">
        <v>42542</v>
      </c>
      <c r="B2430" t="s">
        <v>23</v>
      </c>
      <c r="C2430">
        <v>301</v>
      </c>
      <c r="D2430">
        <v>7</v>
      </c>
      <c r="E2430">
        <v>1</v>
      </c>
      <c r="F2430" t="s">
        <v>33</v>
      </c>
      <c r="G2430" t="s">
        <v>25</v>
      </c>
      <c r="H2430" t="s">
        <v>26</v>
      </c>
      <c r="I2430" t="s">
        <v>57</v>
      </c>
      <c r="Z2430" t="s">
        <v>32</v>
      </c>
    </row>
    <row r="2431" spans="1:26" x14ac:dyDescent="0.2">
      <c r="A2431" s="3">
        <v>42542</v>
      </c>
      <c r="B2431" t="s">
        <v>23</v>
      </c>
      <c r="C2431">
        <v>112</v>
      </c>
      <c r="D2431">
        <v>6</v>
      </c>
      <c r="E2431">
        <v>1</v>
      </c>
      <c r="F2431" t="s">
        <v>24</v>
      </c>
      <c r="G2431" t="s">
        <v>25</v>
      </c>
      <c r="H2431" t="s">
        <v>26</v>
      </c>
      <c r="I2431" t="s">
        <v>57</v>
      </c>
      <c r="Z2431" t="s">
        <v>32</v>
      </c>
    </row>
    <row r="2432" spans="1:26" x14ac:dyDescent="0.2">
      <c r="A2432" s="3">
        <v>42542</v>
      </c>
      <c r="B2432" t="s">
        <v>23</v>
      </c>
      <c r="C2432">
        <v>112</v>
      </c>
      <c r="D2432">
        <v>8</v>
      </c>
      <c r="E2432">
        <v>1</v>
      </c>
      <c r="F2432" t="s">
        <v>24</v>
      </c>
      <c r="G2432" t="s">
        <v>25</v>
      </c>
      <c r="H2432" t="s">
        <v>26</v>
      </c>
      <c r="I2432" t="s">
        <v>57</v>
      </c>
      <c r="Z2432" t="s">
        <v>32</v>
      </c>
    </row>
    <row r="2433" spans="1:26" x14ac:dyDescent="0.2">
      <c r="A2433" s="3">
        <v>42542</v>
      </c>
      <c r="B2433" t="s">
        <v>23</v>
      </c>
      <c r="C2433">
        <v>112</v>
      </c>
      <c r="D2433">
        <v>9</v>
      </c>
      <c r="E2433">
        <v>1</v>
      </c>
      <c r="F2433" t="s">
        <v>24</v>
      </c>
      <c r="G2433" t="s">
        <v>25</v>
      </c>
      <c r="H2433" t="s">
        <v>26</v>
      </c>
      <c r="I2433" t="s">
        <v>57</v>
      </c>
      <c r="Z2433" t="s">
        <v>32</v>
      </c>
    </row>
    <row r="2434" spans="1:26" x14ac:dyDescent="0.2">
      <c r="A2434" s="3">
        <v>42542</v>
      </c>
      <c r="B2434" t="s">
        <v>23</v>
      </c>
      <c r="C2434">
        <v>113</v>
      </c>
      <c r="D2434">
        <v>1</v>
      </c>
      <c r="E2434">
        <v>1</v>
      </c>
      <c r="F2434" t="s">
        <v>24</v>
      </c>
      <c r="G2434" t="s">
        <v>25</v>
      </c>
      <c r="H2434" t="s">
        <v>26</v>
      </c>
      <c r="I2434" t="s">
        <v>57</v>
      </c>
      <c r="Z2434" t="s">
        <v>32</v>
      </c>
    </row>
    <row r="2435" spans="1:26" x14ac:dyDescent="0.2">
      <c r="A2435" s="3">
        <v>42542</v>
      </c>
      <c r="B2435" t="s">
        <v>23</v>
      </c>
      <c r="C2435">
        <v>113</v>
      </c>
      <c r="D2435">
        <v>8</v>
      </c>
      <c r="E2435">
        <v>1</v>
      </c>
      <c r="F2435" t="s">
        <v>24</v>
      </c>
      <c r="G2435" t="s">
        <v>25</v>
      </c>
      <c r="H2435" t="s">
        <v>26</v>
      </c>
      <c r="I2435" t="s">
        <v>57</v>
      </c>
      <c r="Z2435" t="s">
        <v>32</v>
      </c>
    </row>
    <row r="2436" spans="1:26" x14ac:dyDescent="0.2">
      <c r="A2436" s="3">
        <v>42542</v>
      </c>
      <c r="B2436" t="s">
        <v>23</v>
      </c>
      <c r="C2436">
        <v>113</v>
      </c>
      <c r="D2436">
        <v>8</v>
      </c>
      <c r="E2436">
        <v>2</v>
      </c>
      <c r="F2436" t="s">
        <v>24</v>
      </c>
      <c r="G2436" t="s">
        <v>25</v>
      </c>
      <c r="H2436" t="s">
        <v>26</v>
      </c>
      <c r="I2436" t="s">
        <v>57</v>
      </c>
      <c r="Z2436" t="s">
        <v>32</v>
      </c>
    </row>
    <row r="2437" spans="1:26" x14ac:dyDescent="0.2">
      <c r="A2437" s="3">
        <v>42542</v>
      </c>
      <c r="B2437" t="s">
        <v>23</v>
      </c>
      <c r="C2437">
        <v>402</v>
      </c>
      <c r="D2437">
        <v>8</v>
      </c>
      <c r="E2437">
        <v>1</v>
      </c>
      <c r="F2437" t="s">
        <v>24</v>
      </c>
      <c r="G2437" t="s">
        <v>25</v>
      </c>
      <c r="H2437" t="s">
        <v>26</v>
      </c>
      <c r="I2437" t="s">
        <v>57</v>
      </c>
      <c r="Z2437" t="s">
        <v>32</v>
      </c>
    </row>
    <row r="2438" spans="1:26" x14ac:dyDescent="0.2">
      <c r="A2438" s="3">
        <v>42543</v>
      </c>
      <c r="B2438" t="s">
        <v>23</v>
      </c>
      <c r="C2438">
        <v>111</v>
      </c>
      <c r="D2438">
        <v>9</v>
      </c>
      <c r="E2438">
        <v>1</v>
      </c>
      <c r="F2438" t="s">
        <v>24</v>
      </c>
      <c r="G2438" t="s">
        <v>25</v>
      </c>
      <c r="H2438" t="s">
        <v>26</v>
      </c>
      <c r="I2438" t="s">
        <v>57</v>
      </c>
      <c r="Z2438" t="s">
        <v>32</v>
      </c>
    </row>
    <row r="2439" spans="1:26" x14ac:dyDescent="0.2">
      <c r="A2439" s="3">
        <v>42543</v>
      </c>
      <c r="B2439" t="s">
        <v>23</v>
      </c>
      <c r="C2439">
        <v>112</v>
      </c>
      <c r="D2439">
        <v>1</v>
      </c>
      <c r="E2439">
        <v>2</v>
      </c>
      <c r="F2439" t="s">
        <v>24</v>
      </c>
      <c r="G2439" t="s">
        <v>25</v>
      </c>
      <c r="H2439" t="s">
        <v>26</v>
      </c>
      <c r="I2439" t="s">
        <v>57</v>
      </c>
      <c r="Z2439" t="s">
        <v>32</v>
      </c>
    </row>
    <row r="2440" spans="1:26" x14ac:dyDescent="0.2">
      <c r="A2440" s="3">
        <v>42543</v>
      </c>
      <c r="B2440" t="s">
        <v>23</v>
      </c>
      <c r="C2440">
        <v>112</v>
      </c>
      <c r="D2440">
        <v>4</v>
      </c>
      <c r="E2440">
        <v>2</v>
      </c>
      <c r="F2440" t="s">
        <v>24</v>
      </c>
      <c r="G2440" t="s">
        <v>25</v>
      </c>
      <c r="H2440" t="s">
        <v>26</v>
      </c>
      <c r="I2440" t="s">
        <v>57</v>
      </c>
      <c r="Z2440" t="s">
        <v>32</v>
      </c>
    </row>
    <row r="2441" spans="1:26" x14ac:dyDescent="0.2">
      <c r="A2441" s="3">
        <v>42543</v>
      </c>
      <c r="B2441" t="s">
        <v>23</v>
      </c>
      <c r="C2441">
        <v>112</v>
      </c>
      <c r="D2441">
        <v>5</v>
      </c>
      <c r="E2441">
        <v>2</v>
      </c>
      <c r="F2441" t="s">
        <v>24</v>
      </c>
      <c r="G2441" t="s">
        <v>25</v>
      </c>
      <c r="H2441" t="s">
        <v>26</v>
      </c>
      <c r="I2441" t="s">
        <v>57</v>
      </c>
      <c r="Z2441" t="s">
        <v>32</v>
      </c>
    </row>
    <row r="2442" spans="1:26" x14ac:dyDescent="0.2">
      <c r="A2442" s="3">
        <v>42543</v>
      </c>
      <c r="B2442" t="s">
        <v>23</v>
      </c>
      <c r="C2442">
        <v>112</v>
      </c>
      <c r="D2442">
        <v>9</v>
      </c>
      <c r="E2442">
        <v>1</v>
      </c>
      <c r="F2442" t="s">
        <v>24</v>
      </c>
      <c r="G2442" t="s">
        <v>25</v>
      </c>
      <c r="H2442" t="s">
        <v>26</v>
      </c>
      <c r="I2442" t="s">
        <v>57</v>
      </c>
      <c r="Z2442" t="s">
        <v>32</v>
      </c>
    </row>
    <row r="2443" spans="1:26" x14ac:dyDescent="0.2">
      <c r="A2443" s="3">
        <v>42543</v>
      </c>
      <c r="B2443" t="s">
        <v>23</v>
      </c>
      <c r="C2443">
        <v>113</v>
      </c>
      <c r="D2443">
        <v>1</v>
      </c>
      <c r="E2443">
        <v>1</v>
      </c>
      <c r="F2443" t="s">
        <v>24</v>
      </c>
      <c r="G2443" t="s">
        <v>25</v>
      </c>
      <c r="H2443" t="s">
        <v>26</v>
      </c>
      <c r="I2443" t="s">
        <v>57</v>
      </c>
      <c r="Z2443" t="s">
        <v>32</v>
      </c>
    </row>
    <row r="2444" spans="1:26" x14ac:dyDescent="0.2">
      <c r="A2444" s="3">
        <v>42543</v>
      </c>
      <c r="B2444" t="s">
        <v>23</v>
      </c>
      <c r="C2444">
        <v>113</v>
      </c>
      <c r="D2444">
        <v>2</v>
      </c>
      <c r="E2444">
        <v>1</v>
      </c>
      <c r="F2444" t="s">
        <v>24</v>
      </c>
      <c r="G2444" t="s">
        <v>25</v>
      </c>
      <c r="H2444" t="s">
        <v>26</v>
      </c>
      <c r="I2444" t="s">
        <v>57</v>
      </c>
      <c r="Z2444" t="s">
        <v>32</v>
      </c>
    </row>
    <row r="2445" spans="1:26" x14ac:dyDescent="0.2">
      <c r="A2445" s="3">
        <v>42543</v>
      </c>
      <c r="B2445" t="s">
        <v>23</v>
      </c>
      <c r="C2445">
        <v>113</v>
      </c>
      <c r="D2445">
        <v>8</v>
      </c>
      <c r="E2445">
        <v>1</v>
      </c>
      <c r="F2445" t="s">
        <v>24</v>
      </c>
      <c r="G2445" t="s">
        <v>25</v>
      </c>
      <c r="H2445" t="s">
        <v>26</v>
      </c>
      <c r="I2445" t="s">
        <v>57</v>
      </c>
      <c r="Z2445" t="s">
        <v>32</v>
      </c>
    </row>
    <row r="2446" spans="1:26" x14ac:dyDescent="0.2">
      <c r="A2446" s="3">
        <v>42543</v>
      </c>
      <c r="B2446" t="s">
        <v>23</v>
      </c>
      <c r="C2446">
        <v>113</v>
      </c>
      <c r="D2446">
        <v>8</v>
      </c>
      <c r="E2446">
        <v>2</v>
      </c>
      <c r="F2446" t="s">
        <v>24</v>
      </c>
      <c r="G2446" t="s">
        <v>25</v>
      </c>
      <c r="H2446" t="s">
        <v>26</v>
      </c>
      <c r="I2446" t="s">
        <v>57</v>
      </c>
      <c r="Z2446" t="s">
        <v>32</v>
      </c>
    </row>
    <row r="2447" spans="1:26" x14ac:dyDescent="0.2">
      <c r="A2447" s="3">
        <v>42543</v>
      </c>
      <c r="B2447" t="s">
        <v>23</v>
      </c>
      <c r="C2447">
        <v>402</v>
      </c>
      <c r="D2447">
        <v>1</v>
      </c>
      <c r="E2447">
        <v>1</v>
      </c>
      <c r="F2447" t="s">
        <v>24</v>
      </c>
      <c r="G2447" t="s">
        <v>25</v>
      </c>
      <c r="H2447" t="s">
        <v>26</v>
      </c>
      <c r="I2447" t="s">
        <v>57</v>
      </c>
      <c r="Z2447" t="s">
        <v>32</v>
      </c>
    </row>
    <row r="2448" spans="1:26" x14ac:dyDescent="0.2">
      <c r="A2448" s="3">
        <v>42543</v>
      </c>
      <c r="B2448" t="s">
        <v>23</v>
      </c>
      <c r="C2448">
        <v>402</v>
      </c>
      <c r="D2448">
        <v>1</v>
      </c>
      <c r="E2448">
        <v>2</v>
      </c>
      <c r="F2448" t="s">
        <v>24</v>
      </c>
      <c r="G2448" t="s">
        <v>25</v>
      </c>
      <c r="H2448" t="s">
        <v>26</v>
      </c>
      <c r="I2448" t="s">
        <v>57</v>
      </c>
      <c r="Z2448" t="s">
        <v>32</v>
      </c>
    </row>
    <row r="2449" spans="1:26" x14ac:dyDescent="0.2">
      <c r="A2449" s="3">
        <v>42543</v>
      </c>
      <c r="B2449" t="s">
        <v>23</v>
      </c>
      <c r="C2449">
        <v>201</v>
      </c>
      <c r="D2449">
        <v>1</v>
      </c>
      <c r="E2449">
        <v>2</v>
      </c>
      <c r="F2449" t="s">
        <v>33</v>
      </c>
      <c r="G2449" t="s">
        <v>25</v>
      </c>
      <c r="H2449" t="s">
        <v>26</v>
      </c>
      <c r="I2449" t="s">
        <v>57</v>
      </c>
      <c r="Z2449" t="s">
        <v>32</v>
      </c>
    </row>
    <row r="2450" spans="1:26" x14ac:dyDescent="0.2">
      <c r="A2450" s="3">
        <v>42543</v>
      </c>
      <c r="B2450" t="s">
        <v>23</v>
      </c>
      <c r="C2450">
        <v>201</v>
      </c>
      <c r="D2450">
        <v>4</v>
      </c>
      <c r="E2450">
        <v>1</v>
      </c>
      <c r="F2450" t="s">
        <v>33</v>
      </c>
      <c r="G2450" t="s">
        <v>25</v>
      </c>
      <c r="H2450" t="s">
        <v>26</v>
      </c>
      <c r="I2450" t="s">
        <v>57</v>
      </c>
      <c r="Z2450" t="s">
        <v>32</v>
      </c>
    </row>
    <row r="2451" spans="1:26" x14ac:dyDescent="0.2">
      <c r="A2451" s="3">
        <v>42543</v>
      </c>
      <c r="B2451" t="s">
        <v>23</v>
      </c>
      <c r="C2451">
        <v>201</v>
      </c>
      <c r="D2451">
        <v>5</v>
      </c>
      <c r="E2451">
        <v>1</v>
      </c>
      <c r="F2451" t="s">
        <v>33</v>
      </c>
      <c r="G2451" t="s">
        <v>25</v>
      </c>
      <c r="H2451" t="s">
        <v>26</v>
      </c>
      <c r="I2451" t="s">
        <v>57</v>
      </c>
      <c r="Z2451" t="s">
        <v>32</v>
      </c>
    </row>
    <row r="2452" spans="1:26" x14ac:dyDescent="0.2">
      <c r="A2452" s="3">
        <v>42543</v>
      </c>
      <c r="B2452" t="s">
        <v>23</v>
      </c>
      <c r="C2452">
        <v>201</v>
      </c>
      <c r="D2452">
        <v>5</v>
      </c>
      <c r="E2452">
        <v>2</v>
      </c>
      <c r="F2452" t="s">
        <v>33</v>
      </c>
      <c r="G2452" t="s">
        <v>25</v>
      </c>
      <c r="H2452" t="s">
        <v>26</v>
      </c>
      <c r="I2452" t="s">
        <v>57</v>
      </c>
      <c r="Z2452" t="s">
        <v>32</v>
      </c>
    </row>
    <row r="2453" spans="1:26" x14ac:dyDescent="0.2">
      <c r="A2453" s="3">
        <v>42543</v>
      </c>
      <c r="B2453" t="s">
        <v>23</v>
      </c>
      <c r="C2453">
        <v>201</v>
      </c>
      <c r="D2453">
        <v>6</v>
      </c>
      <c r="E2453">
        <v>1</v>
      </c>
      <c r="F2453" t="s">
        <v>33</v>
      </c>
      <c r="G2453" t="s">
        <v>25</v>
      </c>
      <c r="H2453" t="s">
        <v>26</v>
      </c>
      <c r="I2453" t="s">
        <v>57</v>
      </c>
      <c r="Z2453" t="s">
        <v>32</v>
      </c>
    </row>
    <row r="2454" spans="1:26" x14ac:dyDescent="0.2">
      <c r="A2454" s="3">
        <v>42543</v>
      </c>
      <c r="B2454" t="s">
        <v>23</v>
      </c>
      <c r="C2454">
        <v>201</v>
      </c>
      <c r="D2454">
        <v>6</v>
      </c>
      <c r="E2454">
        <v>2</v>
      </c>
      <c r="F2454" t="s">
        <v>33</v>
      </c>
      <c r="G2454" t="s">
        <v>25</v>
      </c>
      <c r="H2454" t="s">
        <v>26</v>
      </c>
      <c r="I2454" t="s">
        <v>57</v>
      </c>
      <c r="Z2454" t="s">
        <v>32</v>
      </c>
    </row>
    <row r="2455" spans="1:26" x14ac:dyDescent="0.2">
      <c r="A2455" s="3">
        <v>42543</v>
      </c>
      <c r="B2455" t="s">
        <v>23</v>
      </c>
      <c r="C2455">
        <v>201</v>
      </c>
      <c r="D2455">
        <v>7</v>
      </c>
      <c r="E2455">
        <v>1</v>
      </c>
      <c r="F2455" t="s">
        <v>33</v>
      </c>
      <c r="G2455" t="s">
        <v>25</v>
      </c>
      <c r="H2455" t="s">
        <v>26</v>
      </c>
      <c r="I2455" t="s">
        <v>57</v>
      </c>
      <c r="Z2455" t="s">
        <v>32</v>
      </c>
    </row>
    <row r="2456" spans="1:26" x14ac:dyDescent="0.2">
      <c r="A2456" s="3">
        <v>42543</v>
      </c>
      <c r="B2456" t="s">
        <v>23</v>
      </c>
      <c r="C2456">
        <v>201</v>
      </c>
      <c r="D2456">
        <v>7</v>
      </c>
      <c r="E2456">
        <v>2</v>
      </c>
      <c r="F2456" t="s">
        <v>33</v>
      </c>
      <c r="G2456" t="s">
        <v>25</v>
      </c>
      <c r="H2456" t="s">
        <v>26</v>
      </c>
      <c r="I2456" t="s">
        <v>57</v>
      </c>
      <c r="Z2456" t="s">
        <v>32</v>
      </c>
    </row>
    <row r="2457" spans="1:26" x14ac:dyDescent="0.2">
      <c r="A2457" s="3">
        <v>42543</v>
      </c>
      <c r="B2457" t="s">
        <v>23</v>
      </c>
      <c r="C2457">
        <v>201</v>
      </c>
      <c r="D2457">
        <v>8</v>
      </c>
      <c r="E2457">
        <v>1</v>
      </c>
      <c r="F2457" t="s">
        <v>33</v>
      </c>
      <c r="G2457" t="s">
        <v>25</v>
      </c>
      <c r="H2457" t="s">
        <v>26</v>
      </c>
      <c r="I2457" t="s">
        <v>57</v>
      </c>
      <c r="Z2457" t="s">
        <v>32</v>
      </c>
    </row>
    <row r="2458" spans="1:26" x14ac:dyDescent="0.2">
      <c r="A2458" s="3">
        <v>42543</v>
      </c>
      <c r="B2458" t="s">
        <v>23</v>
      </c>
      <c r="C2458">
        <v>201</v>
      </c>
      <c r="D2458">
        <v>10</v>
      </c>
      <c r="E2458">
        <v>1</v>
      </c>
      <c r="F2458" t="s">
        <v>33</v>
      </c>
      <c r="G2458" t="s">
        <v>25</v>
      </c>
      <c r="H2458" t="s">
        <v>26</v>
      </c>
      <c r="I2458" t="s">
        <v>57</v>
      </c>
      <c r="Z2458" t="s">
        <v>32</v>
      </c>
    </row>
    <row r="2459" spans="1:26" x14ac:dyDescent="0.2">
      <c r="A2459" s="3">
        <v>42543</v>
      </c>
      <c r="B2459" t="s">
        <v>23</v>
      </c>
      <c r="C2459">
        <v>203</v>
      </c>
      <c r="D2459">
        <v>7</v>
      </c>
      <c r="E2459">
        <v>1</v>
      </c>
      <c r="F2459" t="s">
        <v>33</v>
      </c>
      <c r="G2459" t="s">
        <v>25</v>
      </c>
      <c r="H2459" t="s">
        <v>26</v>
      </c>
      <c r="I2459" t="s">
        <v>57</v>
      </c>
      <c r="Z2459" t="s">
        <v>32</v>
      </c>
    </row>
    <row r="2460" spans="1:26" x14ac:dyDescent="0.2">
      <c r="A2460" s="3">
        <v>42543</v>
      </c>
      <c r="B2460" t="s">
        <v>23</v>
      </c>
      <c r="C2460">
        <v>203</v>
      </c>
      <c r="D2460">
        <v>9</v>
      </c>
      <c r="E2460">
        <v>1</v>
      </c>
      <c r="F2460" t="s">
        <v>33</v>
      </c>
      <c r="G2460" t="s">
        <v>25</v>
      </c>
      <c r="H2460" t="s">
        <v>26</v>
      </c>
      <c r="I2460" t="s">
        <v>57</v>
      </c>
      <c r="Z2460" t="s">
        <v>32</v>
      </c>
    </row>
    <row r="2461" spans="1:26" x14ac:dyDescent="0.2">
      <c r="A2461" s="3">
        <v>42543</v>
      </c>
      <c r="B2461" t="s">
        <v>23</v>
      </c>
      <c r="C2461">
        <v>304</v>
      </c>
      <c r="D2461">
        <v>8</v>
      </c>
      <c r="E2461">
        <v>1</v>
      </c>
      <c r="F2461" t="s">
        <v>33</v>
      </c>
      <c r="G2461" t="s">
        <v>25</v>
      </c>
      <c r="H2461" t="s">
        <v>26</v>
      </c>
      <c r="I2461" t="s">
        <v>57</v>
      </c>
      <c r="Z2461" t="s">
        <v>32</v>
      </c>
    </row>
    <row r="2462" spans="1:26" x14ac:dyDescent="0.2">
      <c r="A2462" s="3">
        <v>42549</v>
      </c>
      <c r="B2462" t="s">
        <v>23</v>
      </c>
      <c r="C2462">
        <v>501</v>
      </c>
      <c r="D2462">
        <v>7</v>
      </c>
      <c r="E2462">
        <v>1</v>
      </c>
      <c r="F2462" t="s">
        <v>33</v>
      </c>
      <c r="G2462" t="s">
        <v>25</v>
      </c>
      <c r="H2462" t="s">
        <v>26</v>
      </c>
      <c r="I2462" t="s">
        <v>57</v>
      </c>
      <c r="Z2462" t="s">
        <v>32</v>
      </c>
    </row>
    <row r="2463" spans="1:26" x14ac:dyDescent="0.2">
      <c r="A2463" s="3">
        <v>42549</v>
      </c>
      <c r="B2463" t="s">
        <v>23</v>
      </c>
      <c r="C2463">
        <v>501</v>
      </c>
      <c r="D2463">
        <v>7</v>
      </c>
      <c r="E2463">
        <v>2</v>
      </c>
      <c r="F2463" t="s">
        <v>33</v>
      </c>
      <c r="G2463" t="s">
        <v>25</v>
      </c>
      <c r="H2463" t="s">
        <v>26</v>
      </c>
      <c r="I2463" t="s">
        <v>57</v>
      </c>
      <c r="Z2463" t="s">
        <v>32</v>
      </c>
    </row>
    <row r="2464" spans="1:26" x14ac:dyDescent="0.2">
      <c r="A2464" s="3">
        <v>42549</v>
      </c>
      <c r="B2464" t="s">
        <v>23</v>
      </c>
      <c r="C2464">
        <v>503</v>
      </c>
      <c r="D2464">
        <v>2</v>
      </c>
      <c r="E2464">
        <v>1</v>
      </c>
      <c r="F2464" t="s">
        <v>33</v>
      </c>
      <c r="G2464" t="s">
        <v>25</v>
      </c>
      <c r="H2464" t="s">
        <v>26</v>
      </c>
      <c r="I2464" t="s">
        <v>57</v>
      </c>
      <c r="Z2464" t="s">
        <v>32</v>
      </c>
    </row>
    <row r="2465" spans="1:26" x14ac:dyDescent="0.2">
      <c r="A2465" s="3">
        <v>42549</v>
      </c>
      <c r="B2465" t="s">
        <v>23</v>
      </c>
      <c r="C2465">
        <v>503</v>
      </c>
      <c r="D2465">
        <v>10</v>
      </c>
      <c r="E2465">
        <v>1</v>
      </c>
      <c r="F2465" t="s">
        <v>33</v>
      </c>
      <c r="G2465" t="s">
        <v>25</v>
      </c>
      <c r="H2465" t="s">
        <v>26</v>
      </c>
      <c r="I2465" t="s">
        <v>57</v>
      </c>
      <c r="Z2465" t="s">
        <v>32</v>
      </c>
    </row>
    <row r="2466" spans="1:26" x14ac:dyDescent="0.2">
      <c r="A2466" s="3">
        <v>42549</v>
      </c>
      <c r="B2466" t="s">
        <v>23</v>
      </c>
      <c r="C2466">
        <v>303</v>
      </c>
      <c r="D2466">
        <v>1</v>
      </c>
      <c r="E2466">
        <v>1</v>
      </c>
      <c r="F2466" t="s">
        <v>33</v>
      </c>
      <c r="G2466" t="s">
        <v>25</v>
      </c>
      <c r="H2466" t="s">
        <v>26</v>
      </c>
      <c r="I2466" t="s">
        <v>57</v>
      </c>
      <c r="Z2466" t="s">
        <v>32</v>
      </c>
    </row>
    <row r="2467" spans="1:26" x14ac:dyDescent="0.2">
      <c r="A2467" s="3">
        <v>42549</v>
      </c>
      <c r="B2467" t="s">
        <v>23</v>
      </c>
      <c r="C2467">
        <v>303</v>
      </c>
      <c r="D2467">
        <v>2</v>
      </c>
      <c r="E2467">
        <v>1</v>
      </c>
      <c r="F2467" t="s">
        <v>33</v>
      </c>
      <c r="G2467" t="s">
        <v>25</v>
      </c>
      <c r="H2467" t="s">
        <v>26</v>
      </c>
      <c r="I2467" t="s">
        <v>57</v>
      </c>
      <c r="Z2467" t="s">
        <v>32</v>
      </c>
    </row>
    <row r="2468" spans="1:26" x14ac:dyDescent="0.2">
      <c r="A2468" s="3">
        <v>42549</v>
      </c>
      <c r="B2468" t="s">
        <v>23</v>
      </c>
      <c r="C2468">
        <v>303</v>
      </c>
      <c r="D2468">
        <v>2</v>
      </c>
      <c r="E2468">
        <v>2</v>
      </c>
      <c r="F2468" t="s">
        <v>33</v>
      </c>
      <c r="G2468" t="s">
        <v>25</v>
      </c>
      <c r="H2468" t="s">
        <v>26</v>
      </c>
      <c r="I2468" t="s">
        <v>57</v>
      </c>
      <c r="Z2468" t="s">
        <v>32</v>
      </c>
    </row>
    <row r="2469" spans="1:26" x14ac:dyDescent="0.2">
      <c r="A2469" s="3">
        <v>42549</v>
      </c>
      <c r="B2469" t="s">
        <v>23</v>
      </c>
      <c r="C2469">
        <v>303</v>
      </c>
      <c r="D2469">
        <v>7</v>
      </c>
      <c r="E2469">
        <v>1</v>
      </c>
      <c r="F2469" t="s">
        <v>33</v>
      </c>
      <c r="G2469" t="s">
        <v>25</v>
      </c>
      <c r="H2469" t="s">
        <v>26</v>
      </c>
      <c r="I2469" t="s">
        <v>57</v>
      </c>
      <c r="Z2469" t="s">
        <v>32</v>
      </c>
    </row>
    <row r="2470" spans="1:26" x14ac:dyDescent="0.2">
      <c r="A2470" s="3">
        <v>42549</v>
      </c>
      <c r="B2470" t="s">
        <v>23</v>
      </c>
      <c r="C2470">
        <v>703</v>
      </c>
      <c r="D2470">
        <v>2</v>
      </c>
      <c r="E2470">
        <v>1</v>
      </c>
      <c r="F2470" t="s">
        <v>24</v>
      </c>
      <c r="G2470" t="s">
        <v>25</v>
      </c>
      <c r="H2470" t="s">
        <v>26</v>
      </c>
      <c r="I2470" t="s">
        <v>57</v>
      </c>
      <c r="Z2470" t="s">
        <v>32</v>
      </c>
    </row>
    <row r="2471" spans="1:26" x14ac:dyDescent="0.2">
      <c r="A2471" s="3">
        <v>42549</v>
      </c>
      <c r="B2471" t="s">
        <v>23</v>
      </c>
      <c r="C2471">
        <v>703</v>
      </c>
      <c r="D2471">
        <v>8</v>
      </c>
      <c r="E2471">
        <v>1</v>
      </c>
      <c r="F2471" t="s">
        <v>24</v>
      </c>
      <c r="G2471" t="s">
        <v>25</v>
      </c>
      <c r="H2471" t="s">
        <v>26</v>
      </c>
      <c r="I2471" t="s">
        <v>57</v>
      </c>
      <c r="Z2471" t="s">
        <v>32</v>
      </c>
    </row>
    <row r="2472" spans="1:26" x14ac:dyDescent="0.2">
      <c r="A2472" s="3">
        <v>42549</v>
      </c>
      <c r="B2472" t="s">
        <v>23</v>
      </c>
      <c r="C2472">
        <v>703</v>
      </c>
      <c r="D2472">
        <v>9</v>
      </c>
      <c r="E2472">
        <v>1</v>
      </c>
      <c r="F2472" t="s">
        <v>24</v>
      </c>
      <c r="G2472" t="s">
        <v>25</v>
      </c>
      <c r="H2472" t="s">
        <v>26</v>
      </c>
      <c r="I2472" t="s">
        <v>57</v>
      </c>
      <c r="Z2472" t="s">
        <v>32</v>
      </c>
    </row>
    <row r="2473" spans="1:26" x14ac:dyDescent="0.2">
      <c r="A2473" s="3">
        <v>42549</v>
      </c>
      <c r="B2473" t="s">
        <v>23</v>
      </c>
      <c r="C2473">
        <v>703</v>
      </c>
      <c r="D2473">
        <v>10</v>
      </c>
      <c r="E2473">
        <v>1</v>
      </c>
      <c r="F2473" t="s">
        <v>24</v>
      </c>
      <c r="G2473" t="s">
        <v>25</v>
      </c>
      <c r="H2473" t="s">
        <v>26</v>
      </c>
      <c r="I2473" t="s">
        <v>57</v>
      </c>
      <c r="Z2473" t="s">
        <v>32</v>
      </c>
    </row>
    <row r="2474" spans="1:26" x14ac:dyDescent="0.2">
      <c r="A2474" s="3">
        <v>42549</v>
      </c>
      <c r="B2474" t="s">
        <v>23</v>
      </c>
      <c r="C2474">
        <v>701</v>
      </c>
      <c r="D2474">
        <v>6</v>
      </c>
      <c r="E2474">
        <v>1</v>
      </c>
      <c r="F2474" t="s">
        <v>24</v>
      </c>
      <c r="G2474" t="s">
        <v>25</v>
      </c>
      <c r="H2474" t="s">
        <v>26</v>
      </c>
      <c r="I2474" t="s">
        <v>57</v>
      </c>
      <c r="Z2474" t="s">
        <v>32</v>
      </c>
    </row>
    <row r="2475" spans="1:26" x14ac:dyDescent="0.2">
      <c r="A2475" s="3">
        <v>42549</v>
      </c>
      <c r="B2475" t="s">
        <v>23</v>
      </c>
      <c r="C2475">
        <v>701</v>
      </c>
      <c r="D2475">
        <v>8</v>
      </c>
      <c r="E2475">
        <v>1</v>
      </c>
      <c r="F2475" t="s">
        <v>24</v>
      </c>
      <c r="G2475" t="s">
        <v>25</v>
      </c>
      <c r="H2475" t="s">
        <v>26</v>
      </c>
      <c r="I2475" t="s">
        <v>57</v>
      </c>
      <c r="Z2475" t="s">
        <v>32</v>
      </c>
    </row>
    <row r="2476" spans="1:26" x14ac:dyDescent="0.2">
      <c r="A2476" s="3">
        <v>42549</v>
      </c>
      <c r="B2476" t="s">
        <v>23</v>
      </c>
      <c r="C2476">
        <v>801</v>
      </c>
      <c r="D2476">
        <v>2</v>
      </c>
      <c r="E2476">
        <v>1</v>
      </c>
      <c r="F2476" t="s">
        <v>24</v>
      </c>
      <c r="G2476" t="s">
        <v>25</v>
      </c>
      <c r="H2476" t="s">
        <v>26</v>
      </c>
      <c r="I2476" t="s">
        <v>57</v>
      </c>
      <c r="Z2476" t="s">
        <v>32</v>
      </c>
    </row>
    <row r="2477" spans="1:26" x14ac:dyDescent="0.2">
      <c r="A2477" s="3">
        <v>42549</v>
      </c>
      <c r="B2477" t="s">
        <v>23</v>
      </c>
      <c r="C2477">
        <v>801</v>
      </c>
      <c r="D2477">
        <v>7</v>
      </c>
      <c r="E2477">
        <v>1</v>
      </c>
      <c r="F2477" t="s">
        <v>24</v>
      </c>
      <c r="G2477" t="s">
        <v>25</v>
      </c>
      <c r="H2477" t="s">
        <v>26</v>
      </c>
      <c r="I2477" t="s">
        <v>57</v>
      </c>
      <c r="Z2477" t="s">
        <v>32</v>
      </c>
    </row>
    <row r="2478" spans="1:26" x14ac:dyDescent="0.2">
      <c r="A2478" s="3">
        <v>42549</v>
      </c>
      <c r="B2478" t="s">
        <v>23</v>
      </c>
      <c r="C2478">
        <v>803</v>
      </c>
      <c r="D2478">
        <v>8</v>
      </c>
      <c r="E2478">
        <v>1</v>
      </c>
      <c r="F2478" t="s">
        <v>24</v>
      </c>
      <c r="G2478" t="s">
        <v>25</v>
      </c>
      <c r="H2478" t="s">
        <v>26</v>
      </c>
      <c r="I2478" t="s">
        <v>57</v>
      </c>
      <c r="Z2478" t="s">
        <v>32</v>
      </c>
    </row>
    <row r="2479" spans="1:26" x14ac:dyDescent="0.2">
      <c r="A2479" s="3">
        <v>42549</v>
      </c>
      <c r="B2479" t="s">
        <v>23</v>
      </c>
      <c r="C2479">
        <v>901</v>
      </c>
      <c r="D2479">
        <v>5</v>
      </c>
      <c r="E2479">
        <v>1</v>
      </c>
      <c r="F2479" t="s">
        <v>24</v>
      </c>
      <c r="G2479" t="s">
        <v>25</v>
      </c>
      <c r="H2479" t="s">
        <v>26</v>
      </c>
      <c r="I2479" t="s">
        <v>57</v>
      </c>
      <c r="Z2479" t="s">
        <v>32</v>
      </c>
    </row>
    <row r="2480" spans="1:26" x14ac:dyDescent="0.2">
      <c r="A2480" s="3">
        <v>42550</v>
      </c>
      <c r="B2480" t="s">
        <v>23</v>
      </c>
      <c r="C2480">
        <v>501</v>
      </c>
      <c r="D2480">
        <v>1</v>
      </c>
      <c r="E2480">
        <v>2</v>
      </c>
      <c r="F2480" t="s">
        <v>33</v>
      </c>
      <c r="G2480" t="s">
        <v>25</v>
      </c>
      <c r="H2480" t="s">
        <v>26</v>
      </c>
      <c r="I2480" t="s">
        <v>57</v>
      </c>
      <c r="Z2480" t="s">
        <v>32</v>
      </c>
    </row>
    <row r="2481" spans="1:26" x14ac:dyDescent="0.2">
      <c r="A2481" s="3">
        <v>42550</v>
      </c>
      <c r="B2481" t="s">
        <v>23</v>
      </c>
      <c r="C2481">
        <v>503</v>
      </c>
      <c r="D2481">
        <v>1</v>
      </c>
      <c r="E2481">
        <v>2</v>
      </c>
      <c r="F2481" t="s">
        <v>33</v>
      </c>
      <c r="G2481" t="s">
        <v>25</v>
      </c>
      <c r="H2481" t="s">
        <v>26</v>
      </c>
      <c r="I2481" t="s">
        <v>57</v>
      </c>
      <c r="Z2481" t="s">
        <v>32</v>
      </c>
    </row>
    <row r="2482" spans="1:26" x14ac:dyDescent="0.2">
      <c r="A2482" s="3">
        <v>42550</v>
      </c>
      <c r="B2482" t="s">
        <v>23</v>
      </c>
      <c r="C2482">
        <v>503</v>
      </c>
      <c r="D2482">
        <v>2</v>
      </c>
      <c r="E2482">
        <v>2</v>
      </c>
      <c r="F2482" t="s">
        <v>33</v>
      </c>
      <c r="G2482" t="s">
        <v>25</v>
      </c>
      <c r="H2482" t="s">
        <v>26</v>
      </c>
      <c r="I2482" t="s">
        <v>57</v>
      </c>
      <c r="Z2482" t="s">
        <v>32</v>
      </c>
    </row>
    <row r="2483" spans="1:26" x14ac:dyDescent="0.2">
      <c r="A2483" s="3">
        <v>42550</v>
      </c>
      <c r="B2483" t="s">
        <v>23</v>
      </c>
      <c r="C2483">
        <v>503</v>
      </c>
      <c r="D2483">
        <v>2</v>
      </c>
      <c r="E2483">
        <v>2</v>
      </c>
      <c r="F2483" t="s">
        <v>33</v>
      </c>
      <c r="G2483" t="s">
        <v>25</v>
      </c>
      <c r="H2483" t="s">
        <v>26</v>
      </c>
      <c r="I2483" t="s">
        <v>57</v>
      </c>
      <c r="Z2483" t="s">
        <v>32</v>
      </c>
    </row>
    <row r="2484" spans="1:26" x14ac:dyDescent="0.2">
      <c r="A2484" s="3">
        <v>42550</v>
      </c>
      <c r="B2484" t="s">
        <v>23</v>
      </c>
      <c r="C2484">
        <v>503</v>
      </c>
      <c r="D2484">
        <v>4</v>
      </c>
      <c r="E2484">
        <v>1</v>
      </c>
      <c r="F2484" t="s">
        <v>33</v>
      </c>
      <c r="G2484" t="s">
        <v>25</v>
      </c>
      <c r="H2484" t="s">
        <v>26</v>
      </c>
      <c r="I2484" t="s">
        <v>57</v>
      </c>
      <c r="Z2484" t="s">
        <v>32</v>
      </c>
    </row>
    <row r="2485" spans="1:26" x14ac:dyDescent="0.2">
      <c r="A2485" s="3">
        <v>42550</v>
      </c>
      <c r="B2485" t="s">
        <v>23</v>
      </c>
      <c r="C2485">
        <v>503</v>
      </c>
      <c r="D2485">
        <v>6</v>
      </c>
      <c r="E2485">
        <v>2</v>
      </c>
      <c r="F2485" t="s">
        <v>33</v>
      </c>
      <c r="G2485" t="s">
        <v>25</v>
      </c>
      <c r="H2485" t="s">
        <v>26</v>
      </c>
      <c r="I2485" t="s">
        <v>57</v>
      </c>
      <c r="Z2485" t="s">
        <v>32</v>
      </c>
    </row>
    <row r="2486" spans="1:26" x14ac:dyDescent="0.2">
      <c r="A2486" s="3">
        <v>42550</v>
      </c>
      <c r="B2486" t="s">
        <v>23</v>
      </c>
      <c r="C2486">
        <v>503</v>
      </c>
      <c r="D2486">
        <v>7</v>
      </c>
      <c r="E2486">
        <v>2</v>
      </c>
      <c r="F2486" t="s">
        <v>33</v>
      </c>
      <c r="G2486" t="s">
        <v>25</v>
      </c>
      <c r="H2486" t="s">
        <v>26</v>
      </c>
      <c r="I2486" t="s">
        <v>57</v>
      </c>
      <c r="Z2486" t="s">
        <v>32</v>
      </c>
    </row>
    <row r="2487" spans="1:26" x14ac:dyDescent="0.2">
      <c r="A2487" s="3">
        <v>42550</v>
      </c>
      <c r="B2487" t="s">
        <v>23</v>
      </c>
      <c r="C2487">
        <v>503</v>
      </c>
      <c r="D2487">
        <v>8</v>
      </c>
      <c r="E2487">
        <v>1</v>
      </c>
      <c r="F2487" t="s">
        <v>33</v>
      </c>
      <c r="G2487" t="s">
        <v>25</v>
      </c>
      <c r="H2487" t="s">
        <v>26</v>
      </c>
      <c r="I2487" t="s">
        <v>57</v>
      </c>
      <c r="Z2487" t="s">
        <v>32</v>
      </c>
    </row>
    <row r="2488" spans="1:26" x14ac:dyDescent="0.2">
      <c r="A2488" s="3">
        <v>42550</v>
      </c>
      <c r="B2488" t="s">
        <v>23</v>
      </c>
      <c r="C2488">
        <v>503</v>
      </c>
      <c r="D2488">
        <v>10</v>
      </c>
      <c r="E2488">
        <v>1</v>
      </c>
      <c r="F2488" t="s">
        <v>33</v>
      </c>
      <c r="G2488" t="s">
        <v>25</v>
      </c>
      <c r="H2488" t="s">
        <v>26</v>
      </c>
      <c r="I2488" t="s">
        <v>57</v>
      </c>
      <c r="Z2488" t="s">
        <v>32</v>
      </c>
    </row>
    <row r="2489" spans="1:26" x14ac:dyDescent="0.2">
      <c r="A2489" s="3">
        <v>42550</v>
      </c>
      <c r="B2489" t="s">
        <v>23</v>
      </c>
      <c r="C2489">
        <v>503</v>
      </c>
      <c r="D2489">
        <v>10</v>
      </c>
      <c r="E2489">
        <v>2</v>
      </c>
      <c r="F2489" t="s">
        <v>33</v>
      </c>
      <c r="G2489" t="s">
        <v>25</v>
      </c>
      <c r="H2489" t="s">
        <v>26</v>
      </c>
      <c r="I2489" t="s">
        <v>57</v>
      </c>
      <c r="Z2489" t="s">
        <v>32</v>
      </c>
    </row>
    <row r="2490" spans="1:26" x14ac:dyDescent="0.2">
      <c r="A2490" s="3">
        <v>42550</v>
      </c>
      <c r="B2490" t="s">
        <v>23</v>
      </c>
      <c r="C2490">
        <v>303</v>
      </c>
      <c r="D2490">
        <v>3</v>
      </c>
      <c r="E2490">
        <v>1</v>
      </c>
      <c r="F2490" t="s">
        <v>33</v>
      </c>
      <c r="G2490" t="s">
        <v>25</v>
      </c>
      <c r="H2490" t="s">
        <v>26</v>
      </c>
      <c r="I2490" t="s">
        <v>57</v>
      </c>
      <c r="Z2490" t="s">
        <v>32</v>
      </c>
    </row>
    <row r="2491" spans="1:26" x14ac:dyDescent="0.2">
      <c r="A2491" s="3">
        <v>42550</v>
      </c>
      <c r="B2491" t="s">
        <v>23</v>
      </c>
      <c r="C2491">
        <v>303</v>
      </c>
      <c r="D2491">
        <v>6</v>
      </c>
      <c r="E2491">
        <v>1</v>
      </c>
      <c r="F2491" t="s">
        <v>33</v>
      </c>
      <c r="G2491" t="s">
        <v>25</v>
      </c>
      <c r="H2491" t="s">
        <v>26</v>
      </c>
      <c r="I2491" t="s">
        <v>57</v>
      </c>
      <c r="Z2491" t="s">
        <v>32</v>
      </c>
    </row>
    <row r="2492" spans="1:26" x14ac:dyDescent="0.2">
      <c r="A2492" s="3">
        <v>42550</v>
      </c>
      <c r="B2492" t="s">
        <v>23</v>
      </c>
      <c r="C2492">
        <v>303</v>
      </c>
      <c r="D2492">
        <v>6</v>
      </c>
      <c r="E2492">
        <v>2</v>
      </c>
      <c r="F2492" t="s">
        <v>33</v>
      </c>
      <c r="G2492" t="s">
        <v>25</v>
      </c>
      <c r="H2492" t="s">
        <v>26</v>
      </c>
      <c r="I2492" t="s">
        <v>57</v>
      </c>
      <c r="Z2492" t="s">
        <v>32</v>
      </c>
    </row>
    <row r="2493" spans="1:26" x14ac:dyDescent="0.2">
      <c r="A2493" s="3">
        <v>42550</v>
      </c>
      <c r="B2493" t="s">
        <v>23</v>
      </c>
      <c r="C2493">
        <v>303</v>
      </c>
      <c r="D2493">
        <v>7</v>
      </c>
      <c r="E2493">
        <v>2</v>
      </c>
      <c r="F2493" t="s">
        <v>33</v>
      </c>
      <c r="G2493" t="s">
        <v>25</v>
      </c>
      <c r="H2493" t="s">
        <v>26</v>
      </c>
      <c r="I2493" t="s">
        <v>57</v>
      </c>
      <c r="Z2493" t="s">
        <v>32</v>
      </c>
    </row>
    <row r="2494" spans="1:26" x14ac:dyDescent="0.2">
      <c r="A2494" s="3">
        <v>42550</v>
      </c>
      <c r="B2494" t="s">
        <v>23</v>
      </c>
      <c r="C2494">
        <v>303</v>
      </c>
      <c r="D2494">
        <v>9</v>
      </c>
      <c r="E2494">
        <v>2</v>
      </c>
      <c r="F2494" t="s">
        <v>33</v>
      </c>
      <c r="G2494" t="s">
        <v>25</v>
      </c>
      <c r="H2494" t="s">
        <v>26</v>
      </c>
      <c r="I2494" t="s">
        <v>57</v>
      </c>
      <c r="Z2494" t="s">
        <v>32</v>
      </c>
    </row>
    <row r="2495" spans="1:26" x14ac:dyDescent="0.2">
      <c r="A2495" s="3">
        <v>42550</v>
      </c>
      <c r="B2495" t="s">
        <v>23</v>
      </c>
      <c r="C2495">
        <v>401</v>
      </c>
      <c r="D2495">
        <v>5</v>
      </c>
      <c r="E2495">
        <v>1</v>
      </c>
      <c r="F2495" t="s">
        <v>33</v>
      </c>
      <c r="G2495" t="s">
        <v>25</v>
      </c>
      <c r="H2495" t="s">
        <v>26</v>
      </c>
      <c r="I2495" t="s">
        <v>57</v>
      </c>
      <c r="Z2495" t="s">
        <v>32</v>
      </c>
    </row>
    <row r="2496" spans="1:26" x14ac:dyDescent="0.2">
      <c r="A2496" s="3">
        <v>42550</v>
      </c>
      <c r="B2496" t="s">
        <v>23</v>
      </c>
      <c r="C2496">
        <v>401</v>
      </c>
      <c r="D2496">
        <v>5</v>
      </c>
      <c r="E2496">
        <v>2</v>
      </c>
      <c r="F2496" t="s">
        <v>33</v>
      </c>
      <c r="G2496" t="s">
        <v>25</v>
      </c>
      <c r="H2496" t="s">
        <v>26</v>
      </c>
      <c r="I2496" t="s">
        <v>57</v>
      </c>
      <c r="Z2496" t="s">
        <v>32</v>
      </c>
    </row>
    <row r="2497" spans="1:26" x14ac:dyDescent="0.2">
      <c r="A2497" s="3">
        <v>42550</v>
      </c>
      <c r="B2497" t="s">
        <v>23</v>
      </c>
      <c r="C2497">
        <v>401</v>
      </c>
      <c r="D2497">
        <v>10</v>
      </c>
      <c r="E2497">
        <v>1</v>
      </c>
      <c r="F2497" t="s">
        <v>33</v>
      </c>
      <c r="G2497" t="s">
        <v>25</v>
      </c>
      <c r="H2497" t="s">
        <v>26</v>
      </c>
      <c r="I2497" t="s">
        <v>57</v>
      </c>
      <c r="Z2497" t="s">
        <v>32</v>
      </c>
    </row>
    <row r="2498" spans="1:26" x14ac:dyDescent="0.2">
      <c r="A2498" s="3">
        <v>42550</v>
      </c>
      <c r="B2498" t="s">
        <v>23</v>
      </c>
      <c r="C2498">
        <v>703</v>
      </c>
      <c r="D2498">
        <v>1</v>
      </c>
      <c r="E2498">
        <v>1</v>
      </c>
      <c r="F2498" t="s">
        <v>24</v>
      </c>
      <c r="G2498" t="s">
        <v>25</v>
      </c>
      <c r="H2498" t="s">
        <v>26</v>
      </c>
      <c r="I2498" t="s">
        <v>57</v>
      </c>
      <c r="Z2498" t="s">
        <v>32</v>
      </c>
    </row>
    <row r="2499" spans="1:26" x14ac:dyDescent="0.2">
      <c r="A2499" s="3">
        <v>42550</v>
      </c>
      <c r="B2499" t="s">
        <v>23</v>
      </c>
      <c r="C2499">
        <v>703</v>
      </c>
      <c r="D2499">
        <v>5</v>
      </c>
      <c r="E2499">
        <v>1</v>
      </c>
      <c r="F2499" t="s">
        <v>24</v>
      </c>
      <c r="G2499" t="s">
        <v>25</v>
      </c>
      <c r="H2499" t="s">
        <v>26</v>
      </c>
      <c r="I2499" t="s">
        <v>57</v>
      </c>
      <c r="Z2499" t="s">
        <v>32</v>
      </c>
    </row>
    <row r="2500" spans="1:26" x14ac:dyDescent="0.2">
      <c r="A2500" s="3">
        <v>42550</v>
      </c>
      <c r="B2500" t="s">
        <v>23</v>
      </c>
      <c r="C2500">
        <v>703</v>
      </c>
      <c r="D2500">
        <v>6</v>
      </c>
      <c r="E2500">
        <v>1</v>
      </c>
      <c r="F2500" t="s">
        <v>24</v>
      </c>
      <c r="G2500" t="s">
        <v>25</v>
      </c>
      <c r="H2500" t="s">
        <v>26</v>
      </c>
      <c r="I2500" t="s">
        <v>57</v>
      </c>
      <c r="Z2500" t="s">
        <v>32</v>
      </c>
    </row>
    <row r="2501" spans="1:26" x14ac:dyDescent="0.2">
      <c r="A2501" s="3">
        <v>42550</v>
      </c>
      <c r="B2501" t="s">
        <v>23</v>
      </c>
      <c r="C2501">
        <v>703</v>
      </c>
      <c r="D2501">
        <v>7</v>
      </c>
      <c r="E2501">
        <v>1</v>
      </c>
      <c r="F2501" t="s">
        <v>24</v>
      </c>
      <c r="G2501" t="s">
        <v>25</v>
      </c>
      <c r="H2501" t="s">
        <v>26</v>
      </c>
      <c r="I2501" t="s">
        <v>57</v>
      </c>
      <c r="Z2501" t="s">
        <v>32</v>
      </c>
    </row>
    <row r="2502" spans="1:26" x14ac:dyDescent="0.2">
      <c r="A2502" s="3">
        <v>42550</v>
      </c>
      <c r="B2502" t="s">
        <v>23</v>
      </c>
      <c r="C2502">
        <v>703</v>
      </c>
      <c r="D2502">
        <v>8</v>
      </c>
      <c r="E2502">
        <v>1</v>
      </c>
      <c r="F2502" t="s">
        <v>24</v>
      </c>
      <c r="G2502" t="s">
        <v>25</v>
      </c>
      <c r="H2502" t="s">
        <v>26</v>
      </c>
      <c r="I2502" t="s">
        <v>57</v>
      </c>
      <c r="Z2502" t="s">
        <v>32</v>
      </c>
    </row>
    <row r="2503" spans="1:26" x14ac:dyDescent="0.2">
      <c r="A2503" s="3">
        <v>42550</v>
      </c>
      <c r="B2503" t="s">
        <v>23</v>
      </c>
      <c r="C2503">
        <v>703</v>
      </c>
      <c r="D2503">
        <v>8</v>
      </c>
      <c r="E2503">
        <v>2</v>
      </c>
      <c r="F2503" t="s">
        <v>24</v>
      </c>
      <c r="G2503" t="s">
        <v>25</v>
      </c>
      <c r="H2503" t="s">
        <v>26</v>
      </c>
      <c r="I2503" t="s">
        <v>57</v>
      </c>
      <c r="Z2503" t="s">
        <v>32</v>
      </c>
    </row>
    <row r="2504" spans="1:26" x14ac:dyDescent="0.2">
      <c r="A2504" s="3">
        <v>42550</v>
      </c>
      <c r="B2504" t="s">
        <v>23</v>
      </c>
      <c r="C2504">
        <v>703</v>
      </c>
      <c r="D2504">
        <v>9</v>
      </c>
      <c r="E2504">
        <v>1</v>
      </c>
      <c r="F2504" t="s">
        <v>24</v>
      </c>
      <c r="G2504" t="s">
        <v>25</v>
      </c>
      <c r="H2504" t="s">
        <v>26</v>
      </c>
      <c r="I2504" t="s">
        <v>57</v>
      </c>
      <c r="Z2504" t="s">
        <v>32</v>
      </c>
    </row>
    <row r="2505" spans="1:26" x14ac:dyDescent="0.2">
      <c r="A2505" s="3">
        <v>42550</v>
      </c>
      <c r="B2505" t="s">
        <v>23</v>
      </c>
      <c r="C2505">
        <v>701</v>
      </c>
      <c r="D2505">
        <v>3</v>
      </c>
      <c r="E2505">
        <v>1</v>
      </c>
      <c r="F2505" t="s">
        <v>24</v>
      </c>
      <c r="G2505" t="s">
        <v>25</v>
      </c>
      <c r="H2505" t="s">
        <v>26</v>
      </c>
      <c r="I2505" t="s">
        <v>57</v>
      </c>
      <c r="Z2505" t="s">
        <v>32</v>
      </c>
    </row>
    <row r="2506" spans="1:26" x14ac:dyDescent="0.2">
      <c r="A2506" s="3">
        <v>42550</v>
      </c>
      <c r="B2506" t="s">
        <v>23</v>
      </c>
      <c r="C2506">
        <v>701</v>
      </c>
      <c r="D2506">
        <v>9</v>
      </c>
      <c r="E2506">
        <v>1</v>
      </c>
      <c r="F2506" t="s">
        <v>24</v>
      </c>
      <c r="G2506" t="s">
        <v>25</v>
      </c>
      <c r="H2506" t="s">
        <v>26</v>
      </c>
      <c r="I2506" t="s">
        <v>57</v>
      </c>
      <c r="Z2506" t="s">
        <v>32</v>
      </c>
    </row>
    <row r="2507" spans="1:26" x14ac:dyDescent="0.2">
      <c r="A2507" s="3">
        <v>42550</v>
      </c>
      <c r="B2507" t="s">
        <v>23</v>
      </c>
      <c r="C2507">
        <v>701</v>
      </c>
      <c r="D2507">
        <v>10</v>
      </c>
      <c r="E2507">
        <v>1</v>
      </c>
      <c r="F2507" t="s">
        <v>24</v>
      </c>
      <c r="G2507" t="s">
        <v>25</v>
      </c>
      <c r="H2507" t="s">
        <v>26</v>
      </c>
      <c r="I2507" t="s">
        <v>57</v>
      </c>
      <c r="Z2507" t="s">
        <v>32</v>
      </c>
    </row>
    <row r="2508" spans="1:26" x14ac:dyDescent="0.2">
      <c r="A2508" s="3">
        <v>42550</v>
      </c>
      <c r="B2508" t="s">
        <v>23</v>
      </c>
      <c r="C2508">
        <v>801</v>
      </c>
      <c r="D2508">
        <v>3</v>
      </c>
      <c r="E2508">
        <v>2</v>
      </c>
      <c r="F2508" t="s">
        <v>24</v>
      </c>
      <c r="G2508" t="s">
        <v>25</v>
      </c>
      <c r="H2508" t="s">
        <v>26</v>
      </c>
      <c r="I2508" t="s">
        <v>57</v>
      </c>
      <c r="Z2508" t="s">
        <v>32</v>
      </c>
    </row>
    <row r="2509" spans="1:26" x14ac:dyDescent="0.2">
      <c r="A2509" s="3">
        <v>42550</v>
      </c>
      <c r="B2509" t="s">
        <v>23</v>
      </c>
      <c r="C2509">
        <v>801</v>
      </c>
      <c r="D2509">
        <v>4</v>
      </c>
      <c r="E2509">
        <v>1</v>
      </c>
      <c r="F2509" t="s">
        <v>24</v>
      </c>
      <c r="G2509" t="s">
        <v>25</v>
      </c>
      <c r="H2509" t="s">
        <v>26</v>
      </c>
      <c r="I2509" t="s">
        <v>57</v>
      </c>
      <c r="Z2509" t="s">
        <v>32</v>
      </c>
    </row>
    <row r="2510" spans="1:26" x14ac:dyDescent="0.2">
      <c r="A2510" s="3">
        <v>42550</v>
      </c>
      <c r="B2510" t="s">
        <v>23</v>
      </c>
      <c r="C2510">
        <v>801</v>
      </c>
      <c r="D2510">
        <v>5</v>
      </c>
      <c r="E2510">
        <v>1</v>
      </c>
      <c r="F2510" t="s">
        <v>24</v>
      </c>
      <c r="G2510" t="s">
        <v>25</v>
      </c>
      <c r="H2510" t="s">
        <v>26</v>
      </c>
      <c r="I2510" t="s">
        <v>57</v>
      </c>
      <c r="Z2510" t="s">
        <v>32</v>
      </c>
    </row>
    <row r="2511" spans="1:26" x14ac:dyDescent="0.2">
      <c r="A2511" s="3">
        <v>42550</v>
      </c>
      <c r="B2511" t="s">
        <v>23</v>
      </c>
      <c r="C2511">
        <v>803</v>
      </c>
      <c r="D2511">
        <v>8</v>
      </c>
      <c r="E2511">
        <v>1</v>
      </c>
      <c r="F2511" t="s">
        <v>24</v>
      </c>
      <c r="G2511" t="s">
        <v>25</v>
      </c>
      <c r="H2511" t="s">
        <v>26</v>
      </c>
      <c r="I2511" t="s">
        <v>57</v>
      </c>
      <c r="Z2511" t="s">
        <v>32</v>
      </c>
    </row>
    <row r="2512" spans="1:26" x14ac:dyDescent="0.2">
      <c r="A2512" s="3">
        <v>42550</v>
      </c>
      <c r="B2512" t="s">
        <v>23</v>
      </c>
      <c r="C2512">
        <v>803</v>
      </c>
      <c r="D2512">
        <v>8</v>
      </c>
      <c r="E2512">
        <v>2</v>
      </c>
      <c r="F2512" t="s">
        <v>24</v>
      </c>
      <c r="G2512" t="s">
        <v>25</v>
      </c>
      <c r="H2512" t="s">
        <v>26</v>
      </c>
      <c r="I2512" t="s">
        <v>57</v>
      </c>
      <c r="Z2512" t="s">
        <v>32</v>
      </c>
    </row>
    <row r="2513" spans="1:26" x14ac:dyDescent="0.2">
      <c r="A2513" s="3">
        <v>42550</v>
      </c>
      <c r="B2513" t="s">
        <v>23</v>
      </c>
      <c r="C2513">
        <v>803</v>
      </c>
      <c r="D2513">
        <v>6</v>
      </c>
      <c r="E2513">
        <v>1</v>
      </c>
      <c r="F2513" t="s">
        <v>24</v>
      </c>
      <c r="G2513" t="s">
        <v>25</v>
      </c>
      <c r="H2513" t="s">
        <v>26</v>
      </c>
      <c r="I2513" t="s">
        <v>57</v>
      </c>
      <c r="Z2513" t="s">
        <v>32</v>
      </c>
    </row>
    <row r="2514" spans="1:26" x14ac:dyDescent="0.2">
      <c r="A2514" s="3">
        <v>42550</v>
      </c>
      <c r="B2514" t="s">
        <v>23</v>
      </c>
      <c r="C2514">
        <v>803</v>
      </c>
      <c r="D2514">
        <v>2</v>
      </c>
      <c r="E2514">
        <v>1</v>
      </c>
      <c r="F2514" t="s">
        <v>24</v>
      </c>
      <c r="G2514" t="s">
        <v>25</v>
      </c>
      <c r="H2514" t="s">
        <v>26</v>
      </c>
      <c r="I2514" t="s">
        <v>57</v>
      </c>
      <c r="Z2514" t="s">
        <v>32</v>
      </c>
    </row>
    <row r="2515" spans="1:26" x14ac:dyDescent="0.2">
      <c r="A2515" s="3">
        <v>42550</v>
      </c>
      <c r="B2515" t="s">
        <v>23</v>
      </c>
      <c r="C2515">
        <v>803</v>
      </c>
      <c r="D2515">
        <v>2</v>
      </c>
      <c r="E2515">
        <v>2</v>
      </c>
      <c r="F2515" t="s">
        <v>24</v>
      </c>
      <c r="G2515" t="s">
        <v>25</v>
      </c>
      <c r="H2515" t="s">
        <v>26</v>
      </c>
      <c r="I2515" t="s">
        <v>57</v>
      </c>
      <c r="Z2515" t="s">
        <v>32</v>
      </c>
    </row>
    <row r="2516" spans="1:26" x14ac:dyDescent="0.2">
      <c r="A2516" s="3">
        <v>42551</v>
      </c>
      <c r="B2516" t="s">
        <v>23</v>
      </c>
      <c r="C2516">
        <v>501</v>
      </c>
      <c r="D2516">
        <v>5</v>
      </c>
      <c r="E2516">
        <v>1</v>
      </c>
      <c r="F2516" t="s">
        <v>33</v>
      </c>
      <c r="G2516" t="s">
        <v>25</v>
      </c>
      <c r="H2516" t="s">
        <v>26</v>
      </c>
      <c r="I2516" t="s">
        <v>57</v>
      </c>
      <c r="Z2516" t="s">
        <v>32</v>
      </c>
    </row>
    <row r="2517" spans="1:26" x14ac:dyDescent="0.2">
      <c r="A2517" s="3">
        <v>42551</v>
      </c>
      <c r="B2517" t="s">
        <v>23</v>
      </c>
      <c r="C2517">
        <v>501</v>
      </c>
      <c r="D2517">
        <v>6</v>
      </c>
      <c r="E2517">
        <v>1</v>
      </c>
      <c r="F2517" t="s">
        <v>33</v>
      </c>
      <c r="G2517" t="s">
        <v>25</v>
      </c>
      <c r="H2517" t="s">
        <v>26</v>
      </c>
      <c r="I2517" t="s">
        <v>57</v>
      </c>
      <c r="Z2517" t="s">
        <v>32</v>
      </c>
    </row>
    <row r="2518" spans="1:26" x14ac:dyDescent="0.2">
      <c r="A2518" s="3">
        <v>42551</v>
      </c>
      <c r="B2518" t="s">
        <v>23</v>
      </c>
      <c r="C2518">
        <v>501</v>
      </c>
      <c r="D2518">
        <v>9</v>
      </c>
      <c r="E2518">
        <v>1</v>
      </c>
      <c r="F2518" t="s">
        <v>33</v>
      </c>
      <c r="G2518" t="s">
        <v>25</v>
      </c>
      <c r="H2518" t="s">
        <v>26</v>
      </c>
      <c r="I2518" t="s">
        <v>57</v>
      </c>
      <c r="Z2518" t="s">
        <v>32</v>
      </c>
    </row>
    <row r="2519" spans="1:26" x14ac:dyDescent="0.2">
      <c r="A2519" s="3">
        <v>42551</v>
      </c>
      <c r="B2519" t="s">
        <v>23</v>
      </c>
      <c r="C2519">
        <v>501</v>
      </c>
      <c r="D2519">
        <v>9</v>
      </c>
      <c r="E2519">
        <v>2</v>
      </c>
      <c r="F2519" t="s">
        <v>33</v>
      </c>
      <c r="G2519" t="s">
        <v>25</v>
      </c>
      <c r="H2519" t="s">
        <v>26</v>
      </c>
      <c r="I2519" t="s">
        <v>57</v>
      </c>
      <c r="Z2519" t="s">
        <v>32</v>
      </c>
    </row>
    <row r="2520" spans="1:26" x14ac:dyDescent="0.2">
      <c r="A2520" s="3">
        <v>42551</v>
      </c>
      <c r="B2520" t="s">
        <v>23</v>
      </c>
      <c r="C2520">
        <v>503</v>
      </c>
      <c r="D2520">
        <v>2</v>
      </c>
      <c r="E2520">
        <v>2</v>
      </c>
      <c r="F2520" t="s">
        <v>33</v>
      </c>
      <c r="G2520" t="s">
        <v>25</v>
      </c>
      <c r="H2520" t="s">
        <v>26</v>
      </c>
      <c r="I2520" t="s">
        <v>57</v>
      </c>
      <c r="Z2520" t="s">
        <v>32</v>
      </c>
    </row>
    <row r="2521" spans="1:26" x14ac:dyDescent="0.2">
      <c r="A2521" s="3">
        <v>42551</v>
      </c>
      <c r="B2521" t="s">
        <v>23</v>
      </c>
      <c r="C2521">
        <v>503</v>
      </c>
      <c r="D2521">
        <v>4</v>
      </c>
      <c r="E2521">
        <v>1</v>
      </c>
      <c r="F2521" t="s">
        <v>33</v>
      </c>
      <c r="G2521" t="s">
        <v>25</v>
      </c>
      <c r="H2521" t="s">
        <v>26</v>
      </c>
      <c r="I2521" t="s">
        <v>57</v>
      </c>
      <c r="Z2521" t="s">
        <v>32</v>
      </c>
    </row>
    <row r="2522" spans="1:26" x14ac:dyDescent="0.2">
      <c r="A2522" s="3">
        <v>42551</v>
      </c>
      <c r="B2522" t="s">
        <v>23</v>
      </c>
      <c r="C2522">
        <v>503</v>
      </c>
      <c r="D2522">
        <v>5</v>
      </c>
      <c r="E2522">
        <v>1</v>
      </c>
      <c r="F2522" t="s">
        <v>33</v>
      </c>
      <c r="G2522" t="s">
        <v>25</v>
      </c>
      <c r="H2522" t="s">
        <v>26</v>
      </c>
      <c r="I2522" t="s">
        <v>57</v>
      </c>
      <c r="Z2522" t="s">
        <v>32</v>
      </c>
    </row>
    <row r="2523" spans="1:26" x14ac:dyDescent="0.2">
      <c r="A2523" s="3">
        <v>42551</v>
      </c>
      <c r="B2523" t="s">
        <v>23</v>
      </c>
      <c r="C2523">
        <v>503</v>
      </c>
      <c r="D2523">
        <v>7</v>
      </c>
      <c r="E2523">
        <v>1</v>
      </c>
      <c r="F2523" t="s">
        <v>33</v>
      </c>
      <c r="G2523" t="s">
        <v>25</v>
      </c>
      <c r="H2523" t="s">
        <v>26</v>
      </c>
      <c r="I2523" t="s">
        <v>57</v>
      </c>
      <c r="Z2523" t="s">
        <v>32</v>
      </c>
    </row>
    <row r="2524" spans="1:26" x14ac:dyDescent="0.2">
      <c r="A2524" s="3">
        <v>42551</v>
      </c>
      <c r="B2524" t="s">
        <v>23</v>
      </c>
      <c r="C2524">
        <v>503</v>
      </c>
      <c r="D2524">
        <v>9</v>
      </c>
      <c r="E2524">
        <v>1</v>
      </c>
      <c r="F2524" t="s">
        <v>33</v>
      </c>
      <c r="G2524" t="s">
        <v>25</v>
      </c>
      <c r="H2524" t="s">
        <v>26</v>
      </c>
      <c r="I2524" t="s">
        <v>57</v>
      </c>
      <c r="Z2524" t="s">
        <v>32</v>
      </c>
    </row>
    <row r="2525" spans="1:26" x14ac:dyDescent="0.2">
      <c r="A2525" s="3">
        <v>42551</v>
      </c>
      <c r="B2525" t="s">
        <v>23</v>
      </c>
      <c r="C2525">
        <v>503</v>
      </c>
      <c r="D2525">
        <v>10</v>
      </c>
      <c r="E2525">
        <v>1</v>
      </c>
      <c r="F2525" t="s">
        <v>33</v>
      </c>
      <c r="G2525" t="s">
        <v>25</v>
      </c>
      <c r="H2525" t="s">
        <v>26</v>
      </c>
      <c r="I2525" t="s">
        <v>57</v>
      </c>
      <c r="Z2525" t="s">
        <v>32</v>
      </c>
    </row>
    <row r="2526" spans="1:26" x14ac:dyDescent="0.2">
      <c r="A2526" s="3">
        <v>42551</v>
      </c>
      <c r="B2526" t="s">
        <v>23</v>
      </c>
      <c r="C2526">
        <v>303</v>
      </c>
      <c r="D2526">
        <v>2</v>
      </c>
      <c r="E2526">
        <v>1</v>
      </c>
      <c r="F2526" t="s">
        <v>33</v>
      </c>
      <c r="G2526" t="s">
        <v>25</v>
      </c>
      <c r="H2526" t="s">
        <v>26</v>
      </c>
      <c r="I2526" t="s">
        <v>57</v>
      </c>
      <c r="Z2526" t="s">
        <v>32</v>
      </c>
    </row>
    <row r="2527" spans="1:26" x14ac:dyDescent="0.2">
      <c r="A2527" s="3">
        <v>42551</v>
      </c>
      <c r="B2527" t="s">
        <v>23</v>
      </c>
      <c r="C2527">
        <v>303</v>
      </c>
      <c r="D2527">
        <v>2</v>
      </c>
      <c r="E2527">
        <v>2</v>
      </c>
      <c r="F2527" t="s">
        <v>33</v>
      </c>
      <c r="G2527" t="s">
        <v>25</v>
      </c>
      <c r="H2527" t="s">
        <v>26</v>
      </c>
      <c r="I2527" t="s">
        <v>57</v>
      </c>
      <c r="Z2527" t="s">
        <v>32</v>
      </c>
    </row>
    <row r="2528" spans="1:26" x14ac:dyDescent="0.2">
      <c r="A2528" s="3">
        <v>42551</v>
      </c>
      <c r="B2528" t="s">
        <v>23</v>
      </c>
      <c r="C2528">
        <v>303</v>
      </c>
      <c r="D2528">
        <v>3</v>
      </c>
      <c r="E2528">
        <v>1</v>
      </c>
      <c r="F2528" t="s">
        <v>33</v>
      </c>
      <c r="G2528" t="s">
        <v>25</v>
      </c>
      <c r="H2528" t="s">
        <v>26</v>
      </c>
      <c r="I2528" t="s">
        <v>57</v>
      </c>
      <c r="Z2528" t="s">
        <v>32</v>
      </c>
    </row>
    <row r="2529" spans="1:26" x14ac:dyDescent="0.2">
      <c r="A2529" s="3">
        <v>42551</v>
      </c>
      <c r="B2529" t="s">
        <v>23</v>
      </c>
      <c r="C2529">
        <v>303</v>
      </c>
      <c r="D2529">
        <v>4</v>
      </c>
      <c r="E2529">
        <v>1</v>
      </c>
      <c r="F2529" t="s">
        <v>33</v>
      </c>
      <c r="G2529" t="s">
        <v>25</v>
      </c>
      <c r="H2529" t="s">
        <v>26</v>
      </c>
      <c r="I2529" t="s">
        <v>57</v>
      </c>
      <c r="Z2529" t="s">
        <v>32</v>
      </c>
    </row>
    <row r="2530" spans="1:26" x14ac:dyDescent="0.2">
      <c r="A2530" s="3">
        <v>42551</v>
      </c>
      <c r="B2530" t="s">
        <v>23</v>
      </c>
      <c r="C2530">
        <v>303</v>
      </c>
      <c r="D2530">
        <v>5</v>
      </c>
      <c r="E2530">
        <v>1</v>
      </c>
      <c r="F2530" t="s">
        <v>33</v>
      </c>
      <c r="G2530" t="s">
        <v>25</v>
      </c>
      <c r="H2530" t="s">
        <v>26</v>
      </c>
      <c r="I2530" t="s">
        <v>57</v>
      </c>
      <c r="Z2530" t="s">
        <v>32</v>
      </c>
    </row>
    <row r="2531" spans="1:26" x14ac:dyDescent="0.2">
      <c r="A2531" s="3">
        <v>42551</v>
      </c>
      <c r="B2531" t="s">
        <v>23</v>
      </c>
      <c r="C2531">
        <v>401</v>
      </c>
      <c r="D2531">
        <v>5</v>
      </c>
      <c r="E2531">
        <v>1</v>
      </c>
      <c r="F2531" t="s">
        <v>33</v>
      </c>
      <c r="G2531" t="s">
        <v>25</v>
      </c>
      <c r="H2531" t="s">
        <v>26</v>
      </c>
      <c r="I2531" t="s">
        <v>57</v>
      </c>
      <c r="Z2531" t="s">
        <v>32</v>
      </c>
    </row>
    <row r="2532" spans="1:26" x14ac:dyDescent="0.2">
      <c r="A2532" s="3">
        <v>42551</v>
      </c>
      <c r="B2532" t="s">
        <v>23</v>
      </c>
      <c r="C2532">
        <v>401</v>
      </c>
      <c r="D2532">
        <v>6</v>
      </c>
      <c r="E2532">
        <v>2</v>
      </c>
      <c r="F2532" t="s">
        <v>33</v>
      </c>
      <c r="G2532" t="s">
        <v>25</v>
      </c>
      <c r="H2532" t="s">
        <v>26</v>
      </c>
      <c r="I2532" t="s">
        <v>57</v>
      </c>
      <c r="Z2532" t="s">
        <v>32</v>
      </c>
    </row>
    <row r="2533" spans="1:26" x14ac:dyDescent="0.2">
      <c r="A2533" s="3">
        <v>42551</v>
      </c>
      <c r="B2533" t="s">
        <v>23</v>
      </c>
      <c r="C2533">
        <v>401</v>
      </c>
      <c r="D2533">
        <v>7</v>
      </c>
      <c r="E2533">
        <v>1</v>
      </c>
      <c r="F2533" t="s">
        <v>33</v>
      </c>
      <c r="G2533" t="s">
        <v>25</v>
      </c>
      <c r="H2533" t="s">
        <v>26</v>
      </c>
      <c r="I2533" t="s">
        <v>57</v>
      </c>
      <c r="Z2533" t="s">
        <v>32</v>
      </c>
    </row>
    <row r="2534" spans="1:26" x14ac:dyDescent="0.2">
      <c r="A2534" s="3">
        <v>42551</v>
      </c>
      <c r="B2534" t="s">
        <v>23</v>
      </c>
      <c r="C2534">
        <v>703</v>
      </c>
      <c r="D2534">
        <v>1</v>
      </c>
      <c r="E2534">
        <v>1</v>
      </c>
      <c r="F2534" t="s">
        <v>24</v>
      </c>
      <c r="G2534" t="s">
        <v>25</v>
      </c>
      <c r="H2534" t="s">
        <v>26</v>
      </c>
      <c r="I2534" t="s">
        <v>57</v>
      </c>
      <c r="Z2534" t="s">
        <v>32</v>
      </c>
    </row>
    <row r="2535" spans="1:26" x14ac:dyDescent="0.2">
      <c r="A2535" s="3">
        <v>42551</v>
      </c>
      <c r="B2535" t="s">
        <v>23</v>
      </c>
      <c r="C2535">
        <v>703</v>
      </c>
      <c r="D2535">
        <v>7</v>
      </c>
      <c r="E2535">
        <v>1</v>
      </c>
      <c r="F2535" t="s">
        <v>24</v>
      </c>
      <c r="G2535" t="s">
        <v>25</v>
      </c>
      <c r="H2535" t="s">
        <v>26</v>
      </c>
      <c r="I2535" t="s">
        <v>57</v>
      </c>
      <c r="Z2535" t="s">
        <v>32</v>
      </c>
    </row>
    <row r="2536" spans="1:26" x14ac:dyDescent="0.2">
      <c r="A2536" s="3">
        <v>42551</v>
      </c>
      <c r="B2536" t="s">
        <v>23</v>
      </c>
      <c r="C2536">
        <v>703</v>
      </c>
      <c r="D2536">
        <v>8</v>
      </c>
      <c r="E2536">
        <v>1</v>
      </c>
      <c r="F2536" t="s">
        <v>24</v>
      </c>
      <c r="G2536" t="s">
        <v>25</v>
      </c>
      <c r="H2536" t="s">
        <v>26</v>
      </c>
      <c r="I2536" t="s">
        <v>57</v>
      </c>
      <c r="Z2536" t="s">
        <v>32</v>
      </c>
    </row>
    <row r="2537" spans="1:26" x14ac:dyDescent="0.2">
      <c r="A2537" s="3">
        <v>42551</v>
      </c>
      <c r="B2537" t="s">
        <v>23</v>
      </c>
      <c r="C2537">
        <v>703</v>
      </c>
      <c r="D2537">
        <v>9</v>
      </c>
      <c r="E2537">
        <v>1</v>
      </c>
      <c r="F2537" t="s">
        <v>24</v>
      </c>
      <c r="G2537" t="s">
        <v>25</v>
      </c>
      <c r="H2537" t="s">
        <v>26</v>
      </c>
      <c r="I2537" t="s">
        <v>57</v>
      </c>
      <c r="Z2537" t="s">
        <v>32</v>
      </c>
    </row>
    <row r="2538" spans="1:26" x14ac:dyDescent="0.2">
      <c r="A2538" s="3">
        <v>42551</v>
      </c>
      <c r="B2538" t="s">
        <v>23</v>
      </c>
      <c r="C2538">
        <v>703</v>
      </c>
      <c r="D2538">
        <v>9</v>
      </c>
      <c r="E2538">
        <v>2</v>
      </c>
      <c r="F2538" t="s">
        <v>24</v>
      </c>
      <c r="G2538" t="s">
        <v>25</v>
      </c>
      <c r="H2538" t="s">
        <v>26</v>
      </c>
      <c r="I2538" t="s">
        <v>57</v>
      </c>
      <c r="Z2538" t="s">
        <v>32</v>
      </c>
    </row>
    <row r="2539" spans="1:26" x14ac:dyDescent="0.2">
      <c r="A2539" s="3">
        <v>42551</v>
      </c>
      <c r="B2539" t="s">
        <v>23</v>
      </c>
      <c r="C2539">
        <v>701</v>
      </c>
      <c r="D2539">
        <v>3</v>
      </c>
      <c r="E2539">
        <v>1</v>
      </c>
      <c r="F2539" t="s">
        <v>24</v>
      </c>
      <c r="G2539" t="s">
        <v>25</v>
      </c>
      <c r="H2539" t="s">
        <v>26</v>
      </c>
      <c r="I2539" t="s">
        <v>57</v>
      </c>
      <c r="Z2539" t="s">
        <v>32</v>
      </c>
    </row>
    <row r="2540" spans="1:26" x14ac:dyDescent="0.2">
      <c r="A2540" s="3">
        <v>42551</v>
      </c>
      <c r="B2540" t="s">
        <v>23</v>
      </c>
      <c r="C2540">
        <v>701</v>
      </c>
      <c r="D2540">
        <v>4</v>
      </c>
      <c r="E2540">
        <v>1</v>
      </c>
      <c r="F2540" t="s">
        <v>24</v>
      </c>
      <c r="G2540" t="s">
        <v>25</v>
      </c>
      <c r="H2540" t="s">
        <v>26</v>
      </c>
      <c r="I2540" t="s">
        <v>57</v>
      </c>
      <c r="Z2540" t="s">
        <v>32</v>
      </c>
    </row>
    <row r="2541" spans="1:26" x14ac:dyDescent="0.2">
      <c r="A2541" s="3">
        <v>42551</v>
      </c>
      <c r="B2541" t="s">
        <v>23</v>
      </c>
      <c r="C2541">
        <v>701</v>
      </c>
      <c r="D2541">
        <v>5</v>
      </c>
      <c r="E2541">
        <v>1</v>
      </c>
      <c r="F2541" t="s">
        <v>24</v>
      </c>
      <c r="G2541" t="s">
        <v>25</v>
      </c>
      <c r="H2541" t="s">
        <v>26</v>
      </c>
      <c r="I2541" t="s">
        <v>57</v>
      </c>
      <c r="Z2541" t="s">
        <v>32</v>
      </c>
    </row>
    <row r="2542" spans="1:26" x14ac:dyDescent="0.2">
      <c r="A2542" s="3">
        <v>42551</v>
      </c>
      <c r="B2542" t="s">
        <v>23</v>
      </c>
      <c r="C2542">
        <v>701</v>
      </c>
      <c r="D2542">
        <v>9</v>
      </c>
      <c r="E2542">
        <v>1</v>
      </c>
      <c r="F2542" t="s">
        <v>24</v>
      </c>
      <c r="G2542" t="s">
        <v>25</v>
      </c>
      <c r="H2542" t="s">
        <v>26</v>
      </c>
      <c r="I2542" t="s">
        <v>57</v>
      </c>
      <c r="Z2542" t="s">
        <v>32</v>
      </c>
    </row>
    <row r="2543" spans="1:26" x14ac:dyDescent="0.2">
      <c r="A2543" s="3">
        <v>42551</v>
      </c>
      <c r="B2543" t="s">
        <v>23</v>
      </c>
      <c r="C2543">
        <v>803</v>
      </c>
      <c r="D2543">
        <v>10</v>
      </c>
      <c r="E2543">
        <v>1</v>
      </c>
      <c r="F2543" t="s">
        <v>24</v>
      </c>
      <c r="G2543" t="s">
        <v>25</v>
      </c>
      <c r="H2543" t="s">
        <v>26</v>
      </c>
      <c r="I2543" t="s">
        <v>57</v>
      </c>
      <c r="Z2543" t="s">
        <v>32</v>
      </c>
    </row>
    <row r="2544" spans="1:26" x14ac:dyDescent="0.2">
      <c r="A2544" s="3">
        <v>42551</v>
      </c>
      <c r="B2544" t="s">
        <v>23</v>
      </c>
      <c r="C2544">
        <v>803</v>
      </c>
      <c r="D2544">
        <v>7</v>
      </c>
      <c r="E2544">
        <v>1</v>
      </c>
      <c r="F2544" t="s">
        <v>24</v>
      </c>
      <c r="G2544" t="s">
        <v>25</v>
      </c>
      <c r="H2544" t="s">
        <v>26</v>
      </c>
      <c r="I2544" t="s">
        <v>57</v>
      </c>
      <c r="Z2544" t="s">
        <v>32</v>
      </c>
    </row>
    <row r="2545" spans="1:26" x14ac:dyDescent="0.2">
      <c r="A2545" s="3">
        <v>42551</v>
      </c>
      <c r="B2545" t="s">
        <v>23</v>
      </c>
      <c r="C2545">
        <v>803</v>
      </c>
      <c r="D2545">
        <v>7</v>
      </c>
      <c r="E2545">
        <v>2</v>
      </c>
      <c r="F2545" t="s">
        <v>24</v>
      </c>
      <c r="G2545" t="s">
        <v>25</v>
      </c>
      <c r="H2545" t="s">
        <v>26</v>
      </c>
      <c r="I2545" t="s">
        <v>57</v>
      </c>
      <c r="Z2545" t="s">
        <v>32</v>
      </c>
    </row>
    <row r="2546" spans="1:26" x14ac:dyDescent="0.2">
      <c r="A2546" s="3">
        <v>42551</v>
      </c>
      <c r="B2546" t="s">
        <v>23</v>
      </c>
      <c r="C2546">
        <v>803</v>
      </c>
      <c r="D2546">
        <v>5</v>
      </c>
      <c r="E2546">
        <v>1</v>
      </c>
      <c r="F2546" t="s">
        <v>24</v>
      </c>
      <c r="G2546" t="s">
        <v>25</v>
      </c>
      <c r="H2546" t="s">
        <v>26</v>
      </c>
      <c r="I2546" t="s">
        <v>57</v>
      </c>
      <c r="Z2546" t="s">
        <v>32</v>
      </c>
    </row>
    <row r="2547" spans="1:26" x14ac:dyDescent="0.2">
      <c r="A2547" s="3">
        <v>42551</v>
      </c>
      <c r="B2547" t="s">
        <v>23</v>
      </c>
      <c r="C2547">
        <v>803</v>
      </c>
      <c r="D2547">
        <v>4</v>
      </c>
      <c r="E2547">
        <v>1</v>
      </c>
      <c r="F2547" t="s">
        <v>24</v>
      </c>
      <c r="G2547" t="s">
        <v>25</v>
      </c>
      <c r="H2547" t="s">
        <v>26</v>
      </c>
      <c r="I2547" t="s">
        <v>57</v>
      </c>
      <c r="Z2547" t="s">
        <v>32</v>
      </c>
    </row>
    <row r="2548" spans="1:26" x14ac:dyDescent="0.2">
      <c r="A2548" s="3">
        <v>42551</v>
      </c>
      <c r="B2548" t="s">
        <v>23</v>
      </c>
      <c r="C2548">
        <v>803</v>
      </c>
      <c r="D2548">
        <v>3</v>
      </c>
      <c r="E2548">
        <v>1</v>
      </c>
      <c r="F2548" t="s">
        <v>24</v>
      </c>
      <c r="G2548" t="s">
        <v>25</v>
      </c>
      <c r="H2548" t="s">
        <v>26</v>
      </c>
      <c r="I2548" t="s">
        <v>57</v>
      </c>
      <c r="Z2548" t="s">
        <v>32</v>
      </c>
    </row>
    <row r="2549" spans="1:26" x14ac:dyDescent="0.2">
      <c r="A2549" s="3">
        <v>42551</v>
      </c>
      <c r="B2549" t="s">
        <v>23</v>
      </c>
      <c r="C2549">
        <v>803</v>
      </c>
      <c r="D2549">
        <v>2</v>
      </c>
      <c r="E2549">
        <v>1</v>
      </c>
      <c r="F2549" t="s">
        <v>24</v>
      </c>
      <c r="G2549" t="s">
        <v>25</v>
      </c>
      <c r="H2549" t="s">
        <v>26</v>
      </c>
      <c r="I2549" t="s">
        <v>57</v>
      </c>
      <c r="Z2549" t="s">
        <v>32</v>
      </c>
    </row>
    <row r="2550" spans="1:26" x14ac:dyDescent="0.2">
      <c r="A2550" s="3">
        <v>42551</v>
      </c>
      <c r="B2550" t="s">
        <v>23</v>
      </c>
      <c r="C2550">
        <v>803</v>
      </c>
      <c r="D2550">
        <v>2</v>
      </c>
      <c r="E2550">
        <v>2</v>
      </c>
      <c r="F2550" t="s">
        <v>24</v>
      </c>
      <c r="G2550" t="s">
        <v>25</v>
      </c>
      <c r="H2550" t="s">
        <v>26</v>
      </c>
      <c r="I2550" t="s">
        <v>57</v>
      </c>
      <c r="Z2550" t="s">
        <v>32</v>
      </c>
    </row>
    <row r="2551" spans="1:26" x14ac:dyDescent="0.2">
      <c r="A2551" s="3">
        <v>42551</v>
      </c>
      <c r="B2551" t="s">
        <v>23</v>
      </c>
      <c r="C2551">
        <v>803</v>
      </c>
      <c r="D2551">
        <v>1</v>
      </c>
      <c r="E2551">
        <v>1</v>
      </c>
      <c r="F2551" t="s">
        <v>24</v>
      </c>
      <c r="G2551" t="s">
        <v>25</v>
      </c>
      <c r="H2551" t="s">
        <v>26</v>
      </c>
      <c r="I2551" t="s">
        <v>57</v>
      </c>
      <c r="Z2551" t="s">
        <v>32</v>
      </c>
    </row>
    <row r="2552" spans="1:26" x14ac:dyDescent="0.2">
      <c r="A2552" s="3">
        <v>42551</v>
      </c>
      <c r="B2552" t="s">
        <v>23</v>
      </c>
      <c r="C2552">
        <v>803</v>
      </c>
      <c r="D2552">
        <v>1</v>
      </c>
      <c r="E2552">
        <v>2</v>
      </c>
      <c r="F2552" t="s">
        <v>24</v>
      </c>
      <c r="G2552" t="s">
        <v>25</v>
      </c>
      <c r="H2552" t="s">
        <v>26</v>
      </c>
      <c r="I2552" t="s">
        <v>57</v>
      </c>
      <c r="Z2552" t="s">
        <v>32</v>
      </c>
    </row>
    <row r="2553" spans="1:26" x14ac:dyDescent="0.2">
      <c r="A2553" s="3">
        <v>42551</v>
      </c>
      <c r="B2553" t="s">
        <v>23</v>
      </c>
      <c r="C2553">
        <v>901</v>
      </c>
      <c r="D2553">
        <v>3</v>
      </c>
      <c r="E2553">
        <v>1</v>
      </c>
      <c r="F2553" t="s">
        <v>24</v>
      </c>
      <c r="G2553" t="s">
        <v>25</v>
      </c>
      <c r="H2553" t="s">
        <v>26</v>
      </c>
      <c r="I2553" t="s">
        <v>57</v>
      </c>
      <c r="Z2553" t="s">
        <v>32</v>
      </c>
    </row>
    <row r="2554" spans="1:26" x14ac:dyDescent="0.2">
      <c r="A2554" s="3">
        <v>42556</v>
      </c>
      <c r="B2554" t="s">
        <v>23</v>
      </c>
      <c r="C2554">
        <v>111</v>
      </c>
      <c r="D2554">
        <v>2</v>
      </c>
      <c r="E2554">
        <v>1</v>
      </c>
      <c r="F2554" t="s">
        <v>33</v>
      </c>
      <c r="G2554" t="s">
        <v>25</v>
      </c>
      <c r="H2554" t="s">
        <v>26</v>
      </c>
      <c r="I2554" t="s">
        <v>57</v>
      </c>
      <c r="Z2554" t="s">
        <v>32</v>
      </c>
    </row>
    <row r="2555" spans="1:26" x14ac:dyDescent="0.2">
      <c r="A2555" s="3">
        <v>42556</v>
      </c>
      <c r="B2555" t="s">
        <v>23</v>
      </c>
      <c r="C2555">
        <v>111</v>
      </c>
      <c r="D2555">
        <v>9</v>
      </c>
      <c r="E2555">
        <v>1</v>
      </c>
      <c r="F2555" t="s">
        <v>33</v>
      </c>
      <c r="G2555" t="s">
        <v>25</v>
      </c>
      <c r="H2555" t="s">
        <v>26</v>
      </c>
      <c r="I2555" t="s">
        <v>57</v>
      </c>
      <c r="Z2555" t="s">
        <v>32</v>
      </c>
    </row>
    <row r="2556" spans="1:26" x14ac:dyDescent="0.2">
      <c r="A2556" s="3">
        <v>42556</v>
      </c>
      <c r="B2556" t="s">
        <v>23</v>
      </c>
      <c r="C2556">
        <v>112</v>
      </c>
      <c r="D2556">
        <v>4</v>
      </c>
      <c r="E2556">
        <v>1</v>
      </c>
      <c r="F2556" t="s">
        <v>33</v>
      </c>
      <c r="G2556" t="s">
        <v>25</v>
      </c>
      <c r="H2556" t="s">
        <v>26</v>
      </c>
      <c r="I2556" t="s">
        <v>57</v>
      </c>
      <c r="Z2556" t="s">
        <v>32</v>
      </c>
    </row>
    <row r="2557" spans="1:26" x14ac:dyDescent="0.2">
      <c r="A2557" s="3">
        <v>42556</v>
      </c>
      <c r="B2557" t="s">
        <v>23</v>
      </c>
      <c r="C2557">
        <v>112</v>
      </c>
      <c r="D2557">
        <v>5</v>
      </c>
      <c r="E2557">
        <v>1</v>
      </c>
      <c r="F2557" t="s">
        <v>33</v>
      </c>
      <c r="G2557" t="s">
        <v>25</v>
      </c>
      <c r="H2557" t="s">
        <v>26</v>
      </c>
      <c r="I2557" t="s">
        <v>57</v>
      </c>
      <c r="Z2557" t="s">
        <v>32</v>
      </c>
    </row>
    <row r="2558" spans="1:26" x14ac:dyDescent="0.2">
      <c r="A2558" s="3">
        <v>42556</v>
      </c>
      <c r="B2558" t="s">
        <v>23</v>
      </c>
      <c r="C2558">
        <v>112</v>
      </c>
      <c r="D2558">
        <v>9</v>
      </c>
      <c r="E2558">
        <v>1</v>
      </c>
      <c r="F2558" t="s">
        <v>33</v>
      </c>
      <c r="G2558" t="s">
        <v>25</v>
      </c>
      <c r="H2558" t="s">
        <v>26</v>
      </c>
      <c r="I2558" t="s">
        <v>57</v>
      </c>
      <c r="Z2558" t="s">
        <v>32</v>
      </c>
    </row>
    <row r="2559" spans="1:26" x14ac:dyDescent="0.2">
      <c r="A2559" s="3">
        <v>42556</v>
      </c>
      <c r="B2559" t="s">
        <v>23</v>
      </c>
      <c r="C2559">
        <v>112</v>
      </c>
      <c r="D2559">
        <v>10</v>
      </c>
      <c r="E2559">
        <v>2</v>
      </c>
      <c r="F2559" t="s">
        <v>33</v>
      </c>
      <c r="G2559" t="s">
        <v>25</v>
      </c>
      <c r="H2559" t="s">
        <v>26</v>
      </c>
      <c r="I2559" t="s">
        <v>57</v>
      </c>
      <c r="Z2559" t="s">
        <v>32</v>
      </c>
    </row>
    <row r="2560" spans="1:26" x14ac:dyDescent="0.2">
      <c r="A2560" s="3">
        <v>42556</v>
      </c>
      <c r="B2560" t="s">
        <v>23</v>
      </c>
      <c r="C2560">
        <v>113</v>
      </c>
      <c r="D2560">
        <v>7</v>
      </c>
      <c r="E2560">
        <v>2</v>
      </c>
      <c r="F2560" t="s">
        <v>33</v>
      </c>
      <c r="G2560" t="s">
        <v>25</v>
      </c>
      <c r="H2560" t="s">
        <v>26</v>
      </c>
      <c r="I2560" t="s">
        <v>57</v>
      </c>
      <c r="Z2560" t="s">
        <v>32</v>
      </c>
    </row>
    <row r="2561" spans="1:26" x14ac:dyDescent="0.2">
      <c r="A2561" s="3">
        <v>42556</v>
      </c>
      <c r="B2561" t="s">
        <v>23</v>
      </c>
      <c r="C2561">
        <v>113</v>
      </c>
      <c r="D2561">
        <v>9</v>
      </c>
      <c r="E2561">
        <v>1</v>
      </c>
      <c r="F2561" t="s">
        <v>33</v>
      </c>
      <c r="G2561" t="s">
        <v>25</v>
      </c>
      <c r="H2561" t="s">
        <v>26</v>
      </c>
      <c r="I2561" t="s">
        <v>57</v>
      </c>
      <c r="Z2561" t="s">
        <v>32</v>
      </c>
    </row>
    <row r="2562" spans="1:26" x14ac:dyDescent="0.2">
      <c r="A2562" s="3">
        <v>42556</v>
      </c>
      <c r="B2562" t="s">
        <v>23</v>
      </c>
      <c r="C2562">
        <v>113</v>
      </c>
      <c r="D2562">
        <v>9</v>
      </c>
      <c r="E2562">
        <v>2</v>
      </c>
      <c r="F2562" t="s">
        <v>33</v>
      </c>
      <c r="G2562" t="s">
        <v>25</v>
      </c>
      <c r="H2562" t="s">
        <v>26</v>
      </c>
      <c r="I2562" t="s">
        <v>57</v>
      </c>
      <c r="Z2562" t="s">
        <v>32</v>
      </c>
    </row>
    <row r="2563" spans="1:26" x14ac:dyDescent="0.2">
      <c r="A2563" s="3">
        <v>42556</v>
      </c>
      <c r="B2563" t="s">
        <v>23</v>
      </c>
      <c r="C2563">
        <v>402</v>
      </c>
      <c r="D2563">
        <v>7</v>
      </c>
      <c r="E2563">
        <v>1</v>
      </c>
      <c r="F2563" t="s">
        <v>33</v>
      </c>
      <c r="G2563" t="s">
        <v>25</v>
      </c>
      <c r="H2563" t="s">
        <v>26</v>
      </c>
      <c r="I2563" t="s">
        <v>57</v>
      </c>
      <c r="Z2563" t="s">
        <v>32</v>
      </c>
    </row>
    <row r="2564" spans="1:26" x14ac:dyDescent="0.2">
      <c r="A2564" s="3">
        <v>42556</v>
      </c>
      <c r="B2564" t="s">
        <v>23</v>
      </c>
      <c r="C2564">
        <v>402</v>
      </c>
      <c r="D2564">
        <v>8</v>
      </c>
      <c r="E2564">
        <v>1</v>
      </c>
      <c r="F2564" t="s">
        <v>33</v>
      </c>
      <c r="G2564" t="s">
        <v>25</v>
      </c>
      <c r="H2564" t="s">
        <v>26</v>
      </c>
      <c r="I2564" t="s">
        <v>57</v>
      </c>
      <c r="Z2564" t="s">
        <v>32</v>
      </c>
    </row>
    <row r="2565" spans="1:26" x14ac:dyDescent="0.2">
      <c r="A2565" s="3">
        <v>42556</v>
      </c>
      <c r="B2565" t="s">
        <v>23</v>
      </c>
      <c r="C2565">
        <v>304</v>
      </c>
      <c r="D2565">
        <v>9</v>
      </c>
      <c r="E2565">
        <v>1</v>
      </c>
      <c r="F2565" t="s">
        <v>33</v>
      </c>
      <c r="G2565" t="s">
        <v>25</v>
      </c>
      <c r="H2565" t="s">
        <v>26</v>
      </c>
      <c r="I2565" t="s">
        <v>57</v>
      </c>
      <c r="Z2565" t="s">
        <v>32</v>
      </c>
    </row>
    <row r="2566" spans="1:26" x14ac:dyDescent="0.2">
      <c r="A2566" s="3">
        <v>42556</v>
      </c>
      <c r="B2566" t="s">
        <v>23</v>
      </c>
      <c r="C2566">
        <v>201</v>
      </c>
      <c r="D2566">
        <v>7</v>
      </c>
      <c r="E2566">
        <v>1</v>
      </c>
      <c r="F2566" t="s">
        <v>24</v>
      </c>
      <c r="G2566" t="s">
        <v>25</v>
      </c>
      <c r="H2566" t="s">
        <v>26</v>
      </c>
      <c r="I2566" t="s">
        <v>57</v>
      </c>
      <c r="Z2566" t="s">
        <v>32</v>
      </c>
    </row>
    <row r="2567" spans="1:26" x14ac:dyDescent="0.2">
      <c r="A2567" s="3">
        <v>42556</v>
      </c>
      <c r="B2567" t="s">
        <v>23</v>
      </c>
      <c r="C2567">
        <v>201</v>
      </c>
      <c r="D2567">
        <v>7</v>
      </c>
      <c r="E2567">
        <v>2</v>
      </c>
      <c r="F2567" t="s">
        <v>24</v>
      </c>
      <c r="G2567" t="s">
        <v>25</v>
      </c>
      <c r="H2567" t="s">
        <v>26</v>
      </c>
      <c r="I2567" t="s">
        <v>57</v>
      </c>
      <c r="Z2567" t="s">
        <v>32</v>
      </c>
    </row>
    <row r="2568" spans="1:26" x14ac:dyDescent="0.2">
      <c r="A2568" s="3">
        <v>42556</v>
      </c>
      <c r="B2568" t="s">
        <v>23</v>
      </c>
      <c r="C2568">
        <v>203</v>
      </c>
      <c r="D2568">
        <v>2</v>
      </c>
      <c r="E2568">
        <v>1</v>
      </c>
      <c r="F2568" t="s">
        <v>24</v>
      </c>
      <c r="G2568" t="s">
        <v>25</v>
      </c>
      <c r="H2568" t="s">
        <v>26</v>
      </c>
      <c r="I2568" t="s">
        <v>57</v>
      </c>
      <c r="Z2568" t="s">
        <v>32</v>
      </c>
    </row>
    <row r="2569" spans="1:26" x14ac:dyDescent="0.2">
      <c r="A2569" s="3">
        <v>42556</v>
      </c>
      <c r="B2569" t="s">
        <v>23</v>
      </c>
      <c r="C2569">
        <v>203</v>
      </c>
      <c r="D2569">
        <v>3</v>
      </c>
      <c r="E2569">
        <v>1</v>
      </c>
      <c r="F2569" t="s">
        <v>24</v>
      </c>
      <c r="G2569" t="s">
        <v>25</v>
      </c>
      <c r="H2569" t="s">
        <v>26</v>
      </c>
      <c r="I2569" t="s">
        <v>57</v>
      </c>
      <c r="Z2569" t="s">
        <v>32</v>
      </c>
    </row>
    <row r="2570" spans="1:26" x14ac:dyDescent="0.2">
      <c r="A2570" s="3">
        <v>42556</v>
      </c>
      <c r="B2570" t="s">
        <v>23</v>
      </c>
      <c r="C2570">
        <v>203</v>
      </c>
      <c r="D2570">
        <v>3</v>
      </c>
      <c r="E2570">
        <v>2</v>
      </c>
      <c r="F2570" t="s">
        <v>24</v>
      </c>
      <c r="G2570" t="s">
        <v>25</v>
      </c>
      <c r="H2570" t="s">
        <v>26</v>
      </c>
      <c r="I2570" t="s">
        <v>57</v>
      </c>
      <c r="Z2570" t="s">
        <v>32</v>
      </c>
    </row>
    <row r="2571" spans="1:26" x14ac:dyDescent="0.2">
      <c r="A2571" s="3">
        <v>42556</v>
      </c>
      <c r="B2571" t="s">
        <v>23</v>
      </c>
      <c r="C2571">
        <v>203</v>
      </c>
      <c r="D2571">
        <v>4</v>
      </c>
      <c r="E2571">
        <v>1</v>
      </c>
      <c r="F2571" t="s">
        <v>24</v>
      </c>
      <c r="G2571" t="s">
        <v>25</v>
      </c>
      <c r="H2571" t="s">
        <v>26</v>
      </c>
      <c r="I2571" t="s">
        <v>57</v>
      </c>
      <c r="Z2571" t="s">
        <v>32</v>
      </c>
    </row>
    <row r="2572" spans="1:26" x14ac:dyDescent="0.2">
      <c r="A2572" s="3">
        <v>42556</v>
      </c>
      <c r="B2572" t="s">
        <v>23</v>
      </c>
      <c r="C2572">
        <v>203</v>
      </c>
      <c r="D2572">
        <v>7</v>
      </c>
      <c r="E2572">
        <v>1</v>
      </c>
      <c r="F2572" t="s">
        <v>24</v>
      </c>
      <c r="G2572" t="s">
        <v>25</v>
      </c>
      <c r="H2572" t="s">
        <v>26</v>
      </c>
      <c r="I2572" t="s">
        <v>57</v>
      </c>
      <c r="Z2572" t="s">
        <v>32</v>
      </c>
    </row>
    <row r="2573" spans="1:26" x14ac:dyDescent="0.2">
      <c r="A2573" s="3">
        <v>42556</v>
      </c>
      <c r="B2573" t="s">
        <v>23</v>
      </c>
      <c r="C2573">
        <v>203</v>
      </c>
      <c r="D2573">
        <v>7</v>
      </c>
      <c r="E2573">
        <v>2</v>
      </c>
      <c r="F2573" t="s">
        <v>24</v>
      </c>
      <c r="G2573" t="s">
        <v>25</v>
      </c>
      <c r="H2573" t="s">
        <v>26</v>
      </c>
      <c r="I2573" t="s">
        <v>57</v>
      </c>
      <c r="Z2573" t="s">
        <v>32</v>
      </c>
    </row>
    <row r="2574" spans="1:26" x14ac:dyDescent="0.2">
      <c r="A2574" s="3">
        <v>42556</v>
      </c>
      <c r="B2574" t="s">
        <v>23</v>
      </c>
      <c r="C2574">
        <v>202</v>
      </c>
      <c r="D2574">
        <v>2</v>
      </c>
      <c r="E2574">
        <v>1</v>
      </c>
      <c r="F2574" t="s">
        <v>24</v>
      </c>
      <c r="G2574" t="s">
        <v>25</v>
      </c>
      <c r="H2574" t="s">
        <v>26</v>
      </c>
      <c r="I2574" t="s">
        <v>57</v>
      </c>
      <c r="Z2574" t="s">
        <v>32</v>
      </c>
    </row>
    <row r="2575" spans="1:26" x14ac:dyDescent="0.2">
      <c r="A2575" s="3">
        <v>42556</v>
      </c>
      <c r="B2575" t="s">
        <v>23</v>
      </c>
      <c r="C2575">
        <v>202</v>
      </c>
      <c r="D2575">
        <v>3</v>
      </c>
      <c r="E2575">
        <v>1</v>
      </c>
      <c r="F2575" t="s">
        <v>24</v>
      </c>
      <c r="G2575" t="s">
        <v>25</v>
      </c>
      <c r="H2575" t="s">
        <v>26</v>
      </c>
      <c r="I2575" t="s">
        <v>57</v>
      </c>
      <c r="Z2575" t="s">
        <v>32</v>
      </c>
    </row>
    <row r="2576" spans="1:26" x14ac:dyDescent="0.2">
      <c r="A2576" s="3">
        <v>42556</v>
      </c>
      <c r="B2576" t="s">
        <v>23</v>
      </c>
      <c r="C2576">
        <v>202</v>
      </c>
      <c r="D2576">
        <v>3</v>
      </c>
      <c r="E2576">
        <v>2</v>
      </c>
      <c r="F2576" t="s">
        <v>24</v>
      </c>
      <c r="G2576" t="s">
        <v>25</v>
      </c>
      <c r="H2576" t="s">
        <v>26</v>
      </c>
      <c r="I2576" t="s">
        <v>57</v>
      </c>
      <c r="Z2576" t="s">
        <v>32</v>
      </c>
    </row>
    <row r="2577" spans="1:26" x14ac:dyDescent="0.2">
      <c r="A2577" s="3">
        <v>42556</v>
      </c>
      <c r="B2577" t="s">
        <v>23</v>
      </c>
      <c r="C2577">
        <v>202</v>
      </c>
      <c r="D2577">
        <v>4</v>
      </c>
      <c r="E2577">
        <v>1</v>
      </c>
      <c r="F2577" t="s">
        <v>24</v>
      </c>
      <c r="G2577" t="s">
        <v>25</v>
      </c>
      <c r="H2577" t="s">
        <v>26</v>
      </c>
      <c r="I2577" t="s">
        <v>57</v>
      </c>
      <c r="Z2577" t="s">
        <v>32</v>
      </c>
    </row>
    <row r="2578" spans="1:26" x14ac:dyDescent="0.2">
      <c r="A2578" s="3">
        <v>42556</v>
      </c>
      <c r="B2578" t="s">
        <v>23</v>
      </c>
      <c r="C2578">
        <v>202</v>
      </c>
      <c r="D2578">
        <v>6</v>
      </c>
      <c r="E2578">
        <v>1</v>
      </c>
      <c r="F2578" t="s">
        <v>24</v>
      </c>
      <c r="G2578" t="s">
        <v>25</v>
      </c>
      <c r="H2578" t="s">
        <v>26</v>
      </c>
      <c r="I2578" t="s">
        <v>57</v>
      </c>
      <c r="Z2578" t="s">
        <v>32</v>
      </c>
    </row>
    <row r="2579" spans="1:26" x14ac:dyDescent="0.2">
      <c r="A2579" s="3">
        <v>42556</v>
      </c>
      <c r="B2579" t="s">
        <v>23</v>
      </c>
      <c r="C2579">
        <v>304</v>
      </c>
      <c r="D2579">
        <v>1</v>
      </c>
      <c r="E2579">
        <v>2</v>
      </c>
      <c r="F2579" t="s">
        <v>24</v>
      </c>
      <c r="G2579" t="s">
        <v>25</v>
      </c>
      <c r="H2579" t="s">
        <v>26</v>
      </c>
      <c r="I2579" t="s">
        <v>57</v>
      </c>
      <c r="Z2579" t="s">
        <v>32</v>
      </c>
    </row>
    <row r="2580" spans="1:26" x14ac:dyDescent="0.2">
      <c r="A2580" s="3">
        <v>42556</v>
      </c>
      <c r="B2580" t="s">
        <v>23</v>
      </c>
      <c r="C2580">
        <v>304</v>
      </c>
      <c r="D2580">
        <v>4</v>
      </c>
      <c r="E2580">
        <v>1</v>
      </c>
      <c r="F2580" t="s">
        <v>24</v>
      </c>
      <c r="G2580" t="s">
        <v>25</v>
      </c>
      <c r="H2580" t="s">
        <v>26</v>
      </c>
      <c r="I2580" t="s">
        <v>57</v>
      </c>
      <c r="Z2580" t="s">
        <v>32</v>
      </c>
    </row>
    <row r="2581" spans="1:26" x14ac:dyDescent="0.2">
      <c r="A2581" s="3">
        <v>42557</v>
      </c>
      <c r="B2581" t="s">
        <v>23</v>
      </c>
      <c r="C2581">
        <v>111</v>
      </c>
      <c r="D2581">
        <v>5</v>
      </c>
      <c r="E2581">
        <v>1</v>
      </c>
      <c r="F2581" t="s">
        <v>33</v>
      </c>
      <c r="G2581" t="s">
        <v>25</v>
      </c>
      <c r="H2581" t="s">
        <v>26</v>
      </c>
      <c r="I2581" t="s">
        <v>57</v>
      </c>
    </row>
    <row r="2582" spans="1:26" x14ac:dyDescent="0.2">
      <c r="A2582" s="3">
        <v>42557</v>
      </c>
      <c r="B2582" t="s">
        <v>23</v>
      </c>
      <c r="C2582">
        <v>112</v>
      </c>
      <c r="D2582">
        <v>5</v>
      </c>
      <c r="E2582">
        <v>1</v>
      </c>
      <c r="F2582" t="s">
        <v>33</v>
      </c>
      <c r="G2582" t="s">
        <v>25</v>
      </c>
      <c r="H2582" t="s">
        <v>26</v>
      </c>
      <c r="I2582" t="s">
        <v>57</v>
      </c>
    </row>
    <row r="2583" spans="1:26" x14ac:dyDescent="0.2">
      <c r="A2583" s="3">
        <v>42557</v>
      </c>
      <c r="B2583" t="s">
        <v>23</v>
      </c>
      <c r="C2583">
        <v>112</v>
      </c>
      <c r="D2583">
        <v>5</v>
      </c>
      <c r="E2583">
        <v>2</v>
      </c>
      <c r="F2583" t="s">
        <v>33</v>
      </c>
      <c r="G2583" t="s">
        <v>25</v>
      </c>
      <c r="H2583" t="s">
        <v>26</v>
      </c>
      <c r="I2583" t="s">
        <v>57</v>
      </c>
    </row>
    <row r="2584" spans="1:26" x14ac:dyDescent="0.2">
      <c r="A2584" s="3">
        <v>42557</v>
      </c>
      <c r="B2584" t="s">
        <v>23</v>
      </c>
      <c r="C2584">
        <v>112</v>
      </c>
      <c r="D2584">
        <v>6</v>
      </c>
      <c r="E2584">
        <v>1</v>
      </c>
      <c r="F2584" t="s">
        <v>33</v>
      </c>
      <c r="G2584" t="s">
        <v>25</v>
      </c>
      <c r="H2584" t="s">
        <v>26</v>
      </c>
      <c r="I2584" t="s">
        <v>57</v>
      </c>
    </row>
    <row r="2585" spans="1:26" x14ac:dyDescent="0.2">
      <c r="A2585" s="3">
        <v>42557</v>
      </c>
      <c r="B2585" t="s">
        <v>23</v>
      </c>
      <c r="C2585">
        <v>112</v>
      </c>
      <c r="D2585">
        <v>6</v>
      </c>
      <c r="E2585">
        <v>2</v>
      </c>
      <c r="F2585" t="s">
        <v>33</v>
      </c>
      <c r="G2585" t="s">
        <v>25</v>
      </c>
      <c r="H2585" t="s">
        <v>26</v>
      </c>
      <c r="I2585" t="s">
        <v>57</v>
      </c>
    </row>
    <row r="2586" spans="1:26" x14ac:dyDescent="0.2">
      <c r="A2586" s="3">
        <v>42557</v>
      </c>
      <c r="B2586" t="s">
        <v>23</v>
      </c>
      <c r="C2586">
        <v>113</v>
      </c>
      <c r="D2586">
        <v>8</v>
      </c>
      <c r="E2586">
        <v>1</v>
      </c>
      <c r="F2586" t="s">
        <v>33</v>
      </c>
      <c r="G2586" t="s">
        <v>25</v>
      </c>
      <c r="H2586" t="s">
        <v>26</v>
      </c>
      <c r="I2586" t="s">
        <v>57</v>
      </c>
    </row>
    <row r="2587" spans="1:26" x14ac:dyDescent="0.2">
      <c r="A2587" s="3">
        <v>42557</v>
      </c>
      <c r="B2587" t="s">
        <v>23</v>
      </c>
      <c r="C2587">
        <v>402</v>
      </c>
      <c r="D2587">
        <v>4</v>
      </c>
      <c r="E2587">
        <v>1</v>
      </c>
      <c r="F2587" t="s">
        <v>33</v>
      </c>
      <c r="G2587" t="s">
        <v>25</v>
      </c>
      <c r="H2587" t="s">
        <v>26</v>
      </c>
      <c r="I2587" t="s">
        <v>57</v>
      </c>
    </row>
    <row r="2588" spans="1:26" x14ac:dyDescent="0.2">
      <c r="A2588" s="3">
        <v>42557</v>
      </c>
      <c r="B2588" t="s">
        <v>23</v>
      </c>
      <c r="C2588">
        <v>402</v>
      </c>
      <c r="D2588">
        <v>7</v>
      </c>
      <c r="E2588">
        <v>1</v>
      </c>
      <c r="F2588" t="s">
        <v>33</v>
      </c>
      <c r="G2588" t="s">
        <v>25</v>
      </c>
      <c r="H2588" t="s">
        <v>26</v>
      </c>
      <c r="I2588" t="s">
        <v>57</v>
      </c>
    </row>
    <row r="2589" spans="1:26" x14ac:dyDescent="0.2">
      <c r="A2589" s="3">
        <v>42557</v>
      </c>
      <c r="B2589" t="s">
        <v>23</v>
      </c>
      <c r="C2589">
        <v>402</v>
      </c>
      <c r="D2589">
        <v>8</v>
      </c>
      <c r="E2589">
        <v>1</v>
      </c>
      <c r="F2589" t="s">
        <v>33</v>
      </c>
      <c r="G2589" t="s">
        <v>25</v>
      </c>
      <c r="H2589" t="s">
        <v>26</v>
      </c>
      <c r="I2589" t="s">
        <v>57</v>
      </c>
    </row>
    <row r="2590" spans="1:26" x14ac:dyDescent="0.2">
      <c r="A2590" s="3">
        <v>42557</v>
      </c>
      <c r="B2590" t="s">
        <v>23</v>
      </c>
      <c r="C2590">
        <v>304</v>
      </c>
      <c r="D2590">
        <v>8</v>
      </c>
      <c r="E2590">
        <v>1</v>
      </c>
      <c r="F2590" t="s">
        <v>33</v>
      </c>
      <c r="G2590" t="s">
        <v>25</v>
      </c>
      <c r="H2590" t="s">
        <v>26</v>
      </c>
      <c r="I2590" t="s">
        <v>57</v>
      </c>
    </row>
    <row r="2591" spans="1:26" x14ac:dyDescent="0.2">
      <c r="A2591" s="3">
        <v>42557</v>
      </c>
      <c r="B2591" t="s">
        <v>23</v>
      </c>
      <c r="C2591">
        <v>304</v>
      </c>
      <c r="D2591">
        <v>6</v>
      </c>
      <c r="E2591">
        <v>1</v>
      </c>
      <c r="F2591" t="s">
        <v>33</v>
      </c>
      <c r="G2591" t="s">
        <v>25</v>
      </c>
      <c r="H2591" t="s">
        <v>26</v>
      </c>
      <c r="I2591" t="s">
        <v>57</v>
      </c>
    </row>
    <row r="2592" spans="1:26" x14ac:dyDescent="0.2">
      <c r="A2592" s="3">
        <v>42557</v>
      </c>
      <c r="B2592" t="s">
        <v>23</v>
      </c>
      <c r="C2592">
        <v>304</v>
      </c>
      <c r="D2592">
        <v>4</v>
      </c>
      <c r="E2592">
        <v>1</v>
      </c>
      <c r="F2592" t="s">
        <v>33</v>
      </c>
      <c r="G2592" t="s">
        <v>25</v>
      </c>
      <c r="H2592" t="s">
        <v>26</v>
      </c>
      <c r="I2592" t="s">
        <v>57</v>
      </c>
    </row>
    <row r="2593" spans="1:9" x14ac:dyDescent="0.2">
      <c r="A2593" s="3">
        <v>42557</v>
      </c>
      <c r="B2593" t="s">
        <v>23</v>
      </c>
      <c r="C2593">
        <v>201</v>
      </c>
      <c r="D2593">
        <v>2</v>
      </c>
      <c r="E2593">
        <v>1</v>
      </c>
      <c r="F2593" t="s">
        <v>24</v>
      </c>
      <c r="G2593" t="s">
        <v>25</v>
      </c>
      <c r="H2593" t="s">
        <v>26</v>
      </c>
      <c r="I2593" t="s">
        <v>57</v>
      </c>
    </row>
    <row r="2594" spans="1:9" x14ac:dyDescent="0.2">
      <c r="A2594" s="3">
        <v>42557</v>
      </c>
      <c r="B2594" t="s">
        <v>23</v>
      </c>
      <c r="C2594">
        <v>203</v>
      </c>
      <c r="D2594">
        <v>1</v>
      </c>
      <c r="E2594">
        <v>1</v>
      </c>
      <c r="F2594" t="s">
        <v>24</v>
      </c>
      <c r="G2594" t="s">
        <v>25</v>
      </c>
      <c r="H2594" t="s">
        <v>26</v>
      </c>
      <c r="I2594" t="s">
        <v>57</v>
      </c>
    </row>
    <row r="2595" spans="1:9" x14ac:dyDescent="0.2">
      <c r="A2595" s="3">
        <v>42557</v>
      </c>
      <c r="B2595" t="s">
        <v>23</v>
      </c>
      <c r="C2595">
        <v>203</v>
      </c>
      <c r="D2595">
        <v>1</v>
      </c>
      <c r="E2595">
        <v>2</v>
      </c>
      <c r="F2595" t="s">
        <v>24</v>
      </c>
      <c r="G2595" t="s">
        <v>25</v>
      </c>
      <c r="H2595" t="s">
        <v>26</v>
      </c>
      <c r="I2595" t="s">
        <v>57</v>
      </c>
    </row>
    <row r="2596" spans="1:9" x14ac:dyDescent="0.2">
      <c r="A2596" s="3">
        <v>42557</v>
      </c>
      <c r="B2596" t="s">
        <v>23</v>
      </c>
      <c r="C2596">
        <v>203</v>
      </c>
      <c r="D2596">
        <v>2</v>
      </c>
      <c r="E2596">
        <v>1</v>
      </c>
      <c r="F2596" t="s">
        <v>24</v>
      </c>
      <c r="G2596" t="s">
        <v>25</v>
      </c>
      <c r="H2596" t="s">
        <v>26</v>
      </c>
      <c r="I2596" t="s">
        <v>57</v>
      </c>
    </row>
    <row r="2597" spans="1:9" x14ac:dyDescent="0.2">
      <c r="A2597" s="3">
        <v>42557</v>
      </c>
      <c r="B2597" t="s">
        <v>23</v>
      </c>
      <c r="C2597">
        <v>203</v>
      </c>
      <c r="D2597">
        <v>4</v>
      </c>
      <c r="E2597">
        <v>1</v>
      </c>
      <c r="F2597" t="s">
        <v>24</v>
      </c>
      <c r="G2597" t="s">
        <v>25</v>
      </c>
      <c r="H2597" t="s">
        <v>26</v>
      </c>
      <c r="I2597" t="s">
        <v>57</v>
      </c>
    </row>
    <row r="2598" spans="1:9" x14ac:dyDescent="0.2">
      <c r="A2598" s="3">
        <v>42557</v>
      </c>
      <c r="B2598" t="s">
        <v>23</v>
      </c>
      <c r="C2598">
        <v>203</v>
      </c>
      <c r="D2598">
        <v>4</v>
      </c>
      <c r="E2598">
        <v>2</v>
      </c>
      <c r="F2598" t="s">
        <v>24</v>
      </c>
      <c r="G2598" t="s">
        <v>25</v>
      </c>
      <c r="H2598" t="s">
        <v>26</v>
      </c>
      <c r="I2598" t="s">
        <v>57</v>
      </c>
    </row>
    <row r="2599" spans="1:9" x14ac:dyDescent="0.2">
      <c r="A2599" s="3">
        <v>42557</v>
      </c>
      <c r="B2599" t="s">
        <v>23</v>
      </c>
      <c r="C2599">
        <v>203</v>
      </c>
      <c r="D2599">
        <v>5</v>
      </c>
      <c r="E2599">
        <v>1</v>
      </c>
      <c r="F2599" t="s">
        <v>24</v>
      </c>
      <c r="G2599" t="s">
        <v>25</v>
      </c>
      <c r="H2599" t="s">
        <v>26</v>
      </c>
      <c r="I2599" t="s">
        <v>57</v>
      </c>
    </row>
    <row r="2600" spans="1:9" x14ac:dyDescent="0.2">
      <c r="A2600" s="3">
        <v>42557</v>
      </c>
      <c r="B2600" t="s">
        <v>23</v>
      </c>
      <c r="C2600">
        <v>203</v>
      </c>
      <c r="D2600">
        <v>6</v>
      </c>
      <c r="E2600">
        <v>1</v>
      </c>
      <c r="F2600" t="s">
        <v>24</v>
      </c>
      <c r="G2600" t="s">
        <v>25</v>
      </c>
      <c r="H2600" t="s">
        <v>26</v>
      </c>
      <c r="I2600" t="s">
        <v>57</v>
      </c>
    </row>
    <row r="2601" spans="1:9" x14ac:dyDescent="0.2">
      <c r="A2601" s="3">
        <v>42557</v>
      </c>
      <c r="B2601" t="s">
        <v>23</v>
      </c>
      <c r="C2601">
        <v>203</v>
      </c>
      <c r="D2601">
        <v>6</v>
      </c>
      <c r="E2601">
        <v>2</v>
      </c>
      <c r="F2601" t="s">
        <v>24</v>
      </c>
      <c r="G2601" t="s">
        <v>25</v>
      </c>
      <c r="H2601" t="s">
        <v>26</v>
      </c>
      <c r="I2601" t="s">
        <v>57</v>
      </c>
    </row>
    <row r="2602" spans="1:9" x14ac:dyDescent="0.2">
      <c r="A2602" s="3">
        <v>42557</v>
      </c>
      <c r="B2602" t="s">
        <v>23</v>
      </c>
      <c r="C2602">
        <v>203</v>
      </c>
      <c r="D2602">
        <v>7</v>
      </c>
      <c r="E2602">
        <v>1</v>
      </c>
      <c r="F2602" t="s">
        <v>24</v>
      </c>
      <c r="G2602" t="s">
        <v>25</v>
      </c>
      <c r="H2602" t="s">
        <v>26</v>
      </c>
      <c r="I2602" t="s">
        <v>57</v>
      </c>
    </row>
    <row r="2603" spans="1:9" x14ac:dyDescent="0.2">
      <c r="A2603" s="3">
        <v>42557</v>
      </c>
      <c r="B2603" t="s">
        <v>23</v>
      </c>
      <c r="C2603">
        <v>202</v>
      </c>
      <c r="D2603">
        <v>1</v>
      </c>
      <c r="E2603">
        <v>1</v>
      </c>
      <c r="F2603" t="s">
        <v>24</v>
      </c>
      <c r="G2603" t="s">
        <v>25</v>
      </c>
      <c r="H2603" t="s">
        <v>26</v>
      </c>
      <c r="I2603" t="s">
        <v>57</v>
      </c>
    </row>
    <row r="2604" spans="1:9" x14ac:dyDescent="0.2">
      <c r="A2604" s="3">
        <v>42557</v>
      </c>
      <c r="B2604" t="s">
        <v>23</v>
      </c>
      <c r="C2604">
        <v>202</v>
      </c>
      <c r="D2604">
        <v>1</v>
      </c>
      <c r="E2604">
        <v>2</v>
      </c>
      <c r="F2604" t="s">
        <v>24</v>
      </c>
      <c r="G2604" t="s">
        <v>25</v>
      </c>
      <c r="H2604" t="s">
        <v>26</v>
      </c>
      <c r="I2604" t="s">
        <v>57</v>
      </c>
    </row>
    <row r="2605" spans="1:9" x14ac:dyDescent="0.2">
      <c r="A2605" s="3">
        <v>42557</v>
      </c>
      <c r="B2605" t="s">
        <v>23</v>
      </c>
      <c r="C2605">
        <v>202</v>
      </c>
      <c r="D2605">
        <v>3</v>
      </c>
      <c r="E2605">
        <v>1</v>
      </c>
      <c r="F2605" t="s">
        <v>24</v>
      </c>
      <c r="G2605" t="s">
        <v>25</v>
      </c>
      <c r="H2605" t="s">
        <v>26</v>
      </c>
      <c r="I2605" t="s">
        <v>57</v>
      </c>
    </row>
    <row r="2606" spans="1:9" x14ac:dyDescent="0.2">
      <c r="A2606" s="3">
        <v>42557</v>
      </c>
      <c r="B2606" t="s">
        <v>23</v>
      </c>
      <c r="C2606">
        <v>202</v>
      </c>
      <c r="D2606">
        <v>4</v>
      </c>
      <c r="E2606">
        <v>1</v>
      </c>
      <c r="F2606" t="s">
        <v>24</v>
      </c>
      <c r="G2606" t="s">
        <v>25</v>
      </c>
      <c r="H2606" t="s">
        <v>26</v>
      </c>
      <c r="I2606" t="s">
        <v>57</v>
      </c>
    </row>
    <row r="2607" spans="1:9" x14ac:dyDescent="0.2">
      <c r="A2607" s="3">
        <v>42558</v>
      </c>
      <c r="B2607" t="s">
        <v>23</v>
      </c>
      <c r="C2607">
        <v>201</v>
      </c>
      <c r="D2607">
        <v>1</v>
      </c>
      <c r="E2607">
        <v>1</v>
      </c>
      <c r="F2607" t="s">
        <v>24</v>
      </c>
      <c r="G2607" t="s">
        <v>25</v>
      </c>
      <c r="H2607" t="s">
        <v>26</v>
      </c>
      <c r="I2607" t="s">
        <v>57</v>
      </c>
    </row>
    <row r="2608" spans="1:9" x14ac:dyDescent="0.2">
      <c r="A2608" s="3">
        <v>42558</v>
      </c>
      <c r="B2608" t="s">
        <v>23</v>
      </c>
      <c r="C2608">
        <v>201</v>
      </c>
      <c r="D2608">
        <v>2</v>
      </c>
      <c r="E2608">
        <v>2</v>
      </c>
      <c r="F2608" t="s">
        <v>24</v>
      </c>
      <c r="G2608" t="s">
        <v>25</v>
      </c>
      <c r="H2608" t="s">
        <v>26</v>
      </c>
      <c r="I2608" t="s">
        <v>57</v>
      </c>
    </row>
    <row r="2609" spans="1:9" x14ac:dyDescent="0.2">
      <c r="A2609" s="3">
        <v>42558</v>
      </c>
      <c r="B2609" t="s">
        <v>23</v>
      </c>
      <c r="C2609">
        <v>201</v>
      </c>
      <c r="D2609">
        <v>3</v>
      </c>
      <c r="E2609">
        <v>1</v>
      </c>
      <c r="F2609" t="s">
        <v>24</v>
      </c>
      <c r="G2609" t="s">
        <v>25</v>
      </c>
      <c r="H2609" t="s">
        <v>26</v>
      </c>
      <c r="I2609" t="s">
        <v>57</v>
      </c>
    </row>
    <row r="2610" spans="1:9" x14ac:dyDescent="0.2">
      <c r="A2610" s="3">
        <v>42558</v>
      </c>
      <c r="B2610" t="s">
        <v>23</v>
      </c>
      <c r="C2610">
        <v>201</v>
      </c>
      <c r="D2610">
        <v>5</v>
      </c>
      <c r="E2610">
        <v>1</v>
      </c>
      <c r="F2610" t="s">
        <v>24</v>
      </c>
      <c r="G2610" t="s">
        <v>25</v>
      </c>
      <c r="H2610" t="s">
        <v>26</v>
      </c>
      <c r="I2610" t="s">
        <v>57</v>
      </c>
    </row>
    <row r="2611" spans="1:9" x14ac:dyDescent="0.2">
      <c r="A2611" s="3">
        <v>42558</v>
      </c>
      <c r="B2611" t="s">
        <v>23</v>
      </c>
      <c r="C2611">
        <v>201</v>
      </c>
      <c r="D2611">
        <v>5</v>
      </c>
      <c r="E2611">
        <v>2</v>
      </c>
      <c r="F2611" t="s">
        <v>24</v>
      </c>
      <c r="G2611" t="s">
        <v>25</v>
      </c>
      <c r="H2611" t="s">
        <v>26</v>
      </c>
      <c r="I2611" t="s">
        <v>57</v>
      </c>
    </row>
    <row r="2612" spans="1:9" x14ac:dyDescent="0.2">
      <c r="A2612" s="3">
        <v>42558</v>
      </c>
      <c r="B2612" t="s">
        <v>23</v>
      </c>
      <c r="C2612">
        <v>201</v>
      </c>
      <c r="D2612">
        <v>6</v>
      </c>
      <c r="E2612">
        <v>1</v>
      </c>
      <c r="F2612" t="s">
        <v>24</v>
      </c>
      <c r="G2612" t="s">
        <v>25</v>
      </c>
      <c r="H2612" t="s">
        <v>26</v>
      </c>
      <c r="I2612" t="s">
        <v>57</v>
      </c>
    </row>
    <row r="2613" spans="1:9" x14ac:dyDescent="0.2">
      <c r="A2613" s="3">
        <v>42558</v>
      </c>
      <c r="B2613" t="s">
        <v>23</v>
      </c>
      <c r="C2613">
        <v>201</v>
      </c>
      <c r="D2613">
        <v>8</v>
      </c>
      <c r="E2613">
        <v>1</v>
      </c>
      <c r="F2613" t="s">
        <v>24</v>
      </c>
      <c r="G2613" t="s">
        <v>25</v>
      </c>
      <c r="H2613" t="s">
        <v>26</v>
      </c>
      <c r="I2613" t="s">
        <v>57</v>
      </c>
    </row>
    <row r="2614" spans="1:9" x14ac:dyDescent="0.2">
      <c r="A2614" s="3">
        <v>42558</v>
      </c>
      <c r="B2614" t="s">
        <v>23</v>
      </c>
      <c r="C2614">
        <v>201</v>
      </c>
      <c r="D2614">
        <v>9</v>
      </c>
      <c r="E2614">
        <v>1</v>
      </c>
      <c r="F2614" t="s">
        <v>24</v>
      </c>
      <c r="G2614" t="s">
        <v>25</v>
      </c>
      <c r="H2614" t="s">
        <v>26</v>
      </c>
      <c r="I2614" t="s">
        <v>57</v>
      </c>
    </row>
    <row r="2615" spans="1:9" x14ac:dyDescent="0.2">
      <c r="A2615" s="3">
        <v>42558</v>
      </c>
      <c r="B2615" t="s">
        <v>23</v>
      </c>
      <c r="C2615">
        <v>203</v>
      </c>
      <c r="D2615">
        <v>4</v>
      </c>
      <c r="E2615">
        <v>2</v>
      </c>
      <c r="F2615" t="s">
        <v>24</v>
      </c>
      <c r="G2615" t="s">
        <v>25</v>
      </c>
      <c r="H2615" t="s">
        <v>26</v>
      </c>
      <c r="I2615" t="s">
        <v>57</v>
      </c>
    </row>
    <row r="2616" spans="1:9" x14ac:dyDescent="0.2">
      <c r="A2616" s="3">
        <v>42558</v>
      </c>
      <c r="B2616" t="s">
        <v>23</v>
      </c>
      <c r="C2616">
        <v>203</v>
      </c>
      <c r="D2616">
        <v>5</v>
      </c>
      <c r="E2616">
        <v>1</v>
      </c>
      <c r="F2616" t="s">
        <v>24</v>
      </c>
      <c r="G2616" t="s">
        <v>25</v>
      </c>
      <c r="H2616" t="s">
        <v>26</v>
      </c>
      <c r="I2616" t="s">
        <v>57</v>
      </c>
    </row>
    <row r="2617" spans="1:9" x14ac:dyDescent="0.2">
      <c r="A2617" s="3">
        <v>42558</v>
      </c>
      <c r="B2617" t="s">
        <v>23</v>
      </c>
      <c r="C2617">
        <v>203</v>
      </c>
      <c r="D2617">
        <v>5</v>
      </c>
      <c r="E2617">
        <v>2</v>
      </c>
      <c r="F2617" t="s">
        <v>24</v>
      </c>
      <c r="G2617" t="s">
        <v>25</v>
      </c>
      <c r="H2617" t="s">
        <v>26</v>
      </c>
      <c r="I2617" t="s">
        <v>57</v>
      </c>
    </row>
    <row r="2618" spans="1:9" x14ac:dyDescent="0.2">
      <c r="A2618" s="3">
        <v>42558</v>
      </c>
      <c r="B2618" t="s">
        <v>23</v>
      </c>
      <c r="C2618">
        <v>203</v>
      </c>
      <c r="D2618">
        <v>6</v>
      </c>
      <c r="E2618">
        <v>1</v>
      </c>
      <c r="F2618" t="s">
        <v>24</v>
      </c>
      <c r="G2618" t="s">
        <v>25</v>
      </c>
      <c r="H2618" t="s">
        <v>26</v>
      </c>
      <c r="I2618" t="s">
        <v>57</v>
      </c>
    </row>
    <row r="2619" spans="1:9" x14ac:dyDescent="0.2">
      <c r="A2619" s="3">
        <v>42558</v>
      </c>
      <c r="B2619" t="s">
        <v>23</v>
      </c>
      <c r="C2619">
        <v>203</v>
      </c>
      <c r="D2619">
        <v>6</v>
      </c>
      <c r="E2619">
        <v>2</v>
      </c>
      <c r="F2619" t="s">
        <v>24</v>
      </c>
      <c r="G2619" t="s">
        <v>25</v>
      </c>
      <c r="H2619" t="s">
        <v>26</v>
      </c>
      <c r="I2619" t="s">
        <v>57</v>
      </c>
    </row>
    <row r="2620" spans="1:9" x14ac:dyDescent="0.2">
      <c r="A2620" s="3">
        <v>42558</v>
      </c>
      <c r="B2620" t="s">
        <v>23</v>
      </c>
      <c r="C2620">
        <v>203</v>
      </c>
      <c r="D2620">
        <v>7</v>
      </c>
      <c r="E2620">
        <v>1</v>
      </c>
      <c r="F2620" t="s">
        <v>24</v>
      </c>
      <c r="G2620" t="s">
        <v>25</v>
      </c>
      <c r="H2620" t="s">
        <v>26</v>
      </c>
      <c r="I2620" t="s">
        <v>57</v>
      </c>
    </row>
    <row r="2621" spans="1:9" x14ac:dyDescent="0.2">
      <c r="A2621" s="3">
        <v>42558</v>
      </c>
      <c r="B2621" t="s">
        <v>23</v>
      </c>
      <c r="C2621">
        <v>203</v>
      </c>
      <c r="D2621">
        <v>7</v>
      </c>
      <c r="E2621">
        <v>2</v>
      </c>
      <c r="F2621" t="s">
        <v>24</v>
      </c>
      <c r="G2621" t="s">
        <v>25</v>
      </c>
      <c r="H2621" t="s">
        <v>26</v>
      </c>
      <c r="I2621" t="s">
        <v>57</v>
      </c>
    </row>
    <row r="2622" spans="1:9" x14ac:dyDescent="0.2">
      <c r="A2622" s="3">
        <v>42558</v>
      </c>
      <c r="B2622" t="s">
        <v>23</v>
      </c>
      <c r="C2622">
        <v>203</v>
      </c>
      <c r="D2622">
        <v>8</v>
      </c>
      <c r="E2622">
        <v>1</v>
      </c>
      <c r="F2622" t="s">
        <v>24</v>
      </c>
      <c r="G2622" t="s">
        <v>25</v>
      </c>
      <c r="H2622" t="s">
        <v>26</v>
      </c>
      <c r="I2622" t="s">
        <v>57</v>
      </c>
    </row>
    <row r="2623" spans="1:9" x14ac:dyDescent="0.2">
      <c r="A2623" s="3">
        <v>42558</v>
      </c>
      <c r="B2623" t="s">
        <v>23</v>
      </c>
      <c r="C2623">
        <v>203</v>
      </c>
      <c r="D2623">
        <v>9</v>
      </c>
      <c r="E2623">
        <v>1</v>
      </c>
      <c r="F2623" t="s">
        <v>24</v>
      </c>
      <c r="G2623" t="s">
        <v>25</v>
      </c>
      <c r="H2623" t="s">
        <v>26</v>
      </c>
      <c r="I2623" t="s">
        <v>57</v>
      </c>
    </row>
    <row r="2624" spans="1:9" x14ac:dyDescent="0.2">
      <c r="A2624" s="3">
        <v>42558</v>
      </c>
      <c r="B2624" t="s">
        <v>23</v>
      </c>
      <c r="C2624">
        <v>203</v>
      </c>
      <c r="D2624">
        <v>10</v>
      </c>
      <c r="E2624">
        <v>1</v>
      </c>
      <c r="F2624" t="s">
        <v>24</v>
      </c>
      <c r="G2624" t="s">
        <v>25</v>
      </c>
      <c r="H2624" t="s">
        <v>26</v>
      </c>
      <c r="I2624" t="s">
        <v>57</v>
      </c>
    </row>
    <row r="2625" spans="1:30" x14ac:dyDescent="0.2">
      <c r="A2625" s="3">
        <v>42558</v>
      </c>
      <c r="B2625" t="s">
        <v>23</v>
      </c>
      <c r="C2625">
        <v>202</v>
      </c>
      <c r="D2625">
        <v>1</v>
      </c>
      <c r="E2625">
        <v>1</v>
      </c>
      <c r="F2625" t="s">
        <v>24</v>
      </c>
      <c r="G2625" t="s">
        <v>25</v>
      </c>
      <c r="H2625" t="s">
        <v>26</v>
      </c>
      <c r="I2625" t="s">
        <v>57</v>
      </c>
    </row>
    <row r="2626" spans="1:30" x14ac:dyDescent="0.2">
      <c r="A2626" s="3">
        <v>42558</v>
      </c>
      <c r="B2626" t="s">
        <v>23</v>
      </c>
      <c r="C2626">
        <v>202</v>
      </c>
      <c r="D2626">
        <v>1</v>
      </c>
      <c r="E2626">
        <v>2</v>
      </c>
      <c r="F2626" t="s">
        <v>24</v>
      </c>
      <c r="G2626" t="s">
        <v>25</v>
      </c>
      <c r="H2626" t="s">
        <v>26</v>
      </c>
      <c r="I2626" t="s">
        <v>57</v>
      </c>
    </row>
    <row r="2627" spans="1:30" x14ac:dyDescent="0.2">
      <c r="A2627" s="3">
        <v>42558</v>
      </c>
      <c r="B2627" t="s">
        <v>23</v>
      </c>
      <c r="C2627">
        <v>202</v>
      </c>
      <c r="D2627">
        <v>2</v>
      </c>
      <c r="E2627">
        <v>2</v>
      </c>
      <c r="F2627" t="s">
        <v>24</v>
      </c>
      <c r="G2627" t="s">
        <v>25</v>
      </c>
      <c r="H2627" t="s">
        <v>26</v>
      </c>
      <c r="I2627" t="s">
        <v>57</v>
      </c>
      <c r="AD2627" t="s">
        <v>443</v>
      </c>
    </row>
    <row r="2628" spans="1:30" x14ac:dyDescent="0.2">
      <c r="A2628" s="3">
        <v>42558</v>
      </c>
      <c r="B2628" t="s">
        <v>23</v>
      </c>
      <c r="C2628">
        <v>202</v>
      </c>
      <c r="D2628">
        <v>5</v>
      </c>
      <c r="E2628">
        <v>1</v>
      </c>
      <c r="F2628" t="s">
        <v>24</v>
      </c>
      <c r="G2628" t="s">
        <v>25</v>
      </c>
      <c r="H2628" t="s">
        <v>26</v>
      </c>
      <c r="I2628" t="s">
        <v>57</v>
      </c>
      <c r="AD2628" t="s">
        <v>443</v>
      </c>
    </row>
    <row r="2629" spans="1:30" x14ac:dyDescent="0.2">
      <c r="A2629" s="3">
        <v>42558</v>
      </c>
      <c r="B2629" t="s">
        <v>23</v>
      </c>
      <c r="C2629">
        <v>304</v>
      </c>
      <c r="D2629">
        <v>1</v>
      </c>
      <c r="E2629">
        <v>1</v>
      </c>
      <c r="F2629" t="s">
        <v>24</v>
      </c>
      <c r="G2629" t="s">
        <v>25</v>
      </c>
      <c r="H2629" t="s">
        <v>26</v>
      </c>
      <c r="I2629" t="s">
        <v>57</v>
      </c>
    </row>
    <row r="2630" spans="1:30" x14ac:dyDescent="0.2">
      <c r="A2630" s="3">
        <v>42558</v>
      </c>
      <c r="B2630" t="s">
        <v>23</v>
      </c>
      <c r="C2630">
        <v>304</v>
      </c>
      <c r="D2630">
        <v>1</v>
      </c>
      <c r="E2630">
        <v>2</v>
      </c>
      <c r="F2630" t="s">
        <v>24</v>
      </c>
      <c r="G2630" t="s">
        <v>25</v>
      </c>
      <c r="H2630" t="s">
        <v>26</v>
      </c>
      <c r="I2630" t="s">
        <v>57</v>
      </c>
    </row>
    <row r="2631" spans="1:30" x14ac:dyDescent="0.2">
      <c r="A2631" s="3">
        <v>42558</v>
      </c>
      <c r="B2631" t="s">
        <v>23</v>
      </c>
      <c r="C2631">
        <v>304</v>
      </c>
      <c r="D2631">
        <v>2</v>
      </c>
      <c r="E2631">
        <v>2</v>
      </c>
      <c r="F2631" t="s">
        <v>24</v>
      </c>
      <c r="G2631" t="s">
        <v>25</v>
      </c>
      <c r="H2631" t="s">
        <v>26</v>
      </c>
      <c r="I2631" t="s">
        <v>57</v>
      </c>
    </row>
    <row r="2632" spans="1:30" x14ac:dyDescent="0.2">
      <c r="A2632" s="3">
        <v>42558</v>
      </c>
      <c r="B2632" t="s">
        <v>23</v>
      </c>
      <c r="C2632">
        <v>304</v>
      </c>
      <c r="D2632">
        <v>3</v>
      </c>
      <c r="E2632">
        <v>1</v>
      </c>
      <c r="F2632" t="s">
        <v>24</v>
      </c>
      <c r="G2632" t="s">
        <v>25</v>
      </c>
      <c r="H2632" t="s">
        <v>26</v>
      </c>
      <c r="I2632" t="s">
        <v>57</v>
      </c>
    </row>
    <row r="2633" spans="1:30" x14ac:dyDescent="0.2">
      <c r="A2633" s="3">
        <v>42558</v>
      </c>
      <c r="B2633" t="s">
        <v>23</v>
      </c>
      <c r="C2633">
        <v>304</v>
      </c>
      <c r="D2633">
        <v>3</v>
      </c>
      <c r="E2633">
        <v>2</v>
      </c>
      <c r="F2633" t="s">
        <v>24</v>
      </c>
      <c r="G2633" t="s">
        <v>25</v>
      </c>
      <c r="H2633" t="s">
        <v>26</v>
      </c>
      <c r="I2633" t="s">
        <v>57</v>
      </c>
    </row>
    <row r="2634" spans="1:30" x14ac:dyDescent="0.2">
      <c r="A2634" s="3">
        <v>42558</v>
      </c>
      <c r="B2634" t="s">
        <v>23</v>
      </c>
      <c r="C2634">
        <v>304</v>
      </c>
      <c r="D2634">
        <v>4</v>
      </c>
      <c r="E2634">
        <v>1</v>
      </c>
      <c r="F2634" t="s">
        <v>24</v>
      </c>
      <c r="G2634" t="s">
        <v>25</v>
      </c>
      <c r="H2634" t="s">
        <v>26</v>
      </c>
      <c r="I2634" t="s">
        <v>57</v>
      </c>
    </row>
    <row r="2635" spans="1:30" x14ac:dyDescent="0.2">
      <c r="A2635" s="3">
        <v>42558</v>
      </c>
      <c r="B2635" t="s">
        <v>23</v>
      </c>
      <c r="C2635">
        <v>304</v>
      </c>
      <c r="D2635">
        <v>4</v>
      </c>
      <c r="E2635">
        <v>2</v>
      </c>
      <c r="F2635" t="s">
        <v>24</v>
      </c>
      <c r="G2635" t="s">
        <v>25</v>
      </c>
      <c r="H2635" t="s">
        <v>26</v>
      </c>
      <c r="I2635" t="s">
        <v>57</v>
      </c>
    </row>
    <row r="2636" spans="1:30" x14ac:dyDescent="0.2">
      <c r="A2636" s="3">
        <v>42558</v>
      </c>
      <c r="B2636" t="s">
        <v>23</v>
      </c>
      <c r="C2636">
        <v>304</v>
      </c>
      <c r="D2636">
        <v>5</v>
      </c>
      <c r="E2636">
        <v>1</v>
      </c>
      <c r="F2636" t="s">
        <v>24</v>
      </c>
      <c r="G2636" t="s">
        <v>25</v>
      </c>
      <c r="H2636" t="s">
        <v>26</v>
      </c>
      <c r="I2636" t="s">
        <v>57</v>
      </c>
    </row>
    <row r="2637" spans="1:30" x14ac:dyDescent="0.2">
      <c r="A2637" s="3">
        <v>42558</v>
      </c>
      <c r="B2637" t="s">
        <v>23</v>
      </c>
      <c r="C2637">
        <v>304</v>
      </c>
      <c r="D2637">
        <v>7</v>
      </c>
      <c r="E2637">
        <v>1</v>
      </c>
      <c r="F2637" t="s">
        <v>24</v>
      </c>
      <c r="G2637" t="s">
        <v>25</v>
      </c>
      <c r="H2637" t="s">
        <v>26</v>
      </c>
      <c r="I2637" t="s">
        <v>57</v>
      </c>
    </row>
    <row r="2638" spans="1:30" x14ac:dyDescent="0.2">
      <c r="A2638" s="3">
        <v>42558</v>
      </c>
      <c r="B2638" t="s">
        <v>23</v>
      </c>
      <c r="C2638">
        <v>304</v>
      </c>
      <c r="D2638">
        <v>8</v>
      </c>
      <c r="E2638">
        <v>1</v>
      </c>
      <c r="F2638" t="s">
        <v>24</v>
      </c>
      <c r="G2638" t="s">
        <v>25</v>
      </c>
      <c r="H2638" t="s">
        <v>26</v>
      </c>
      <c r="I2638" t="s">
        <v>57</v>
      </c>
    </row>
    <row r="2639" spans="1:30" x14ac:dyDescent="0.2">
      <c r="A2639" s="3">
        <v>42558</v>
      </c>
      <c r="B2639" t="s">
        <v>23</v>
      </c>
      <c r="C2639">
        <v>304</v>
      </c>
      <c r="D2639">
        <v>8</v>
      </c>
      <c r="E2639">
        <v>2</v>
      </c>
      <c r="F2639" t="s">
        <v>24</v>
      </c>
      <c r="G2639" t="s">
        <v>25</v>
      </c>
      <c r="H2639" t="s">
        <v>26</v>
      </c>
      <c r="I2639" t="s">
        <v>57</v>
      </c>
    </row>
    <row r="2640" spans="1:30" x14ac:dyDescent="0.2">
      <c r="A2640" s="3">
        <v>42558</v>
      </c>
      <c r="B2640" t="s">
        <v>23</v>
      </c>
      <c r="C2640">
        <v>304</v>
      </c>
      <c r="D2640">
        <v>10</v>
      </c>
      <c r="E2640">
        <v>1</v>
      </c>
      <c r="F2640" t="s">
        <v>24</v>
      </c>
      <c r="G2640" t="s">
        <v>25</v>
      </c>
      <c r="H2640" t="s">
        <v>26</v>
      </c>
      <c r="I2640" t="s">
        <v>57</v>
      </c>
    </row>
    <row r="2641" spans="1:9" x14ac:dyDescent="0.2">
      <c r="A2641" s="3">
        <v>42558</v>
      </c>
      <c r="B2641" t="s">
        <v>23</v>
      </c>
      <c r="C2641">
        <v>111</v>
      </c>
      <c r="D2641">
        <v>3</v>
      </c>
      <c r="E2641">
        <v>1</v>
      </c>
      <c r="F2641" t="s">
        <v>33</v>
      </c>
      <c r="G2641" t="s">
        <v>25</v>
      </c>
      <c r="H2641" t="s">
        <v>26</v>
      </c>
      <c r="I2641" t="s">
        <v>57</v>
      </c>
    </row>
    <row r="2642" spans="1:9" x14ac:dyDescent="0.2">
      <c r="A2642" s="3">
        <v>42558</v>
      </c>
      <c r="B2642" t="s">
        <v>23</v>
      </c>
      <c r="C2642">
        <v>111</v>
      </c>
      <c r="D2642">
        <v>9</v>
      </c>
      <c r="E2642">
        <v>1</v>
      </c>
      <c r="F2642" t="s">
        <v>33</v>
      </c>
      <c r="G2642" t="s">
        <v>25</v>
      </c>
      <c r="H2642" t="s">
        <v>26</v>
      </c>
      <c r="I2642" t="s">
        <v>57</v>
      </c>
    </row>
    <row r="2643" spans="1:9" x14ac:dyDescent="0.2">
      <c r="A2643" s="3">
        <v>42558</v>
      </c>
      <c r="B2643" t="s">
        <v>23</v>
      </c>
      <c r="C2643">
        <v>111</v>
      </c>
      <c r="D2643">
        <v>10</v>
      </c>
      <c r="E2643">
        <v>1</v>
      </c>
      <c r="F2643" t="s">
        <v>33</v>
      </c>
      <c r="G2643" t="s">
        <v>25</v>
      </c>
      <c r="H2643" t="s">
        <v>26</v>
      </c>
      <c r="I2643" t="s">
        <v>57</v>
      </c>
    </row>
    <row r="2644" spans="1:9" x14ac:dyDescent="0.2">
      <c r="A2644" s="3">
        <v>42558</v>
      </c>
      <c r="B2644" t="s">
        <v>23</v>
      </c>
      <c r="C2644">
        <v>112</v>
      </c>
      <c r="D2644">
        <v>1</v>
      </c>
      <c r="E2644">
        <v>1</v>
      </c>
      <c r="F2644" t="s">
        <v>33</v>
      </c>
      <c r="G2644" t="s">
        <v>25</v>
      </c>
      <c r="H2644" t="s">
        <v>26</v>
      </c>
      <c r="I2644" t="s">
        <v>57</v>
      </c>
    </row>
    <row r="2645" spans="1:9" x14ac:dyDescent="0.2">
      <c r="A2645" s="3">
        <v>42558</v>
      </c>
      <c r="B2645" t="s">
        <v>23</v>
      </c>
      <c r="C2645">
        <v>112</v>
      </c>
      <c r="D2645">
        <v>5</v>
      </c>
      <c r="E2645">
        <v>1</v>
      </c>
      <c r="F2645" t="s">
        <v>33</v>
      </c>
      <c r="G2645" t="s">
        <v>25</v>
      </c>
      <c r="H2645" t="s">
        <v>26</v>
      </c>
      <c r="I2645" t="s">
        <v>57</v>
      </c>
    </row>
    <row r="2646" spans="1:9" x14ac:dyDescent="0.2">
      <c r="A2646" s="3">
        <v>42558</v>
      </c>
      <c r="B2646" t="s">
        <v>23</v>
      </c>
      <c r="C2646">
        <v>112</v>
      </c>
      <c r="D2646">
        <v>6</v>
      </c>
      <c r="E2646">
        <v>1</v>
      </c>
      <c r="F2646" t="s">
        <v>33</v>
      </c>
      <c r="G2646" t="s">
        <v>25</v>
      </c>
      <c r="H2646" t="s">
        <v>26</v>
      </c>
      <c r="I2646" t="s">
        <v>57</v>
      </c>
    </row>
    <row r="2647" spans="1:9" x14ac:dyDescent="0.2">
      <c r="A2647" s="3">
        <v>42558</v>
      </c>
      <c r="B2647" t="s">
        <v>23</v>
      </c>
      <c r="C2647">
        <v>112</v>
      </c>
      <c r="D2647">
        <v>7</v>
      </c>
      <c r="E2647">
        <v>1</v>
      </c>
      <c r="F2647" t="s">
        <v>33</v>
      </c>
      <c r="G2647" t="s">
        <v>25</v>
      </c>
      <c r="H2647" t="s">
        <v>26</v>
      </c>
      <c r="I2647" t="s">
        <v>57</v>
      </c>
    </row>
    <row r="2648" spans="1:9" x14ac:dyDescent="0.2">
      <c r="A2648" s="3">
        <v>42558</v>
      </c>
      <c r="B2648" t="s">
        <v>23</v>
      </c>
      <c r="C2648">
        <v>112</v>
      </c>
      <c r="D2648">
        <v>8</v>
      </c>
      <c r="E2648">
        <v>1</v>
      </c>
      <c r="F2648" t="s">
        <v>33</v>
      </c>
      <c r="G2648" t="s">
        <v>25</v>
      </c>
      <c r="H2648" t="s">
        <v>26</v>
      </c>
      <c r="I2648" t="s">
        <v>57</v>
      </c>
    </row>
    <row r="2649" spans="1:9" x14ac:dyDescent="0.2">
      <c r="A2649" s="3">
        <v>42558</v>
      </c>
      <c r="B2649" t="s">
        <v>23</v>
      </c>
      <c r="C2649">
        <v>112</v>
      </c>
      <c r="D2649">
        <v>9</v>
      </c>
      <c r="E2649">
        <v>1</v>
      </c>
      <c r="F2649" t="s">
        <v>33</v>
      </c>
      <c r="G2649" t="s">
        <v>25</v>
      </c>
      <c r="H2649" t="s">
        <v>26</v>
      </c>
      <c r="I2649" t="s">
        <v>57</v>
      </c>
    </row>
    <row r="2650" spans="1:9" x14ac:dyDescent="0.2">
      <c r="A2650" s="3">
        <v>42558</v>
      </c>
      <c r="B2650" t="s">
        <v>23</v>
      </c>
      <c r="C2650">
        <v>113</v>
      </c>
      <c r="D2650">
        <v>2</v>
      </c>
      <c r="E2650">
        <v>1</v>
      </c>
      <c r="F2650" t="s">
        <v>33</v>
      </c>
      <c r="G2650" t="s">
        <v>25</v>
      </c>
      <c r="H2650" t="s">
        <v>26</v>
      </c>
      <c r="I2650" t="s">
        <v>57</v>
      </c>
    </row>
    <row r="2651" spans="1:9" x14ac:dyDescent="0.2">
      <c r="A2651" s="3">
        <v>42558</v>
      </c>
      <c r="B2651" t="s">
        <v>23</v>
      </c>
      <c r="C2651">
        <v>113</v>
      </c>
      <c r="D2651">
        <v>10</v>
      </c>
      <c r="E2651">
        <v>1</v>
      </c>
      <c r="F2651" t="s">
        <v>33</v>
      </c>
      <c r="G2651" t="s">
        <v>25</v>
      </c>
      <c r="H2651" t="s">
        <v>26</v>
      </c>
      <c r="I2651" t="s">
        <v>57</v>
      </c>
    </row>
    <row r="2652" spans="1:9" x14ac:dyDescent="0.2">
      <c r="A2652" s="3">
        <v>42558</v>
      </c>
      <c r="B2652" t="s">
        <v>23</v>
      </c>
      <c r="C2652">
        <v>113</v>
      </c>
      <c r="D2652">
        <v>10</v>
      </c>
      <c r="E2652">
        <v>2</v>
      </c>
      <c r="F2652" t="s">
        <v>33</v>
      </c>
      <c r="G2652" t="s">
        <v>25</v>
      </c>
      <c r="H2652" t="s">
        <v>26</v>
      </c>
      <c r="I2652" t="s">
        <v>57</v>
      </c>
    </row>
    <row r="2653" spans="1:9" x14ac:dyDescent="0.2">
      <c r="A2653" s="3">
        <v>42558</v>
      </c>
      <c r="B2653" t="s">
        <v>23</v>
      </c>
      <c r="C2653">
        <v>402</v>
      </c>
      <c r="D2653">
        <v>1</v>
      </c>
      <c r="E2653">
        <v>2</v>
      </c>
      <c r="F2653" t="s">
        <v>33</v>
      </c>
      <c r="G2653" t="s">
        <v>25</v>
      </c>
      <c r="H2653" t="s">
        <v>26</v>
      </c>
      <c r="I2653" t="s">
        <v>57</v>
      </c>
    </row>
    <row r="2654" spans="1:9" x14ac:dyDescent="0.2">
      <c r="A2654" s="3">
        <v>42558</v>
      </c>
      <c r="B2654" t="s">
        <v>23</v>
      </c>
      <c r="C2654">
        <v>402</v>
      </c>
      <c r="D2654">
        <v>8</v>
      </c>
      <c r="E2654">
        <v>1</v>
      </c>
      <c r="F2654" t="s">
        <v>33</v>
      </c>
      <c r="G2654" t="s">
        <v>25</v>
      </c>
      <c r="H2654" t="s">
        <v>26</v>
      </c>
      <c r="I2654" t="s">
        <v>57</v>
      </c>
    </row>
    <row r="2655" spans="1:9" x14ac:dyDescent="0.2">
      <c r="A2655" s="3">
        <v>42563</v>
      </c>
      <c r="B2655" t="s">
        <v>23</v>
      </c>
      <c r="C2655">
        <v>501</v>
      </c>
      <c r="D2655">
        <v>5</v>
      </c>
      <c r="E2655">
        <v>1</v>
      </c>
      <c r="F2655" t="s">
        <v>24</v>
      </c>
      <c r="G2655" t="s">
        <v>25</v>
      </c>
      <c r="H2655" t="s">
        <v>26</v>
      </c>
      <c r="I2655" t="s">
        <v>57</v>
      </c>
    </row>
    <row r="2656" spans="1:9" x14ac:dyDescent="0.2">
      <c r="A2656" s="3">
        <v>42563</v>
      </c>
      <c r="B2656" t="s">
        <v>23</v>
      </c>
      <c r="C2656">
        <v>501</v>
      </c>
      <c r="D2656">
        <v>7</v>
      </c>
      <c r="E2656">
        <v>1</v>
      </c>
      <c r="F2656" t="s">
        <v>24</v>
      </c>
      <c r="G2656" t="s">
        <v>25</v>
      </c>
      <c r="H2656" t="s">
        <v>26</v>
      </c>
      <c r="I2656" t="s">
        <v>57</v>
      </c>
    </row>
    <row r="2657" spans="1:9" x14ac:dyDescent="0.2">
      <c r="A2657" s="3">
        <v>42563</v>
      </c>
      <c r="B2657" t="s">
        <v>23</v>
      </c>
      <c r="C2657">
        <v>501</v>
      </c>
      <c r="D2657">
        <v>7</v>
      </c>
      <c r="E2657">
        <v>2</v>
      </c>
      <c r="F2657" t="s">
        <v>24</v>
      </c>
      <c r="G2657" t="s">
        <v>25</v>
      </c>
      <c r="H2657" t="s">
        <v>26</v>
      </c>
      <c r="I2657" t="s">
        <v>57</v>
      </c>
    </row>
    <row r="2658" spans="1:9" x14ac:dyDescent="0.2">
      <c r="A2658" s="3">
        <v>42563</v>
      </c>
      <c r="B2658" t="s">
        <v>23</v>
      </c>
      <c r="C2658">
        <v>503</v>
      </c>
      <c r="D2658">
        <v>2</v>
      </c>
      <c r="E2658">
        <v>2</v>
      </c>
      <c r="F2658" t="s">
        <v>24</v>
      </c>
      <c r="G2658" t="s">
        <v>25</v>
      </c>
      <c r="H2658" t="s">
        <v>26</v>
      </c>
      <c r="I2658" t="s">
        <v>57</v>
      </c>
    </row>
    <row r="2659" spans="1:9" x14ac:dyDescent="0.2">
      <c r="A2659" s="3">
        <v>42563</v>
      </c>
      <c r="B2659" t="s">
        <v>23</v>
      </c>
      <c r="C2659">
        <v>503</v>
      </c>
      <c r="D2659">
        <v>3</v>
      </c>
      <c r="E2659">
        <v>1</v>
      </c>
      <c r="F2659" t="s">
        <v>24</v>
      </c>
      <c r="G2659" t="s">
        <v>25</v>
      </c>
      <c r="H2659" t="s">
        <v>26</v>
      </c>
      <c r="I2659" t="s">
        <v>57</v>
      </c>
    </row>
    <row r="2660" spans="1:9" x14ac:dyDescent="0.2">
      <c r="A2660" s="3">
        <v>42563</v>
      </c>
      <c r="B2660" t="s">
        <v>23</v>
      </c>
      <c r="C2660">
        <v>503</v>
      </c>
      <c r="D2660">
        <v>4</v>
      </c>
      <c r="E2660">
        <v>1</v>
      </c>
      <c r="F2660" t="s">
        <v>24</v>
      </c>
      <c r="G2660" t="s">
        <v>25</v>
      </c>
      <c r="H2660" t="s">
        <v>26</v>
      </c>
      <c r="I2660" t="s">
        <v>57</v>
      </c>
    </row>
    <row r="2661" spans="1:9" x14ac:dyDescent="0.2">
      <c r="A2661" s="3">
        <v>42563</v>
      </c>
      <c r="B2661" t="s">
        <v>23</v>
      </c>
      <c r="C2661">
        <v>503</v>
      </c>
      <c r="D2661">
        <v>5</v>
      </c>
      <c r="E2661">
        <v>1</v>
      </c>
      <c r="F2661" t="s">
        <v>24</v>
      </c>
      <c r="G2661" t="s">
        <v>25</v>
      </c>
      <c r="H2661" t="s">
        <v>26</v>
      </c>
      <c r="I2661" t="s">
        <v>57</v>
      </c>
    </row>
    <row r="2662" spans="1:9" x14ac:dyDescent="0.2">
      <c r="A2662" s="3">
        <v>42563</v>
      </c>
      <c r="B2662" t="s">
        <v>23</v>
      </c>
      <c r="C2662">
        <v>503</v>
      </c>
      <c r="D2662">
        <v>5</v>
      </c>
      <c r="E2662">
        <v>2</v>
      </c>
      <c r="F2662" t="s">
        <v>24</v>
      </c>
      <c r="G2662" t="s">
        <v>25</v>
      </c>
      <c r="H2662" t="s">
        <v>26</v>
      </c>
      <c r="I2662" t="s">
        <v>57</v>
      </c>
    </row>
    <row r="2663" spans="1:9" x14ac:dyDescent="0.2">
      <c r="A2663" s="3">
        <v>42563</v>
      </c>
      <c r="B2663" t="s">
        <v>23</v>
      </c>
      <c r="C2663">
        <v>503</v>
      </c>
      <c r="D2663">
        <v>6</v>
      </c>
      <c r="E2663">
        <v>1</v>
      </c>
      <c r="F2663" t="s">
        <v>24</v>
      </c>
      <c r="G2663" t="s">
        <v>25</v>
      </c>
      <c r="H2663" t="s">
        <v>26</v>
      </c>
      <c r="I2663" t="s">
        <v>57</v>
      </c>
    </row>
    <row r="2664" spans="1:9" x14ac:dyDescent="0.2">
      <c r="A2664" s="3">
        <v>42563</v>
      </c>
      <c r="B2664" t="s">
        <v>23</v>
      </c>
      <c r="C2664">
        <v>503</v>
      </c>
      <c r="D2664">
        <v>7</v>
      </c>
      <c r="E2664">
        <v>1</v>
      </c>
      <c r="F2664" t="s">
        <v>24</v>
      </c>
      <c r="G2664" t="s">
        <v>25</v>
      </c>
      <c r="H2664" t="s">
        <v>26</v>
      </c>
      <c r="I2664" t="s">
        <v>57</v>
      </c>
    </row>
    <row r="2665" spans="1:9" x14ac:dyDescent="0.2">
      <c r="A2665" s="3">
        <v>42563</v>
      </c>
      <c r="B2665" t="s">
        <v>23</v>
      </c>
      <c r="C2665">
        <v>503</v>
      </c>
      <c r="D2665">
        <v>7</v>
      </c>
      <c r="E2665">
        <v>2</v>
      </c>
      <c r="F2665" t="s">
        <v>24</v>
      </c>
      <c r="G2665" t="s">
        <v>25</v>
      </c>
      <c r="H2665" t="s">
        <v>26</v>
      </c>
      <c r="I2665" t="s">
        <v>57</v>
      </c>
    </row>
    <row r="2666" spans="1:9" x14ac:dyDescent="0.2">
      <c r="A2666" s="3">
        <v>42563</v>
      </c>
      <c r="B2666" t="s">
        <v>23</v>
      </c>
      <c r="C2666">
        <v>503</v>
      </c>
      <c r="D2666">
        <v>10</v>
      </c>
      <c r="E2666">
        <v>1</v>
      </c>
      <c r="F2666" t="s">
        <v>24</v>
      </c>
      <c r="G2666" t="s">
        <v>25</v>
      </c>
      <c r="H2666" t="s">
        <v>26</v>
      </c>
      <c r="I2666" t="s">
        <v>57</v>
      </c>
    </row>
    <row r="2667" spans="1:9" x14ac:dyDescent="0.2">
      <c r="A2667" s="3">
        <v>42563</v>
      </c>
      <c r="B2667" t="s">
        <v>23</v>
      </c>
      <c r="C2667">
        <v>303</v>
      </c>
      <c r="D2667">
        <v>1</v>
      </c>
      <c r="E2667">
        <v>1</v>
      </c>
      <c r="F2667" t="s">
        <v>24</v>
      </c>
      <c r="G2667" t="s">
        <v>25</v>
      </c>
      <c r="H2667" t="s">
        <v>26</v>
      </c>
      <c r="I2667" t="s">
        <v>57</v>
      </c>
    </row>
    <row r="2668" spans="1:9" x14ac:dyDescent="0.2">
      <c r="A2668" s="3">
        <v>42563</v>
      </c>
      <c r="B2668" t="s">
        <v>23</v>
      </c>
      <c r="C2668">
        <v>303</v>
      </c>
      <c r="D2668">
        <v>2</v>
      </c>
      <c r="E2668">
        <v>1</v>
      </c>
      <c r="F2668" t="s">
        <v>24</v>
      </c>
      <c r="G2668" t="s">
        <v>25</v>
      </c>
      <c r="H2668" t="s">
        <v>26</v>
      </c>
      <c r="I2668" t="s">
        <v>57</v>
      </c>
    </row>
    <row r="2669" spans="1:9" x14ac:dyDescent="0.2">
      <c r="A2669" s="3">
        <v>42563</v>
      </c>
      <c r="B2669" t="s">
        <v>23</v>
      </c>
      <c r="C2669">
        <v>303</v>
      </c>
      <c r="D2669">
        <v>3</v>
      </c>
      <c r="E2669">
        <v>1</v>
      </c>
      <c r="F2669" t="s">
        <v>24</v>
      </c>
      <c r="G2669" t="s">
        <v>25</v>
      </c>
      <c r="H2669" t="s">
        <v>26</v>
      </c>
      <c r="I2669" t="s">
        <v>57</v>
      </c>
    </row>
    <row r="2670" spans="1:9" x14ac:dyDescent="0.2">
      <c r="A2670" s="3">
        <v>42563</v>
      </c>
      <c r="B2670" t="s">
        <v>23</v>
      </c>
      <c r="C2670">
        <v>303</v>
      </c>
      <c r="D2670">
        <v>4</v>
      </c>
      <c r="E2670">
        <v>1</v>
      </c>
      <c r="F2670" t="s">
        <v>24</v>
      </c>
      <c r="G2670" t="s">
        <v>25</v>
      </c>
      <c r="H2670" t="s">
        <v>26</v>
      </c>
      <c r="I2670" t="s">
        <v>57</v>
      </c>
    </row>
    <row r="2671" spans="1:9" x14ac:dyDescent="0.2">
      <c r="A2671" s="3">
        <v>42563</v>
      </c>
      <c r="B2671" t="s">
        <v>23</v>
      </c>
      <c r="C2671">
        <v>303</v>
      </c>
      <c r="D2671">
        <v>8</v>
      </c>
      <c r="E2671">
        <v>1</v>
      </c>
      <c r="F2671" t="s">
        <v>24</v>
      </c>
      <c r="G2671" t="s">
        <v>25</v>
      </c>
      <c r="H2671" t="s">
        <v>26</v>
      </c>
      <c r="I2671" t="s">
        <v>57</v>
      </c>
    </row>
    <row r="2672" spans="1:9" x14ac:dyDescent="0.2">
      <c r="A2672" s="3">
        <v>42563</v>
      </c>
      <c r="B2672" t="s">
        <v>23</v>
      </c>
      <c r="C2672">
        <v>303</v>
      </c>
      <c r="D2672">
        <v>8</v>
      </c>
      <c r="E2672">
        <v>2</v>
      </c>
      <c r="F2672" t="s">
        <v>24</v>
      </c>
      <c r="G2672" t="s">
        <v>25</v>
      </c>
      <c r="H2672" t="s">
        <v>26</v>
      </c>
      <c r="I2672" t="s">
        <v>57</v>
      </c>
    </row>
    <row r="2673" spans="1:9" x14ac:dyDescent="0.2">
      <c r="A2673" s="3">
        <v>42563</v>
      </c>
      <c r="B2673" t="s">
        <v>23</v>
      </c>
      <c r="C2673">
        <v>303</v>
      </c>
      <c r="D2673">
        <v>9</v>
      </c>
      <c r="E2673">
        <v>1</v>
      </c>
      <c r="F2673" t="s">
        <v>24</v>
      </c>
      <c r="G2673" t="s">
        <v>25</v>
      </c>
      <c r="H2673" t="s">
        <v>26</v>
      </c>
      <c r="I2673" t="s">
        <v>57</v>
      </c>
    </row>
    <row r="2674" spans="1:9" x14ac:dyDescent="0.2">
      <c r="A2674" s="3">
        <v>42563</v>
      </c>
      <c r="B2674" t="s">
        <v>23</v>
      </c>
      <c r="C2674">
        <v>401</v>
      </c>
      <c r="D2674">
        <v>1</v>
      </c>
      <c r="E2674">
        <v>1</v>
      </c>
      <c r="F2674" t="s">
        <v>24</v>
      </c>
      <c r="G2674" t="s">
        <v>25</v>
      </c>
      <c r="H2674" t="s">
        <v>26</v>
      </c>
      <c r="I2674" t="s">
        <v>57</v>
      </c>
    </row>
    <row r="2675" spans="1:9" x14ac:dyDescent="0.2">
      <c r="A2675" s="3">
        <v>42563</v>
      </c>
      <c r="B2675" t="s">
        <v>23</v>
      </c>
      <c r="C2675">
        <v>401</v>
      </c>
      <c r="D2675">
        <v>1</v>
      </c>
      <c r="E2675">
        <v>2</v>
      </c>
      <c r="F2675" t="s">
        <v>24</v>
      </c>
      <c r="G2675" t="s">
        <v>25</v>
      </c>
      <c r="H2675" t="s">
        <v>26</v>
      </c>
      <c r="I2675" t="s">
        <v>57</v>
      </c>
    </row>
    <row r="2676" spans="1:9" x14ac:dyDescent="0.2">
      <c r="A2676" s="3">
        <v>42563</v>
      </c>
      <c r="B2676" t="s">
        <v>23</v>
      </c>
      <c r="C2676">
        <v>401</v>
      </c>
      <c r="D2676">
        <v>2</v>
      </c>
      <c r="E2676">
        <v>1</v>
      </c>
      <c r="F2676" t="s">
        <v>24</v>
      </c>
      <c r="G2676" t="s">
        <v>25</v>
      </c>
      <c r="H2676" t="s">
        <v>26</v>
      </c>
      <c r="I2676" t="s">
        <v>57</v>
      </c>
    </row>
    <row r="2677" spans="1:9" x14ac:dyDescent="0.2">
      <c r="A2677" s="3">
        <v>42563</v>
      </c>
      <c r="B2677" t="s">
        <v>23</v>
      </c>
      <c r="C2677">
        <v>401</v>
      </c>
      <c r="D2677">
        <v>2</v>
      </c>
      <c r="E2677">
        <v>2</v>
      </c>
      <c r="F2677" t="s">
        <v>24</v>
      </c>
      <c r="G2677" t="s">
        <v>25</v>
      </c>
      <c r="H2677" t="s">
        <v>26</v>
      </c>
      <c r="I2677" t="s">
        <v>57</v>
      </c>
    </row>
    <row r="2678" spans="1:9" x14ac:dyDescent="0.2">
      <c r="A2678" s="3">
        <v>42563</v>
      </c>
      <c r="B2678" t="s">
        <v>23</v>
      </c>
      <c r="C2678">
        <v>401</v>
      </c>
      <c r="D2678">
        <v>3</v>
      </c>
      <c r="E2678">
        <v>1</v>
      </c>
      <c r="F2678" t="s">
        <v>24</v>
      </c>
      <c r="G2678" t="s">
        <v>25</v>
      </c>
      <c r="H2678" t="s">
        <v>26</v>
      </c>
      <c r="I2678" t="s">
        <v>57</v>
      </c>
    </row>
    <row r="2679" spans="1:9" x14ac:dyDescent="0.2">
      <c r="A2679" s="3">
        <v>42563</v>
      </c>
      <c r="B2679" t="s">
        <v>23</v>
      </c>
      <c r="C2679">
        <v>401</v>
      </c>
      <c r="D2679">
        <v>5</v>
      </c>
      <c r="E2679">
        <v>1</v>
      </c>
      <c r="F2679" t="s">
        <v>24</v>
      </c>
      <c r="G2679" t="s">
        <v>25</v>
      </c>
      <c r="H2679" t="s">
        <v>26</v>
      </c>
      <c r="I2679" t="s">
        <v>57</v>
      </c>
    </row>
    <row r="2680" spans="1:9" x14ac:dyDescent="0.2">
      <c r="A2680" s="3">
        <v>42563</v>
      </c>
      <c r="B2680" t="s">
        <v>23</v>
      </c>
      <c r="C2680">
        <v>401</v>
      </c>
      <c r="D2680">
        <v>6</v>
      </c>
      <c r="E2680">
        <v>1</v>
      </c>
      <c r="F2680" t="s">
        <v>24</v>
      </c>
      <c r="G2680" t="s">
        <v>25</v>
      </c>
      <c r="H2680" t="s">
        <v>26</v>
      </c>
      <c r="I2680" t="s">
        <v>57</v>
      </c>
    </row>
    <row r="2681" spans="1:9" x14ac:dyDescent="0.2">
      <c r="A2681" s="3">
        <v>42563</v>
      </c>
      <c r="B2681" t="s">
        <v>23</v>
      </c>
      <c r="C2681">
        <v>401</v>
      </c>
      <c r="D2681">
        <v>8</v>
      </c>
      <c r="E2681">
        <v>1</v>
      </c>
      <c r="F2681" t="s">
        <v>24</v>
      </c>
      <c r="G2681" t="s">
        <v>25</v>
      </c>
      <c r="H2681" t="s">
        <v>26</v>
      </c>
      <c r="I2681" t="s">
        <v>57</v>
      </c>
    </row>
    <row r="2682" spans="1:9" x14ac:dyDescent="0.2">
      <c r="A2682" s="3">
        <v>42563</v>
      </c>
      <c r="B2682" t="s">
        <v>23</v>
      </c>
      <c r="C2682">
        <v>401</v>
      </c>
      <c r="D2682">
        <v>8</v>
      </c>
      <c r="E2682">
        <v>2</v>
      </c>
      <c r="F2682" t="s">
        <v>24</v>
      </c>
      <c r="G2682" t="s">
        <v>25</v>
      </c>
      <c r="H2682" t="s">
        <v>26</v>
      </c>
      <c r="I2682" t="s">
        <v>57</v>
      </c>
    </row>
    <row r="2683" spans="1:9" x14ac:dyDescent="0.2">
      <c r="A2683" s="3">
        <v>42563</v>
      </c>
      <c r="B2683" t="s">
        <v>23</v>
      </c>
      <c r="C2683">
        <v>401</v>
      </c>
      <c r="D2683">
        <v>9</v>
      </c>
      <c r="E2683">
        <v>1</v>
      </c>
      <c r="F2683" t="s">
        <v>24</v>
      </c>
      <c r="G2683" t="s">
        <v>25</v>
      </c>
      <c r="H2683" t="s">
        <v>26</v>
      </c>
      <c r="I2683" t="s">
        <v>57</v>
      </c>
    </row>
    <row r="2684" spans="1:9" x14ac:dyDescent="0.2">
      <c r="A2684" s="3">
        <v>42563</v>
      </c>
      <c r="B2684" t="s">
        <v>23</v>
      </c>
      <c r="C2684">
        <v>703</v>
      </c>
      <c r="D2684">
        <v>1</v>
      </c>
      <c r="E2684">
        <v>1</v>
      </c>
      <c r="F2684" t="s">
        <v>33</v>
      </c>
      <c r="G2684" t="s">
        <v>25</v>
      </c>
      <c r="H2684" t="s">
        <v>26</v>
      </c>
      <c r="I2684" t="s">
        <v>57</v>
      </c>
    </row>
    <row r="2685" spans="1:9" x14ac:dyDescent="0.2">
      <c r="A2685" s="3">
        <v>42563</v>
      </c>
      <c r="B2685" t="s">
        <v>23</v>
      </c>
      <c r="C2685">
        <v>703</v>
      </c>
      <c r="D2685">
        <v>1</v>
      </c>
      <c r="E2685">
        <v>2</v>
      </c>
      <c r="F2685" t="s">
        <v>33</v>
      </c>
      <c r="G2685" t="s">
        <v>25</v>
      </c>
      <c r="H2685" t="s">
        <v>26</v>
      </c>
      <c r="I2685" t="s">
        <v>57</v>
      </c>
    </row>
    <row r="2686" spans="1:9" x14ac:dyDescent="0.2">
      <c r="A2686" s="3">
        <v>42563</v>
      </c>
      <c r="B2686" t="s">
        <v>23</v>
      </c>
      <c r="C2686">
        <v>703</v>
      </c>
      <c r="D2686">
        <v>4</v>
      </c>
      <c r="E2686">
        <v>1</v>
      </c>
      <c r="F2686" t="s">
        <v>33</v>
      </c>
      <c r="G2686" t="s">
        <v>25</v>
      </c>
      <c r="H2686" t="s">
        <v>26</v>
      </c>
      <c r="I2686" t="s">
        <v>57</v>
      </c>
    </row>
    <row r="2687" spans="1:9" x14ac:dyDescent="0.2">
      <c r="A2687" s="3">
        <v>42563</v>
      </c>
      <c r="B2687" t="s">
        <v>23</v>
      </c>
      <c r="C2687">
        <v>703</v>
      </c>
      <c r="D2687">
        <v>8</v>
      </c>
      <c r="E2687">
        <v>1</v>
      </c>
      <c r="F2687" t="s">
        <v>33</v>
      </c>
      <c r="G2687" t="s">
        <v>25</v>
      </c>
      <c r="H2687" t="s">
        <v>26</v>
      </c>
      <c r="I2687" t="s">
        <v>57</v>
      </c>
    </row>
    <row r="2688" spans="1:9" x14ac:dyDescent="0.2">
      <c r="A2688" s="3">
        <v>42563</v>
      </c>
      <c r="B2688" t="s">
        <v>23</v>
      </c>
      <c r="C2688">
        <v>703</v>
      </c>
      <c r="D2688">
        <v>8</v>
      </c>
      <c r="E2688">
        <v>2</v>
      </c>
      <c r="F2688" t="s">
        <v>33</v>
      </c>
      <c r="G2688" t="s">
        <v>25</v>
      </c>
      <c r="H2688" t="s">
        <v>26</v>
      </c>
      <c r="I2688" t="s">
        <v>57</v>
      </c>
    </row>
    <row r="2689" spans="1:9" x14ac:dyDescent="0.2">
      <c r="A2689" s="3">
        <v>42563</v>
      </c>
      <c r="B2689" t="s">
        <v>23</v>
      </c>
      <c r="C2689">
        <v>703</v>
      </c>
      <c r="D2689">
        <v>10</v>
      </c>
      <c r="E2689">
        <v>1</v>
      </c>
      <c r="F2689" t="s">
        <v>33</v>
      </c>
      <c r="G2689" t="s">
        <v>25</v>
      </c>
      <c r="H2689" t="s">
        <v>26</v>
      </c>
      <c r="I2689" t="s">
        <v>57</v>
      </c>
    </row>
    <row r="2690" spans="1:9" x14ac:dyDescent="0.2">
      <c r="A2690" s="3">
        <v>42563</v>
      </c>
      <c r="B2690" t="s">
        <v>23</v>
      </c>
      <c r="C2690">
        <v>701</v>
      </c>
      <c r="D2690">
        <v>1</v>
      </c>
      <c r="E2690">
        <v>1</v>
      </c>
      <c r="F2690" t="s">
        <v>33</v>
      </c>
      <c r="G2690" t="s">
        <v>25</v>
      </c>
      <c r="H2690" t="s">
        <v>26</v>
      </c>
      <c r="I2690" t="s">
        <v>57</v>
      </c>
    </row>
    <row r="2691" spans="1:9" x14ac:dyDescent="0.2">
      <c r="A2691" s="3">
        <v>42563</v>
      </c>
      <c r="B2691" t="s">
        <v>23</v>
      </c>
      <c r="C2691">
        <v>701</v>
      </c>
      <c r="D2691">
        <v>6</v>
      </c>
      <c r="E2691">
        <v>2</v>
      </c>
      <c r="F2691" t="s">
        <v>33</v>
      </c>
      <c r="G2691" t="s">
        <v>25</v>
      </c>
      <c r="H2691" t="s">
        <v>26</v>
      </c>
      <c r="I2691" t="s">
        <v>57</v>
      </c>
    </row>
    <row r="2692" spans="1:9" x14ac:dyDescent="0.2">
      <c r="A2692" s="3">
        <v>42563</v>
      </c>
      <c r="B2692" t="s">
        <v>23</v>
      </c>
      <c r="C2692">
        <v>801</v>
      </c>
      <c r="D2692">
        <v>5</v>
      </c>
      <c r="E2692">
        <v>1</v>
      </c>
      <c r="F2692" t="s">
        <v>33</v>
      </c>
      <c r="G2692" t="s">
        <v>25</v>
      </c>
      <c r="H2692" t="s">
        <v>26</v>
      </c>
      <c r="I2692" t="s">
        <v>57</v>
      </c>
    </row>
    <row r="2693" spans="1:9" x14ac:dyDescent="0.2">
      <c r="A2693" s="3">
        <v>42563</v>
      </c>
      <c r="B2693" t="s">
        <v>23</v>
      </c>
      <c r="C2693">
        <v>801</v>
      </c>
      <c r="D2693">
        <v>6</v>
      </c>
      <c r="E2693">
        <v>1</v>
      </c>
      <c r="F2693" t="s">
        <v>33</v>
      </c>
      <c r="G2693" t="s">
        <v>25</v>
      </c>
      <c r="H2693" t="s">
        <v>26</v>
      </c>
      <c r="I2693" t="s">
        <v>57</v>
      </c>
    </row>
    <row r="2694" spans="1:9" x14ac:dyDescent="0.2">
      <c r="A2694" s="3">
        <v>42563</v>
      </c>
      <c r="B2694" t="s">
        <v>23</v>
      </c>
      <c r="C2694">
        <v>801</v>
      </c>
      <c r="D2694">
        <v>7</v>
      </c>
      <c r="E2694">
        <v>1</v>
      </c>
      <c r="F2694" t="s">
        <v>33</v>
      </c>
      <c r="G2694" t="s">
        <v>25</v>
      </c>
      <c r="H2694" t="s">
        <v>26</v>
      </c>
      <c r="I2694" t="s">
        <v>57</v>
      </c>
    </row>
    <row r="2695" spans="1:9" x14ac:dyDescent="0.2">
      <c r="A2695" s="3">
        <v>42563</v>
      </c>
      <c r="B2695" t="s">
        <v>23</v>
      </c>
      <c r="C2695">
        <v>801</v>
      </c>
      <c r="D2695">
        <v>9</v>
      </c>
      <c r="E2695">
        <v>1</v>
      </c>
      <c r="F2695" t="s">
        <v>33</v>
      </c>
      <c r="G2695" t="s">
        <v>25</v>
      </c>
      <c r="H2695" t="s">
        <v>26</v>
      </c>
      <c r="I2695" t="s">
        <v>57</v>
      </c>
    </row>
    <row r="2696" spans="1:9" x14ac:dyDescent="0.2">
      <c r="A2696" s="3">
        <v>42563</v>
      </c>
      <c r="B2696" t="s">
        <v>23</v>
      </c>
      <c r="C2696">
        <v>803</v>
      </c>
      <c r="D2696">
        <v>10</v>
      </c>
      <c r="E2696">
        <v>1</v>
      </c>
      <c r="F2696" t="s">
        <v>33</v>
      </c>
      <c r="G2696" t="s">
        <v>25</v>
      </c>
      <c r="H2696" t="s">
        <v>26</v>
      </c>
      <c r="I2696" t="s">
        <v>57</v>
      </c>
    </row>
    <row r="2697" spans="1:9" x14ac:dyDescent="0.2">
      <c r="A2697" s="3">
        <v>42563</v>
      </c>
      <c r="B2697" t="s">
        <v>23</v>
      </c>
      <c r="C2697">
        <v>901</v>
      </c>
      <c r="D2697">
        <v>10</v>
      </c>
      <c r="E2697">
        <v>1</v>
      </c>
      <c r="F2697" t="s">
        <v>33</v>
      </c>
      <c r="G2697" t="s">
        <v>25</v>
      </c>
      <c r="H2697" t="s">
        <v>26</v>
      </c>
      <c r="I2697" t="s">
        <v>57</v>
      </c>
    </row>
    <row r="2698" spans="1:9" x14ac:dyDescent="0.2">
      <c r="A2698" s="3">
        <v>42564</v>
      </c>
      <c r="B2698" t="s">
        <v>23</v>
      </c>
      <c r="C2698">
        <v>501</v>
      </c>
      <c r="D2698">
        <v>4</v>
      </c>
      <c r="E2698">
        <v>1</v>
      </c>
      <c r="F2698" t="s">
        <v>24</v>
      </c>
      <c r="G2698" t="s">
        <v>25</v>
      </c>
      <c r="H2698" t="s">
        <v>26</v>
      </c>
      <c r="I2698" t="s">
        <v>57</v>
      </c>
    </row>
    <row r="2699" spans="1:9" x14ac:dyDescent="0.2">
      <c r="A2699" s="3">
        <v>42564</v>
      </c>
      <c r="B2699" t="s">
        <v>23</v>
      </c>
      <c r="C2699">
        <v>501</v>
      </c>
      <c r="D2699">
        <v>5</v>
      </c>
      <c r="E2699">
        <v>1</v>
      </c>
      <c r="F2699" t="s">
        <v>24</v>
      </c>
      <c r="G2699" t="s">
        <v>25</v>
      </c>
      <c r="H2699" t="s">
        <v>26</v>
      </c>
      <c r="I2699" t="s">
        <v>57</v>
      </c>
    </row>
    <row r="2700" spans="1:9" x14ac:dyDescent="0.2">
      <c r="A2700" s="3">
        <v>42564</v>
      </c>
      <c r="B2700" t="s">
        <v>23</v>
      </c>
      <c r="C2700">
        <v>501</v>
      </c>
      <c r="D2700">
        <v>5</v>
      </c>
      <c r="E2700">
        <v>2</v>
      </c>
      <c r="F2700" t="s">
        <v>24</v>
      </c>
      <c r="G2700" t="s">
        <v>25</v>
      </c>
      <c r="H2700" t="s">
        <v>26</v>
      </c>
      <c r="I2700" t="s">
        <v>57</v>
      </c>
    </row>
    <row r="2701" spans="1:9" x14ac:dyDescent="0.2">
      <c r="A2701" s="3">
        <v>42564</v>
      </c>
      <c r="B2701" t="s">
        <v>23</v>
      </c>
      <c r="C2701">
        <v>501</v>
      </c>
      <c r="D2701">
        <v>8</v>
      </c>
      <c r="E2701">
        <v>1</v>
      </c>
      <c r="F2701" t="s">
        <v>24</v>
      </c>
      <c r="G2701" t="s">
        <v>25</v>
      </c>
      <c r="H2701" t="s">
        <v>26</v>
      </c>
      <c r="I2701" t="s">
        <v>57</v>
      </c>
    </row>
    <row r="2702" spans="1:9" x14ac:dyDescent="0.2">
      <c r="A2702" s="3">
        <v>42564</v>
      </c>
      <c r="B2702" t="s">
        <v>23</v>
      </c>
      <c r="C2702">
        <v>501</v>
      </c>
      <c r="D2702">
        <v>10</v>
      </c>
      <c r="E2702">
        <v>1</v>
      </c>
      <c r="F2702" t="s">
        <v>24</v>
      </c>
      <c r="G2702" t="s">
        <v>25</v>
      </c>
      <c r="H2702" t="s">
        <v>26</v>
      </c>
      <c r="I2702" t="s">
        <v>57</v>
      </c>
    </row>
    <row r="2703" spans="1:9" x14ac:dyDescent="0.2">
      <c r="A2703" s="3">
        <v>42564</v>
      </c>
      <c r="B2703" t="s">
        <v>23</v>
      </c>
      <c r="C2703">
        <v>501</v>
      </c>
      <c r="D2703">
        <v>10</v>
      </c>
      <c r="E2703">
        <v>2</v>
      </c>
      <c r="F2703" t="s">
        <v>24</v>
      </c>
      <c r="G2703" t="s">
        <v>25</v>
      </c>
      <c r="H2703" t="s">
        <v>26</v>
      </c>
      <c r="I2703" t="s">
        <v>57</v>
      </c>
    </row>
    <row r="2704" spans="1:9" x14ac:dyDescent="0.2">
      <c r="A2704" s="3">
        <v>42564</v>
      </c>
      <c r="B2704" t="s">
        <v>23</v>
      </c>
      <c r="C2704">
        <v>503</v>
      </c>
      <c r="D2704">
        <v>2</v>
      </c>
      <c r="E2704">
        <v>2</v>
      </c>
      <c r="F2704" t="s">
        <v>24</v>
      </c>
      <c r="G2704" t="s">
        <v>25</v>
      </c>
      <c r="H2704" t="s">
        <v>26</v>
      </c>
      <c r="I2704" t="s">
        <v>57</v>
      </c>
    </row>
    <row r="2705" spans="1:9" x14ac:dyDescent="0.2">
      <c r="A2705" s="3">
        <v>42564</v>
      </c>
      <c r="B2705" t="s">
        <v>23</v>
      </c>
      <c r="C2705">
        <v>503</v>
      </c>
      <c r="D2705">
        <v>4</v>
      </c>
      <c r="E2705">
        <v>1</v>
      </c>
      <c r="F2705" t="s">
        <v>24</v>
      </c>
      <c r="G2705" t="s">
        <v>25</v>
      </c>
      <c r="H2705" t="s">
        <v>26</v>
      </c>
      <c r="I2705" t="s">
        <v>57</v>
      </c>
    </row>
    <row r="2706" spans="1:9" x14ac:dyDescent="0.2">
      <c r="A2706" s="3">
        <v>42564</v>
      </c>
      <c r="B2706" t="s">
        <v>23</v>
      </c>
      <c r="C2706">
        <v>503</v>
      </c>
      <c r="D2706">
        <v>5</v>
      </c>
      <c r="E2706">
        <v>2</v>
      </c>
      <c r="F2706" t="s">
        <v>24</v>
      </c>
      <c r="G2706" t="s">
        <v>25</v>
      </c>
      <c r="H2706" t="s">
        <v>26</v>
      </c>
      <c r="I2706" t="s">
        <v>57</v>
      </c>
    </row>
    <row r="2707" spans="1:9" x14ac:dyDescent="0.2">
      <c r="A2707" s="3">
        <v>42564</v>
      </c>
      <c r="B2707" t="s">
        <v>23</v>
      </c>
      <c r="C2707">
        <v>503</v>
      </c>
      <c r="D2707">
        <v>7</v>
      </c>
      <c r="E2707">
        <v>1</v>
      </c>
      <c r="F2707" t="s">
        <v>24</v>
      </c>
      <c r="G2707" t="s">
        <v>25</v>
      </c>
      <c r="H2707" t="s">
        <v>26</v>
      </c>
      <c r="I2707" t="s">
        <v>57</v>
      </c>
    </row>
    <row r="2708" spans="1:9" x14ac:dyDescent="0.2">
      <c r="A2708" s="3">
        <v>42564</v>
      </c>
      <c r="B2708" t="s">
        <v>23</v>
      </c>
      <c r="C2708">
        <v>503</v>
      </c>
      <c r="D2708">
        <v>8</v>
      </c>
      <c r="E2708">
        <v>2</v>
      </c>
      <c r="F2708" t="s">
        <v>24</v>
      </c>
      <c r="G2708" t="s">
        <v>25</v>
      </c>
      <c r="H2708" t="s">
        <v>26</v>
      </c>
      <c r="I2708" t="s">
        <v>57</v>
      </c>
    </row>
    <row r="2709" spans="1:9" x14ac:dyDescent="0.2">
      <c r="A2709" s="3">
        <v>42564</v>
      </c>
      <c r="B2709" t="s">
        <v>23</v>
      </c>
      <c r="C2709">
        <v>503</v>
      </c>
      <c r="D2709">
        <v>9</v>
      </c>
      <c r="E2709">
        <v>1</v>
      </c>
      <c r="F2709" t="s">
        <v>24</v>
      </c>
      <c r="G2709" t="s">
        <v>25</v>
      </c>
      <c r="H2709" t="s">
        <v>26</v>
      </c>
      <c r="I2709" t="s">
        <v>57</v>
      </c>
    </row>
    <row r="2710" spans="1:9" x14ac:dyDescent="0.2">
      <c r="A2710" s="3">
        <v>42564</v>
      </c>
      <c r="B2710" t="s">
        <v>23</v>
      </c>
      <c r="C2710">
        <v>303</v>
      </c>
      <c r="D2710">
        <v>2</v>
      </c>
      <c r="E2710">
        <v>1</v>
      </c>
      <c r="F2710" t="s">
        <v>24</v>
      </c>
      <c r="G2710" t="s">
        <v>25</v>
      </c>
      <c r="H2710" t="s">
        <v>26</v>
      </c>
      <c r="I2710" t="s">
        <v>57</v>
      </c>
    </row>
    <row r="2711" spans="1:9" x14ac:dyDescent="0.2">
      <c r="A2711" s="3">
        <v>42564</v>
      </c>
      <c r="B2711" t="s">
        <v>23</v>
      </c>
      <c r="C2711">
        <v>303</v>
      </c>
      <c r="D2711">
        <v>5</v>
      </c>
      <c r="E2711">
        <v>1</v>
      </c>
      <c r="F2711" t="s">
        <v>24</v>
      </c>
      <c r="G2711" t="s">
        <v>25</v>
      </c>
      <c r="H2711" t="s">
        <v>26</v>
      </c>
      <c r="I2711" t="s">
        <v>57</v>
      </c>
    </row>
    <row r="2712" spans="1:9" x14ac:dyDescent="0.2">
      <c r="A2712" s="3">
        <v>42564</v>
      </c>
      <c r="B2712" t="s">
        <v>23</v>
      </c>
      <c r="C2712">
        <v>303</v>
      </c>
      <c r="D2712">
        <v>5</v>
      </c>
      <c r="E2712">
        <v>2</v>
      </c>
      <c r="F2712" t="s">
        <v>24</v>
      </c>
      <c r="G2712" t="s">
        <v>25</v>
      </c>
      <c r="H2712" t="s">
        <v>26</v>
      </c>
      <c r="I2712" t="s">
        <v>57</v>
      </c>
    </row>
    <row r="2713" spans="1:9" x14ac:dyDescent="0.2">
      <c r="A2713" s="3">
        <v>42564</v>
      </c>
      <c r="B2713" t="s">
        <v>23</v>
      </c>
      <c r="C2713">
        <v>303</v>
      </c>
      <c r="D2713">
        <v>8</v>
      </c>
      <c r="E2713">
        <v>1</v>
      </c>
      <c r="F2713" t="s">
        <v>24</v>
      </c>
      <c r="G2713" t="s">
        <v>25</v>
      </c>
      <c r="H2713" t="s">
        <v>26</v>
      </c>
      <c r="I2713" t="s">
        <v>57</v>
      </c>
    </row>
    <row r="2714" spans="1:9" x14ac:dyDescent="0.2">
      <c r="A2714" s="3">
        <v>42564</v>
      </c>
      <c r="B2714" t="s">
        <v>23</v>
      </c>
      <c r="C2714">
        <v>303</v>
      </c>
      <c r="D2714">
        <v>8</v>
      </c>
      <c r="E2714">
        <v>2</v>
      </c>
      <c r="F2714" t="s">
        <v>24</v>
      </c>
      <c r="G2714" t="s">
        <v>25</v>
      </c>
      <c r="H2714" t="s">
        <v>26</v>
      </c>
      <c r="I2714" t="s">
        <v>57</v>
      </c>
    </row>
    <row r="2715" spans="1:9" x14ac:dyDescent="0.2">
      <c r="A2715" s="3">
        <v>42564</v>
      </c>
      <c r="B2715" t="s">
        <v>23</v>
      </c>
      <c r="C2715">
        <v>303</v>
      </c>
      <c r="D2715">
        <v>10</v>
      </c>
      <c r="E2715">
        <v>1</v>
      </c>
      <c r="F2715" t="s">
        <v>24</v>
      </c>
      <c r="G2715" t="s">
        <v>25</v>
      </c>
      <c r="H2715" t="s">
        <v>26</v>
      </c>
      <c r="I2715" t="s">
        <v>57</v>
      </c>
    </row>
    <row r="2716" spans="1:9" x14ac:dyDescent="0.2">
      <c r="A2716" s="3">
        <v>42564</v>
      </c>
      <c r="B2716" t="s">
        <v>23</v>
      </c>
      <c r="C2716">
        <v>401</v>
      </c>
      <c r="D2716">
        <v>1</v>
      </c>
      <c r="E2716">
        <v>1</v>
      </c>
      <c r="F2716" t="s">
        <v>24</v>
      </c>
      <c r="G2716" t="s">
        <v>25</v>
      </c>
      <c r="H2716" t="s">
        <v>26</v>
      </c>
      <c r="I2716" t="s">
        <v>57</v>
      </c>
    </row>
    <row r="2717" spans="1:9" x14ac:dyDescent="0.2">
      <c r="A2717" s="3">
        <v>42564</v>
      </c>
      <c r="B2717" t="s">
        <v>23</v>
      </c>
      <c r="C2717">
        <v>401</v>
      </c>
      <c r="D2717">
        <v>1</v>
      </c>
      <c r="E2717">
        <v>2</v>
      </c>
      <c r="F2717" t="s">
        <v>24</v>
      </c>
      <c r="G2717" t="s">
        <v>25</v>
      </c>
      <c r="H2717" t="s">
        <v>26</v>
      </c>
      <c r="I2717" t="s">
        <v>57</v>
      </c>
    </row>
    <row r="2718" spans="1:9" x14ac:dyDescent="0.2">
      <c r="A2718" s="3">
        <v>42564</v>
      </c>
      <c r="B2718" t="s">
        <v>23</v>
      </c>
      <c r="C2718">
        <v>401</v>
      </c>
      <c r="D2718">
        <v>2</v>
      </c>
      <c r="E2718">
        <v>1</v>
      </c>
      <c r="F2718" t="s">
        <v>24</v>
      </c>
      <c r="G2718" t="s">
        <v>25</v>
      </c>
      <c r="H2718" t="s">
        <v>26</v>
      </c>
      <c r="I2718" t="s">
        <v>57</v>
      </c>
    </row>
    <row r="2719" spans="1:9" x14ac:dyDescent="0.2">
      <c r="A2719" s="3">
        <v>42564</v>
      </c>
      <c r="B2719" t="s">
        <v>23</v>
      </c>
      <c r="C2719">
        <v>401</v>
      </c>
      <c r="D2719">
        <v>6</v>
      </c>
      <c r="E2719">
        <v>1</v>
      </c>
      <c r="F2719" t="s">
        <v>24</v>
      </c>
      <c r="G2719" t="s">
        <v>25</v>
      </c>
      <c r="H2719" t="s">
        <v>26</v>
      </c>
      <c r="I2719" t="s">
        <v>57</v>
      </c>
    </row>
    <row r="2720" spans="1:9" x14ac:dyDescent="0.2">
      <c r="A2720" s="3">
        <v>42564</v>
      </c>
      <c r="B2720" t="s">
        <v>23</v>
      </c>
      <c r="C2720">
        <v>401</v>
      </c>
      <c r="D2720">
        <v>8</v>
      </c>
      <c r="E2720">
        <v>1</v>
      </c>
      <c r="F2720" t="s">
        <v>24</v>
      </c>
      <c r="G2720" t="s">
        <v>25</v>
      </c>
      <c r="H2720" t="s">
        <v>26</v>
      </c>
      <c r="I2720" t="s">
        <v>57</v>
      </c>
    </row>
    <row r="2721" spans="1:9" x14ac:dyDescent="0.2">
      <c r="A2721" s="3">
        <v>42564</v>
      </c>
      <c r="B2721" t="s">
        <v>23</v>
      </c>
      <c r="C2721">
        <v>401</v>
      </c>
      <c r="D2721">
        <v>9</v>
      </c>
      <c r="E2721">
        <v>1</v>
      </c>
      <c r="F2721" t="s">
        <v>24</v>
      </c>
      <c r="G2721" t="s">
        <v>25</v>
      </c>
      <c r="H2721" t="s">
        <v>26</v>
      </c>
      <c r="I2721" t="s">
        <v>57</v>
      </c>
    </row>
    <row r="2722" spans="1:9" x14ac:dyDescent="0.2">
      <c r="A2722" s="3">
        <v>42564</v>
      </c>
      <c r="B2722" t="s">
        <v>23</v>
      </c>
      <c r="C2722">
        <v>703</v>
      </c>
      <c r="D2722">
        <v>2</v>
      </c>
      <c r="E2722">
        <v>1</v>
      </c>
      <c r="F2722" t="s">
        <v>33</v>
      </c>
      <c r="G2722" t="s">
        <v>25</v>
      </c>
      <c r="H2722" t="s">
        <v>26</v>
      </c>
      <c r="I2722" t="s">
        <v>57</v>
      </c>
    </row>
    <row r="2723" spans="1:9" x14ac:dyDescent="0.2">
      <c r="A2723" s="3">
        <v>42564</v>
      </c>
      <c r="B2723" t="s">
        <v>23</v>
      </c>
      <c r="C2723">
        <v>703</v>
      </c>
      <c r="D2723">
        <v>3</v>
      </c>
      <c r="E2723">
        <v>2</v>
      </c>
      <c r="F2723" t="s">
        <v>33</v>
      </c>
      <c r="G2723" t="s">
        <v>25</v>
      </c>
      <c r="H2723" t="s">
        <v>26</v>
      </c>
      <c r="I2723" t="s">
        <v>57</v>
      </c>
    </row>
    <row r="2724" spans="1:9" x14ac:dyDescent="0.2">
      <c r="A2724" s="3">
        <v>42564</v>
      </c>
      <c r="B2724" t="s">
        <v>23</v>
      </c>
      <c r="C2724">
        <v>703</v>
      </c>
      <c r="D2724">
        <v>5</v>
      </c>
      <c r="E2724">
        <v>1</v>
      </c>
      <c r="F2724" t="s">
        <v>33</v>
      </c>
      <c r="G2724" t="s">
        <v>25</v>
      </c>
      <c r="H2724" t="s">
        <v>26</v>
      </c>
      <c r="I2724" t="s">
        <v>57</v>
      </c>
    </row>
    <row r="2725" spans="1:9" x14ac:dyDescent="0.2">
      <c r="A2725" s="3">
        <v>42564</v>
      </c>
      <c r="B2725" t="s">
        <v>23</v>
      </c>
      <c r="C2725">
        <v>703</v>
      </c>
      <c r="D2725">
        <v>6</v>
      </c>
      <c r="E2725">
        <v>2</v>
      </c>
      <c r="F2725" t="s">
        <v>33</v>
      </c>
      <c r="G2725" t="s">
        <v>25</v>
      </c>
      <c r="H2725" t="s">
        <v>26</v>
      </c>
      <c r="I2725" t="s">
        <v>57</v>
      </c>
    </row>
    <row r="2726" spans="1:9" x14ac:dyDescent="0.2">
      <c r="A2726" s="3">
        <v>42564</v>
      </c>
      <c r="B2726" t="s">
        <v>23</v>
      </c>
      <c r="C2726">
        <v>703</v>
      </c>
      <c r="D2726">
        <v>7</v>
      </c>
      <c r="E2726">
        <v>2</v>
      </c>
      <c r="F2726" t="s">
        <v>33</v>
      </c>
      <c r="G2726" t="s">
        <v>25</v>
      </c>
      <c r="H2726" t="s">
        <v>26</v>
      </c>
      <c r="I2726" t="s">
        <v>57</v>
      </c>
    </row>
    <row r="2727" spans="1:9" x14ac:dyDescent="0.2">
      <c r="A2727" s="3">
        <v>42564</v>
      </c>
      <c r="B2727" t="s">
        <v>23</v>
      </c>
      <c r="C2727">
        <v>703</v>
      </c>
      <c r="D2727">
        <v>8</v>
      </c>
      <c r="E2727">
        <v>1</v>
      </c>
      <c r="F2727" t="s">
        <v>33</v>
      </c>
      <c r="G2727" t="s">
        <v>25</v>
      </c>
      <c r="H2727" t="s">
        <v>26</v>
      </c>
      <c r="I2727" t="s">
        <v>57</v>
      </c>
    </row>
    <row r="2728" spans="1:9" x14ac:dyDescent="0.2">
      <c r="A2728" s="3">
        <v>42564</v>
      </c>
      <c r="B2728" t="s">
        <v>23</v>
      </c>
      <c r="C2728">
        <v>703</v>
      </c>
      <c r="D2728">
        <v>9</v>
      </c>
      <c r="E2728">
        <v>1</v>
      </c>
      <c r="F2728" t="s">
        <v>33</v>
      </c>
      <c r="G2728" t="s">
        <v>25</v>
      </c>
      <c r="H2728" t="s">
        <v>26</v>
      </c>
      <c r="I2728" t="s">
        <v>57</v>
      </c>
    </row>
    <row r="2729" spans="1:9" x14ac:dyDescent="0.2">
      <c r="A2729" s="3">
        <v>42564</v>
      </c>
      <c r="B2729" t="s">
        <v>23</v>
      </c>
      <c r="C2729">
        <v>701</v>
      </c>
      <c r="D2729">
        <v>2</v>
      </c>
      <c r="E2729">
        <v>1</v>
      </c>
      <c r="F2729" t="s">
        <v>33</v>
      </c>
      <c r="G2729" t="s">
        <v>25</v>
      </c>
      <c r="H2729" t="s">
        <v>26</v>
      </c>
      <c r="I2729" t="s">
        <v>57</v>
      </c>
    </row>
    <row r="2730" spans="1:9" x14ac:dyDescent="0.2">
      <c r="A2730" s="3">
        <v>42564</v>
      </c>
      <c r="B2730" t="s">
        <v>23</v>
      </c>
      <c r="C2730">
        <v>701</v>
      </c>
      <c r="D2730">
        <v>3</v>
      </c>
      <c r="E2730">
        <v>1</v>
      </c>
      <c r="F2730" t="s">
        <v>33</v>
      </c>
      <c r="G2730" t="s">
        <v>25</v>
      </c>
      <c r="H2730" t="s">
        <v>26</v>
      </c>
      <c r="I2730" t="s">
        <v>57</v>
      </c>
    </row>
    <row r="2731" spans="1:9" x14ac:dyDescent="0.2">
      <c r="A2731" s="3">
        <v>42564</v>
      </c>
      <c r="B2731" t="s">
        <v>23</v>
      </c>
      <c r="C2731">
        <v>701</v>
      </c>
      <c r="D2731">
        <v>5</v>
      </c>
      <c r="E2731">
        <v>1</v>
      </c>
      <c r="F2731" t="s">
        <v>33</v>
      </c>
      <c r="G2731" t="s">
        <v>25</v>
      </c>
      <c r="H2731" t="s">
        <v>26</v>
      </c>
      <c r="I2731" t="s">
        <v>57</v>
      </c>
    </row>
    <row r="2732" spans="1:9" x14ac:dyDescent="0.2">
      <c r="A2732" s="3">
        <v>42564</v>
      </c>
      <c r="B2732" t="s">
        <v>23</v>
      </c>
      <c r="C2732">
        <v>701</v>
      </c>
      <c r="D2732">
        <v>5</v>
      </c>
      <c r="E2732">
        <v>2</v>
      </c>
      <c r="F2732" t="s">
        <v>33</v>
      </c>
      <c r="G2732" t="s">
        <v>25</v>
      </c>
      <c r="H2732" t="s">
        <v>26</v>
      </c>
      <c r="I2732" t="s">
        <v>57</v>
      </c>
    </row>
    <row r="2733" spans="1:9" x14ac:dyDescent="0.2">
      <c r="A2733" s="3">
        <v>42564</v>
      </c>
      <c r="B2733" t="s">
        <v>23</v>
      </c>
      <c r="C2733">
        <v>701</v>
      </c>
      <c r="D2733">
        <v>9</v>
      </c>
      <c r="E2733">
        <v>1</v>
      </c>
      <c r="F2733" t="s">
        <v>33</v>
      </c>
      <c r="G2733" t="s">
        <v>25</v>
      </c>
      <c r="H2733" t="s">
        <v>26</v>
      </c>
      <c r="I2733" t="s">
        <v>57</v>
      </c>
    </row>
    <row r="2734" spans="1:9" x14ac:dyDescent="0.2">
      <c r="A2734" s="3">
        <v>42564</v>
      </c>
      <c r="B2734" t="s">
        <v>23</v>
      </c>
      <c r="C2734">
        <v>801</v>
      </c>
      <c r="D2734">
        <v>3</v>
      </c>
      <c r="E2734">
        <v>1</v>
      </c>
      <c r="F2734" t="s">
        <v>33</v>
      </c>
      <c r="G2734" t="s">
        <v>25</v>
      </c>
      <c r="H2734" t="s">
        <v>26</v>
      </c>
      <c r="I2734" t="s">
        <v>57</v>
      </c>
    </row>
    <row r="2735" spans="1:9" x14ac:dyDescent="0.2">
      <c r="A2735" s="3">
        <v>42564</v>
      </c>
      <c r="B2735" t="s">
        <v>23</v>
      </c>
      <c r="C2735">
        <v>801</v>
      </c>
      <c r="D2735">
        <v>4</v>
      </c>
      <c r="E2735">
        <v>1</v>
      </c>
      <c r="F2735" t="s">
        <v>33</v>
      </c>
      <c r="G2735" t="s">
        <v>25</v>
      </c>
      <c r="H2735" t="s">
        <v>26</v>
      </c>
      <c r="I2735" t="s">
        <v>57</v>
      </c>
    </row>
    <row r="2736" spans="1:9" x14ac:dyDescent="0.2">
      <c r="A2736" s="3">
        <v>42564</v>
      </c>
      <c r="B2736" t="s">
        <v>23</v>
      </c>
      <c r="C2736">
        <v>801</v>
      </c>
      <c r="D2736">
        <v>6</v>
      </c>
      <c r="E2736">
        <v>1</v>
      </c>
      <c r="F2736" t="s">
        <v>33</v>
      </c>
      <c r="G2736" t="s">
        <v>25</v>
      </c>
      <c r="H2736" t="s">
        <v>26</v>
      </c>
      <c r="I2736" t="s">
        <v>57</v>
      </c>
    </row>
    <row r="2737" spans="1:9" x14ac:dyDescent="0.2">
      <c r="A2737" s="3">
        <v>42564</v>
      </c>
      <c r="B2737" t="s">
        <v>23</v>
      </c>
      <c r="C2737">
        <v>801</v>
      </c>
      <c r="D2737">
        <v>6</v>
      </c>
      <c r="E2737">
        <v>2</v>
      </c>
      <c r="F2737" t="s">
        <v>33</v>
      </c>
      <c r="G2737" t="s">
        <v>25</v>
      </c>
      <c r="H2737" t="s">
        <v>26</v>
      </c>
      <c r="I2737" t="s">
        <v>57</v>
      </c>
    </row>
    <row r="2738" spans="1:9" x14ac:dyDescent="0.2">
      <c r="A2738" s="3">
        <v>42564</v>
      </c>
      <c r="B2738" t="s">
        <v>23</v>
      </c>
      <c r="C2738">
        <v>801</v>
      </c>
      <c r="D2738">
        <v>7</v>
      </c>
      <c r="E2738">
        <v>1</v>
      </c>
      <c r="F2738" t="s">
        <v>33</v>
      </c>
      <c r="G2738" t="s">
        <v>25</v>
      </c>
      <c r="H2738" t="s">
        <v>26</v>
      </c>
      <c r="I2738" t="s">
        <v>57</v>
      </c>
    </row>
    <row r="2739" spans="1:9" x14ac:dyDescent="0.2">
      <c r="A2739" s="3">
        <v>42564</v>
      </c>
      <c r="B2739" t="s">
        <v>23</v>
      </c>
      <c r="C2739">
        <v>801</v>
      </c>
      <c r="D2739">
        <v>8</v>
      </c>
      <c r="E2739">
        <v>1</v>
      </c>
      <c r="F2739" t="s">
        <v>33</v>
      </c>
      <c r="G2739" t="s">
        <v>25</v>
      </c>
      <c r="H2739" t="s">
        <v>26</v>
      </c>
      <c r="I2739" t="s">
        <v>57</v>
      </c>
    </row>
    <row r="2740" spans="1:9" x14ac:dyDescent="0.2">
      <c r="A2740" s="3">
        <v>42564</v>
      </c>
      <c r="B2740" t="s">
        <v>23</v>
      </c>
      <c r="C2740">
        <v>803</v>
      </c>
      <c r="D2740">
        <v>10</v>
      </c>
      <c r="E2740">
        <v>1</v>
      </c>
      <c r="F2740" t="s">
        <v>33</v>
      </c>
      <c r="G2740" t="s">
        <v>25</v>
      </c>
      <c r="H2740" t="s">
        <v>26</v>
      </c>
      <c r="I2740" t="s">
        <v>57</v>
      </c>
    </row>
    <row r="2741" spans="1:9" x14ac:dyDescent="0.2">
      <c r="A2741" s="3">
        <v>42564</v>
      </c>
      <c r="B2741" t="s">
        <v>23</v>
      </c>
      <c r="C2741">
        <v>803</v>
      </c>
      <c r="D2741">
        <v>10</v>
      </c>
      <c r="E2741">
        <v>2</v>
      </c>
      <c r="F2741" t="s">
        <v>33</v>
      </c>
      <c r="G2741" t="s">
        <v>25</v>
      </c>
      <c r="H2741" t="s">
        <v>26</v>
      </c>
      <c r="I2741" t="s">
        <v>57</v>
      </c>
    </row>
    <row r="2742" spans="1:9" x14ac:dyDescent="0.2">
      <c r="A2742" s="3">
        <v>42564</v>
      </c>
      <c r="B2742" t="s">
        <v>23</v>
      </c>
      <c r="C2742">
        <v>803</v>
      </c>
      <c r="D2742">
        <v>9</v>
      </c>
      <c r="E2742">
        <v>1</v>
      </c>
      <c r="F2742" t="s">
        <v>33</v>
      </c>
      <c r="G2742" t="s">
        <v>25</v>
      </c>
      <c r="H2742" t="s">
        <v>26</v>
      </c>
      <c r="I2742" t="s">
        <v>57</v>
      </c>
    </row>
    <row r="2743" spans="1:9" x14ac:dyDescent="0.2">
      <c r="A2743" s="3">
        <v>42564</v>
      </c>
      <c r="B2743" t="s">
        <v>23</v>
      </c>
      <c r="C2743">
        <v>803</v>
      </c>
      <c r="D2743">
        <v>7</v>
      </c>
      <c r="E2743">
        <v>1</v>
      </c>
      <c r="F2743" t="s">
        <v>33</v>
      </c>
      <c r="G2743" t="s">
        <v>25</v>
      </c>
      <c r="H2743" t="s">
        <v>26</v>
      </c>
      <c r="I2743" t="s">
        <v>57</v>
      </c>
    </row>
    <row r="2744" spans="1:9" x14ac:dyDescent="0.2">
      <c r="A2744" s="3">
        <v>42564</v>
      </c>
      <c r="B2744" t="s">
        <v>23</v>
      </c>
      <c r="C2744">
        <v>803</v>
      </c>
      <c r="D2744">
        <v>5</v>
      </c>
      <c r="E2744">
        <v>1</v>
      </c>
      <c r="F2744" t="s">
        <v>33</v>
      </c>
      <c r="G2744" t="s">
        <v>25</v>
      </c>
      <c r="H2744" t="s">
        <v>26</v>
      </c>
      <c r="I2744" t="s">
        <v>57</v>
      </c>
    </row>
    <row r="2745" spans="1:9" x14ac:dyDescent="0.2">
      <c r="A2745" s="3">
        <v>42564</v>
      </c>
      <c r="B2745" t="s">
        <v>23</v>
      </c>
      <c r="C2745">
        <v>803</v>
      </c>
      <c r="D2745">
        <v>4</v>
      </c>
      <c r="E2745">
        <v>1</v>
      </c>
      <c r="F2745" t="s">
        <v>33</v>
      </c>
      <c r="G2745" t="s">
        <v>25</v>
      </c>
      <c r="H2745" t="s">
        <v>26</v>
      </c>
      <c r="I2745" t="s">
        <v>57</v>
      </c>
    </row>
    <row r="2746" spans="1:9" x14ac:dyDescent="0.2">
      <c r="A2746" s="3">
        <v>42564</v>
      </c>
      <c r="B2746" t="s">
        <v>23</v>
      </c>
      <c r="C2746">
        <v>803</v>
      </c>
      <c r="D2746">
        <v>4</v>
      </c>
      <c r="E2746">
        <v>2</v>
      </c>
      <c r="F2746" t="s">
        <v>33</v>
      </c>
      <c r="G2746" t="s">
        <v>25</v>
      </c>
      <c r="H2746" t="s">
        <v>26</v>
      </c>
      <c r="I2746" t="s">
        <v>57</v>
      </c>
    </row>
    <row r="2747" spans="1:9" x14ac:dyDescent="0.2">
      <c r="A2747" s="3">
        <v>42564</v>
      </c>
      <c r="B2747" t="s">
        <v>23</v>
      </c>
      <c r="C2747">
        <v>803</v>
      </c>
      <c r="D2747">
        <v>2</v>
      </c>
      <c r="E2747">
        <v>1</v>
      </c>
      <c r="F2747" t="s">
        <v>33</v>
      </c>
      <c r="G2747" t="s">
        <v>25</v>
      </c>
      <c r="H2747" t="s">
        <v>26</v>
      </c>
      <c r="I2747" t="s">
        <v>57</v>
      </c>
    </row>
    <row r="2748" spans="1:9" x14ac:dyDescent="0.2">
      <c r="A2748" s="3">
        <v>42564</v>
      </c>
      <c r="B2748" t="s">
        <v>23</v>
      </c>
      <c r="C2748">
        <v>803</v>
      </c>
      <c r="D2748">
        <v>1</v>
      </c>
      <c r="E2748">
        <v>1</v>
      </c>
      <c r="F2748" t="s">
        <v>33</v>
      </c>
      <c r="G2748" t="s">
        <v>25</v>
      </c>
      <c r="H2748" t="s">
        <v>26</v>
      </c>
      <c r="I2748" t="s">
        <v>57</v>
      </c>
    </row>
    <row r="2749" spans="1:9" x14ac:dyDescent="0.2">
      <c r="A2749" s="3">
        <v>42564</v>
      </c>
      <c r="B2749" t="s">
        <v>23</v>
      </c>
      <c r="C2749">
        <v>901</v>
      </c>
      <c r="D2749">
        <v>1</v>
      </c>
      <c r="E2749">
        <v>1</v>
      </c>
      <c r="F2749" t="s">
        <v>33</v>
      </c>
      <c r="G2749" t="s">
        <v>25</v>
      </c>
      <c r="H2749" t="s">
        <v>26</v>
      </c>
      <c r="I2749" t="s">
        <v>57</v>
      </c>
    </row>
    <row r="2750" spans="1:9" x14ac:dyDescent="0.2">
      <c r="A2750" s="3">
        <v>42564</v>
      </c>
      <c r="B2750" t="s">
        <v>23</v>
      </c>
      <c r="C2750">
        <v>901</v>
      </c>
      <c r="D2750">
        <v>2</v>
      </c>
      <c r="E2750">
        <v>1</v>
      </c>
      <c r="F2750" t="s">
        <v>33</v>
      </c>
      <c r="G2750" t="s">
        <v>25</v>
      </c>
      <c r="H2750" t="s">
        <v>26</v>
      </c>
      <c r="I2750" t="s">
        <v>57</v>
      </c>
    </row>
    <row r="2751" spans="1:9" x14ac:dyDescent="0.2">
      <c r="A2751" s="3">
        <v>42564</v>
      </c>
      <c r="B2751" t="s">
        <v>23</v>
      </c>
      <c r="C2751">
        <v>901</v>
      </c>
      <c r="D2751">
        <v>10</v>
      </c>
      <c r="E2751">
        <v>1</v>
      </c>
      <c r="F2751" t="s">
        <v>33</v>
      </c>
      <c r="G2751" t="s">
        <v>25</v>
      </c>
      <c r="H2751" t="s">
        <v>26</v>
      </c>
      <c r="I2751" t="s">
        <v>57</v>
      </c>
    </row>
    <row r="2752" spans="1:9" x14ac:dyDescent="0.2">
      <c r="A2752" s="3">
        <v>42565</v>
      </c>
      <c r="B2752" t="s">
        <v>23</v>
      </c>
      <c r="C2752">
        <v>501</v>
      </c>
      <c r="D2752">
        <v>5</v>
      </c>
      <c r="E2752">
        <v>1</v>
      </c>
      <c r="F2752" t="s">
        <v>24</v>
      </c>
      <c r="G2752" t="s">
        <v>25</v>
      </c>
      <c r="H2752" t="s">
        <v>26</v>
      </c>
      <c r="I2752" t="s">
        <v>57</v>
      </c>
    </row>
    <row r="2753" spans="1:9" x14ac:dyDescent="0.2">
      <c r="A2753" s="3">
        <v>42565</v>
      </c>
      <c r="B2753" t="s">
        <v>23</v>
      </c>
      <c r="C2753">
        <v>501</v>
      </c>
      <c r="D2753">
        <v>8</v>
      </c>
      <c r="E2753">
        <v>1</v>
      </c>
      <c r="F2753" t="s">
        <v>24</v>
      </c>
      <c r="G2753" t="s">
        <v>25</v>
      </c>
      <c r="H2753" t="s">
        <v>26</v>
      </c>
      <c r="I2753" t="s">
        <v>57</v>
      </c>
    </row>
    <row r="2754" spans="1:9" x14ac:dyDescent="0.2">
      <c r="A2754" s="3">
        <v>42565</v>
      </c>
      <c r="B2754" t="s">
        <v>23</v>
      </c>
      <c r="C2754">
        <v>501</v>
      </c>
      <c r="D2754">
        <v>9</v>
      </c>
      <c r="E2754">
        <v>1</v>
      </c>
      <c r="F2754" t="s">
        <v>24</v>
      </c>
      <c r="G2754" t="s">
        <v>25</v>
      </c>
      <c r="H2754" t="s">
        <v>26</v>
      </c>
      <c r="I2754" t="s">
        <v>57</v>
      </c>
    </row>
    <row r="2755" spans="1:9" x14ac:dyDescent="0.2">
      <c r="A2755" s="3">
        <v>42565</v>
      </c>
      <c r="B2755" t="s">
        <v>23</v>
      </c>
      <c r="C2755">
        <v>501</v>
      </c>
      <c r="D2755">
        <v>9</v>
      </c>
      <c r="E2755">
        <v>2</v>
      </c>
      <c r="F2755" t="s">
        <v>24</v>
      </c>
      <c r="G2755" t="s">
        <v>25</v>
      </c>
      <c r="H2755" t="s">
        <v>26</v>
      </c>
      <c r="I2755" t="s">
        <v>57</v>
      </c>
    </row>
    <row r="2756" spans="1:9" x14ac:dyDescent="0.2">
      <c r="A2756" s="3">
        <v>42565</v>
      </c>
      <c r="B2756" t="s">
        <v>23</v>
      </c>
      <c r="C2756">
        <v>501</v>
      </c>
      <c r="D2756">
        <v>10</v>
      </c>
      <c r="E2756">
        <v>1</v>
      </c>
      <c r="F2756" t="s">
        <v>24</v>
      </c>
      <c r="G2756" t="s">
        <v>25</v>
      </c>
      <c r="H2756" t="s">
        <v>26</v>
      </c>
      <c r="I2756" t="s">
        <v>57</v>
      </c>
    </row>
    <row r="2757" spans="1:9" x14ac:dyDescent="0.2">
      <c r="A2757" s="3">
        <v>42565</v>
      </c>
      <c r="B2757" t="s">
        <v>23</v>
      </c>
      <c r="C2757">
        <v>503</v>
      </c>
      <c r="D2757">
        <v>1</v>
      </c>
      <c r="E2757">
        <v>1</v>
      </c>
      <c r="F2757" t="s">
        <v>24</v>
      </c>
      <c r="G2757" t="s">
        <v>25</v>
      </c>
      <c r="H2757" t="s">
        <v>26</v>
      </c>
      <c r="I2757" t="s">
        <v>57</v>
      </c>
    </row>
    <row r="2758" spans="1:9" x14ac:dyDescent="0.2">
      <c r="A2758" s="3">
        <v>42565</v>
      </c>
      <c r="B2758" t="s">
        <v>23</v>
      </c>
      <c r="C2758">
        <v>503</v>
      </c>
      <c r="D2758">
        <v>1</v>
      </c>
      <c r="E2758">
        <v>2</v>
      </c>
      <c r="F2758" t="s">
        <v>24</v>
      </c>
      <c r="G2758" t="s">
        <v>25</v>
      </c>
      <c r="H2758" t="s">
        <v>26</v>
      </c>
      <c r="I2758" t="s">
        <v>57</v>
      </c>
    </row>
    <row r="2759" spans="1:9" x14ac:dyDescent="0.2">
      <c r="A2759" s="3">
        <v>42565</v>
      </c>
      <c r="B2759" t="s">
        <v>23</v>
      </c>
      <c r="C2759">
        <v>503</v>
      </c>
      <c r="D2759">
        <v>2</v>
      </c>
      <c r="E2759">
        <v>2</v>
      </c>
      <c r="F2759" t="s">
        <v>24</v>
      </c>
      <c r="G2759" t="s">
        <v>25</v>
      </c>
      <c r="H2759" t="s">
        <v>26</v>
      </c>
      <c r="I2759" t="s">
        <v>57</v>
      </c>
    </row>
    <row r="2760" spans="1:9" x14ac:dyDescent="0.2">
      <c r="A2760" s="3">
        <v>42565</v>
      </c>
      <c r="B2760" t="s">
        <v>23</v>
      </c>
      <c r="C2760">
        <v>503</v>
      </c>
      <c r="D2760">
        <v>3</v>
      </c>
      <c r="E2760">
        <v>1</v>
      </c>
      <c r="F2760" t="s">
        <v>24</v>
      </c>
      <c r="G2760" t="s">
        <v>25</v>
      </c>
      <c r="H2760" t="s">
        <v>26</v>
      </c>
      <c r="I2760" t="s">
        <v>57</v>
      </c>
    </row>
    <row r="2761" spans="1:9" x14ac:dyDescent="0.2">
      <c r="A2761" s="3">
        <v>42565</v>
      </c>
      <c r="B2761" t="s">
        <v>23</v>
      </c>
      <c r="C2761">
        <v>503</v>
      </c>
      <c r="D2761">
        <v>3</v>
      </c>
      <c r="E2761">
        <v>2</v>
      </c>
      <c r="F2761" t="s">
        <v>24</v>
      </c>
      <c r="G2761" t="s">
        <v>25</v>
      </c>
      <c r="H2761" t="s">
        <v>26</v>
      </c>
      <c r="I2761" t="s">
        <v>57</v>
      </c>
    </row>
    <row r="2762" spans="1:9" x14ac:dyDescent="0.2">
      <c r="A2762" s="3">
        <v>42565</v>
      </c>
      <c r="B2762" t="s">
        <v>23</v>
      </c>
      <c r="C2762">
        <v>503</v>
      </c>
      <c r="D2762">
        <v>5</v>
      </c>
      <c r="E2762">
        <v>1</v>
      </c>
      <c r="F2762" t="s">
        <v>24</v>
      </c>
      <c r="G2762" t="s">
        <v>25</v>
      </c>
      <c r="H2762" t="s">
        <v>26</v>
      </c>
      <c r="I2762" t="s">
        <v>57</v>
      </c>
    </row>
    <row r="2763" spans="1:9" x14ac:dyDescent="0.2">
      <c r="A2763" s="3">
        <v>42565</v>
      </c>
      <c r="B2763" t="s">
        <v>23</v>
      </c>
      <c r="C2763">
        <v>503</v>
      </c>
      <c r="D2763">
        <v>5</v>
      </c>
      <c r="E2763">
        <v>2</v>
      </c>
      <c r="F2763" t="s">
        <v>24</v>
      </c>
      <c r="G2763" t="s">
        <v>25</v>
      </c>
      <c r="H2763" t="s">
        <v>26</v>
      </c>
      <c r="I2763" t="s">
        <v>57</v>
      </c>
    </row>
    <row r="2764" spans="1:9" x14ac:dyDescent="0.2">
      <c r="A2764" s="3">
        <v>42565</v>
      </c>
      <c r="B2764" t="s">
        <v>23</v>
      </c>
      <c r="C2764">
        <v>503</v>
      </c>
      <c r="D2764">
        <v>8</v>
      </c>
      <c r="E2764">
        <v>1</v>
      </c>
      <c r="F2764" t="s">
        <v>24</v>
      </c>
      <c r="G2764" t="s">
        <v>25</v>
      </c>
      <c r="H2764" t="s">
        <v>26</v>
      </c>
      <c r="I2764" t="s">
        <v>57</v>
      </c>
    </row>
    <row r="2765" spans="1:9" x14ac:dyDescent="0.2">
      <c r="A2765" s="3">
        <v>42565</v>
      </c>
      <c r="B2765" t="s">
        <v>23</v>
      </c>
      <c r="C2765">
        <v>503</v>
      </c>
      <c r="D2765">
        <v>9</v>
      </c>
      <c r="E2765">
        <v>2</v>
      </c>
      <c r="F2765" t="s">
        <v>24</v>
      </c>
      <c r="G2765" t="s">
        <v>25</v>
      </c>
      <c r="H2765" t="s">
        <v>26</v>
      </c>
      <c r="I2765" t="s">
        <v>57</v>
      </c>
    </row>
    <row r="2766" spans="1:9" x14ac:dyDescent="0.2">
      <c r="A2766" s="3">
        <v>42565</v>
      </c>
      <c r="B2766" t="s">
        <v>23</v>
      </c>
      <c r="C2766">
        <v>503</v>
      </c>
      <c r="D2766">
        <v>10</v>
      </c>
      <c r="E2766">
        <v>2</v>
      </c>
      <c r="F2766" t="s">
        <v>24</v>
      </c>
      <c r="G2766" t="s">
        <v>25</v>
      </c>
      <c r="H2766" t="s">
        <v>26</v>
      </c>
      <c r="I2766" t="s">
        <v>57</v>
      </c>
    </row>
    <row r="2767" spans="1:9" x14ac:dyDescent="0.2">
      <c r="A2767" s="3">
        <v>42565</v>
      </c>
      <c r="B2767" t="s">
        <v>23</v>
      </c>
      <c r="C2767">
        <v>303</v>
      </c>
      <c r="D2767">
        <v>3</v>
      </c>
      <c r="E2767">
        <v>1</v>
      </c>
      <c r="F2767" t="s">
        <v>24</v>
      </c>
      <c r="G2767" t="s">
        <v>25</v>
      </c>
      <c r="H2767" t="s">
        <v>26</v>
      </c>
      <c r="I2767" t="s">
        <v>57</v>
      </c>
    </row>
    <row r="2768" spans="1:9" x14ac:dyDescent="0.2">
      <c r="A2768" s="3">
        <v>42565</v>
      </c>
      <c r="B2768" t="s">
        <v>23</v>
      </c>
      <c r="C2768">
        <v>303</v>
      </c>
      <c r="D2768">
        <v>4</v>
      </c>
      <c r="E2768">
        <v>1</v>
      </c>
      <c r="F2768" t="s">
        <v>24</v>
      </c>
      <c r="G2768" t="s">
        <v>25</v>
      </c>
      <c r="H2768" t="s">
        <v>26</v>
      </c>
      <c r="I2768" t="s">
        <v>57</v>
      </c>
    </row>
    <row r="2769" spans="1:9" x14ac:dyDescent="0.2">
      <c r="A2769" s="3">
        <v>42565</v>
      </c>
      <c r="B2769" t="s">
        <v>23</v>
      </c>
      <c r="C2769">
        <v>303</v>
      </c>
      <c r="D2769">
        <v>4</v>
      </c>
      <c r="E2769">
        <v>2</v>
      </c>
      <c r="F2769" t="s">
        <v>24</v>
      </c>
      <c r="G2769" t="s">
        <v>25</v>
      </c>
      <c r="H2769" t="s">
        <v>26</v>
      </c>
      <c r="I2769" t="s">
        <v>57</v>
      </c>
    </row>
    <row r="2770" spans="1:9" x14ac:dyDescent="0.2">
      <c r="A2770" s="3">
        <v>42565</v>
      </c>
      <c r="B2770" t="s">
        <v>23</v>
      </c>
      <c r="C2770">
        <v>303</v>
      </c>
      <c r="D2770">
        <v>5</v>
      </c>
      <c r="E2770">
        <v>1</v>
      </c>
      <c r="F2770" t="s">
        <v>24</v>
      </c>
      <c r="G2770" t="s">
        <v>25</v>
      </c>
      <c r="H2770" t="s">
        <v>26</v>
      </c>
      <c r="I2770" t="s">
        <v>57</v>
      </c>
    </row>
    <row r="2771" spans="1:9" x14ac:dyDescent="0.2">
      <c r="A2771" s="3">
        <v>42565</v>
      </c>
      <c r="B2771" t="s">
        <v>23</v>
      </c>
      <c r="C2771">
        <v>303</v>
      </c>
      <c r="D2771">
        <v>5</v>
      </c>
      <c r="E2771">
        <v>2</v>
      </c>
      <c r="F2771" t="s">
        <v>24</v>
      </c>
      <c r="G2771" t="s">
        <v>25</v>
      </c>
      <c r="H2771" t="s">
        <v>26</v>
      </c>
      <c r="I2771" t="s">
        <v>57</v>
      </c>
    </row>
    <row r="2772" spans="1:9" x14ac:dyDescent="0.2">
      <c r="A2772" s="3">
        <v>42565</v>
      </c>
      <c r="B2772" t="s">
        <v>23</v>
      </c>
      <c r="C2772">
        <v>303</v>
      </c>
      <c r="D2772">
        <v>8</v>
      </c>
      <c r="E2772">
        <v>1</v>
      </c>
      <c r="F2772" t="s">
        <v>24</v>
      </c>
      <c r="G2772" t="s">
        <v>25</v>
      </c>
      <c r="H2772" t="s">
        <v>26</v>
      </c>
      <c r="I2772" t="s">
        <v>57</v>
      </c>
    </row>
    <row r="2773" spans="1:9" x14ac:dyDescent="0.2">
      <c r="A2773" s="3">
        <v>42565</v>
      </c>
      <c r="B2773" t="s">
        <v>23</v>
      </c>
      <c r="C2773">
        <v>303</v>
      </c>
      <c r="D2773">
        <v>8</v>
      </c>
      <c r="E2773">
        <v>2</v>
      </c>
      <c r="F2773" t="s">
        <v>24</v>
      </c>
      <c r="G2773" t="s">
        <v>25</v>
      </c>
      <c r="H2773" t="s">
        <v>26</v>
      </c>
      <c r="I2773" t="s">
        <v>57</v>
      </c>
    </row>
    <row r="2774" spans="1:9" x14ac:dyDescent="0.2">
      <c r="A2774" s="3">
        <v>42565</v>
      </c>
      <c r="B2774" t="s">
        <v>23</v>
      </c>
      <c r="C2774">
        <v>303</v>
      </c>
      <c r="D2774">
        <v>10</v>
      </c>
      <c r="E2774">
        <v>1</v>
      </c>
      <c r="F2774" t="s">
        <v>24</v>
      </c>
      <c r="G2774" t="s">
        <v>25</v>
      </c>
      <c r="H2774" t="s">
        <v>26</v>
      </c>
      <c r="I2774" t="s">
        <v>57</v>
      </c>
    </row>
    <row r="2775" spans="1:9" x14ac:dyDescent="0.2">
      <c r="A2775" s="3">
        <v>42565</v>
      </c>
      <c r="B2775" t="s">
        <v>23</v>
      </c>
      <c r="C2775">
        <v>401</v>
      </c>
      <c r="D2775">
        <v>1</v>
      </c>
      <c r="E2775">
        <v>1</v>
      </c>
      <c r="F2775" t="s">
        <v>24</v>
      </c>
      <c r="G2775" t="s">
        <v>25</v>
      </c>
      <c r="H2775" t="s">
        <v>26</v>
      </c>
      <c r="I2775" t="s">
        <v>57</v>
      </c>
    </row>
    <row r="2776" spans="1:9" x14ac:dyDescent="0.2">
      <c r="A2776" s="3">
        <v>42565</v>
      </c>
      <c r="B2776" t="s">
        <v>23</v>
      </c>
      <c r="C2776">
        <v>401</v>
      </c>
      <c r="D2776">
        <v>1</v>
      </c>
      <c r="E2776">
        <v>2</v>
      </c>
      <c r="F2776" t="s">
        <v>24</v>
      </c>
      <c r="G2776" t="s">
        <v>25</v>
      </c>
      <c r="H2776" t="s">
        <v>26</v>
      </c>
      <c r="I2776" t="s">
        <v>57</v>
      </c>
    </row>
    <row r="2777" spans="1:9" x14ac:dyDescent="0.2">
      <c r="A2777" s="3">
        <v>42565</v>
      </c>
      <c r="B2777" t="s">
        <v>23</v>
      </c>
      <c r="C2777">
        <v>401</v>
      </c>
      <c r="D2777">
        <v>4</v>
      </c>
      <c r="E2777">
        <v>1</v>
      </c>
      <c r="F2777" t="s">
        <v>24</v>
      </c>
      <c r="G2777" t="s">
        <v>25</v>
      </c>
      <c r="H2777" t="s">
        <v>26</v>
      </c>
      <c r="I2777" t="s">
        <v>57</v>
      </c>
    </row>
    <row r="2778" spans="1:9" x14ac:dyDescent="0.2">
      <c r="A2778" s="3">
        <v>42565</v>
      </c>
      <c r="B2778" t="s">
        <v>23</v>
      </c>
      <c r="C2778">
        <v>401</v>
      </c>
      <c r="D2778">
        <v>6</v>
      </c>
      <c r="E2778">
        <v>1</v>
      </c>
      <c r="F2778" t="s">
        <v>24</v>
      </c>
      <c r="G2778" t="s">
        <v>25</v>
      </c>
      <c r="H2778" t="s">
        <v>26</v>
      </c>
      <c r="I2778" t="s">
        <v>57</v>
      </c>
    </row>
    <row r="2779" spans="1:9" x14ac:dyDescent="0.2">
      <c r="A2779" s="3">
        <v>42565</v>
      </c>
      <c r="B2779" t="s">
        <v>23</v>
      </c>
      <c r="C2779">
        <v>703</v>
      </c>
      <c r="D2779">
        <v>1</v>
      </c>
      <c r="E2779">
        <v>1</v>
      </c>
      <c r="F2779" t="s">
        <v>33</v>
      </c>
      <c r="G2779" t="s">
        <v>25</v>
      </c>
      <c r="H2779" t="s">
        <v>26</v>
      </c>
      <c r="I2779" t="s">
        <v>57</v>
      </c>
    </row>
    <row r="2780" spans="1:9" x14ac:dyDescent="0.2">
      <c r="A2780" s="3">
        <v>42565</v>
      </c>
      <c r="B2780" t="s">
        <v>23</v>
      </c>
      <c r="C2780">
        <v>703</v>
      </c>
      <c r="D2780">
        <v>2</v>
      </c>
      <c r="E2780">
        <v>1</v>
      </c>
      <c r="F2780" t="s">
        <v>33</v>
      </c>
      <c r="G2780" t="s">
        <v>25</v>
      </c>
      <c r="H2780" t="s">
        <v>26</v>
      </c>
      <c r="I2780" t="s">
        <v>57</v>
      </c>
    </row>
    <row r="2781" spans="1:9" x14ac:dyDescent="0.2">
      <c r="A2781" s="3">
        <v>42565</v>
      </c>
      <c r="B2781" t="s">
        <v>23</v>
      </c>
      <c r="C2781">
        <v>703</v>
      </c>
      <c r="D2781">
        <v>3</v>
      </c>
      <c r="E2781">
        <v>2</v>
      </c>
      <c r="F2781" t="s">
        <v>33</v>
      </c>
      <c r="G2781" t="s">
        <v>25</v>
      </c>
      <c r="H2781" t="s">
        <v>26</v>
      </c>
      <c r="I2781" t="s">
        <v>57</v>
      </c>
    </row>
    <row r="2782" spans="1:9" x14ac:dyDescent="0.2">
      <c r="A2782" s="3">
        <v>42565</v>
      </c>
      <c r="B2782" t="s">
        <v>23</v>
      </c>
      <c r="C2782">
        <v>703</v>
      </c>
      <c r="D2782">
        <v>4</v>
      </c>
      <c r="E2782">
        <v>1</v>
      </c>
      <c r="F2782" t="s">
        <v>33</v>
      </c>
      <c r="G2782" t="s">
        <v>25</v>
      </c>
      <c r="H2782" t="s">
        <v>26</v>
      </c>
      <c r="I2782" t="s">
        <v>57</v>
      </c>
    </row>
    <row r="2783" spans="1:9" x14ac:dyDescent="0.2">
      <c r="A2783" s="3">
        <v>42565</v>
      </c>
      <c r="B2783" t="s">
        <v>23</v>
      </c>
      <c r="C2783">
        <v>703</v>
      </c>
      <c r="D2783">
        <v>7</v>
      </c>
      <c r="E2783">
        <v>1</v>
      </c>
      <c r="F2783" t="s">
        <v>33</v>
      </c>
      <c r="G2783" t="s">
        <v>25</v>
      </c>
      <c r="H2783" t="s">
        <v>26</v>
      </c>
      <c r="I2783" t="s">
        <v>57</v>
      </c>
    </row>
    <row r="2784" spans="1:9" x14ac:dyDescent="0.2">
      <c r="A2784" s="3">
        <v>42565</v>
      </c>
      <c r="B2784" t="s">
        <v>23</v>
      </c>
      <c r="C2784">
        <v>703</v>
      </c>
      <c r="D2784">
        <v>8</v>
      </c>
      <c r="E2784">
        <v>1</v>
      </c>
      <c r="F2784" t="s">
        <v>33</v>
      </c>
      <c r="G2784" t="s">
        <v>25</v>
      </c>
      <c r="H2784" t="s">
        <v>26</v>
      </c>
      <c r="I2784" t="s">
        <v>57</v>
      </c>
    </row>
    <row r="2785" spans="1:9" x14ac:dyDescent="0.2">
      <c r="A2785" s="3">
        <v>42565</v>
      </c>
      <c r="B2785" t="s">
        <v>23</v>
      </c>
      <c r="C2785">
        <v>703</v>
      </c>
      <c r="D2785">
        <v>9</v>
      </c>
      <c r="E2785">
        <v>1</v>
      </c>
      <c r="F2785" t="s">
        <v>33</v>
      </c>
      <c r="G2785" t="s">
        <v>25</v>
      </c>
      <c r="H2785" t="s">
        <v>26</v>
      </c>
      <c r="I2785" t="s">
        <v>57</v>
      </c>
    </row>
    <row r="2786" spans="1:9" x14ac:dyDescent="0.2">
      <c r="A2786" s="3">
        <v>42565</v>
      </c>
      <c r="B2786" t="s">
        <v>23</v>
      </c>
      <c r="C2786">
        <v>701</v>
      </c>
      <c r="D2786">
        <v>4</v>
      </c>
      <c r="E2786">
        <v>1</v>
      </c>
      <c r="F2786" t="s">
        <v>33</v>
      </c>
      <c r="G2786" t="s">
        <v>25</v>
      </c>
      <c r="H2786" t="s">
        <v>26</v>
      </c>
      <c r="I2786" t="s">
        <v>57</v>
      </c>
    </row>
    <row r="2787" spans="1:9" x14ac:dyDescent="0.2">
      <c r="A2787" s="3">
        <v>42565</v>
      </c>
      <c r="B2787" t="s">
        <v>23</v>
      </c>
      <c r="C2787">
        <v>701</v>
      </c>
      <c r="D2787">
        <v>7</v>
      </c>
      <c r="E2787">
        <v>1</v>
      </c>
      <c r="F2787" t="s">
        <v>33</v>
      </c>
      <c r="G2787" t="s">
        <v>25</v>
      </c>
      <c r="H2787" t="s">
        <v>26</v>
      </c>
      <c r="I2787" t="s">
        <v>57</v>
      </c>
    </row>
    <row r="2788" spans="1:9" x14ac:dyDescent="0.2">
      <c r="A2788" s="3">
        <v>42565</v>
      </c>
      <c r="B2788" t="s">
        <v>23</v>
      </c>
      <c r="C2788">
        <v>701</v>
      </c>
      <c r="D2788">
        <v>10</v>
      </c>
      <c r="E2788">
        <v>1</v>
      </c>
      <c r="F2788" t="s">
        <v>33</v>
      </c>
      <c r="G2788" t="s">
        <v>25</v>
      </c>
      <c r="H2788" t="s">
        <v>26</v>
      </c>
      <c r="I2788" t="s">
        <v>57</v>
      </c>
    </row>
    <row r="2789" spans="1:9" x14ac:dyDescent="0.2">
      <c r="A2789" s="3">
        <v>42565</v>
      </c>
      <c r="B2789" t="s">
        <v>23</v>
      </c>
      <c r="C2789">
        <v>801</v>
      </c>
      <c r="D2789">
        <v>2</v>
      </c>
      <c r="E2789">
        <v>1</v>
      </c>
      <c r="F2789" t="s">
        <v>33</v>
      </c>
      <c r="G2789" t="s">
        <v>25</v>
      </c>
      <c r="H2789" t="s">
        <v>26</v>
      </c>
      <c r="I2789" t="s">
        <v>57</v>
      </c>
    </row>
    <row r="2790" spans="1:9" x14ac:dyDescent="0.2">
      <c r="A2790" s="3">
        <v>42565</v>
      </c>
      <c r="B2790" t="s">
        <v>23</v>
      </c>
      <c r="C2790">
        <v>801</v>
      </c>
      <c r="D2790">
        <v>3</v>
      </c>
      <c r="E2790">
        <v>1</v>
      </c>
      <c r="F2790" t="s">
        <v>33</v>
      </c>
      <c r="G2790" t="s">
        <v>25</v>
      </c>
      <c r="H2790" t="s">
        <v>26</v>
      </c>
      <c r="I2790" t="s">
        <v>57</v>
      </c>
    </row>
    <row r="2791" spans="1:9" x14ac:dyDescent="0.2">
      <c r="A2791" s="3">
        <v>42565</v>
      </c>
      <c r="B2791" t="s">
        <v>23</v>
      </c>
      <c r="C2791">
        <v>801</v>
      </c>
      <c r="D2791">
        <v>4</v>
      </c>
      <c r="E2791">
        <v>1</v>
      </c>
      <c r="F2791" t="s">
        <v>33</v>
      </c>
      <c r="G2791" t="s">
        <v>25</v>
      </c>
      <c r="H2791" t="s">
        <v>26</v>
      </c>
      <c r="I2791" t="s">
        <v>57</v>
      </c>
    </row>
    <row r="2792" spans="1:9" x14ac:dyDescent="0.2">
      <c r="A2792" s="3">
        <v>42565</v>
      </c>
      <c r="B2792" t="s">
        <v>23</v>
      </c>
      <c r="C2792">
        <v>801</v>
      </c>
      <c r="D2792">
        <v>7</v>
      </c>
      <c r="E2792">
        <v>1</v>
      </c>
      <c r="F2792" t="s">
        <v>33</v>
      </c>
      <c r="G2792" t="s">
        <v>25</v>
      </c>
      <c r="H2792" t="s">
        <v>26</v>
      </c>
      <c r="I2792" t="s">
        <v>57</v>
      </c>
    </row>
    <row r="2793" spans="1:9" x14ac:dyDescent="0.2">
      <c r="A2793" s="3">
        <v>42565</v>
      </c>
      <c r="B2793" t="s">
        <v>23</v>
      </c>
      <c r="C2793">
        <v>801</v>
      </c>
      <c r="D2793">
        <v>9</v>
      </c>
      <c r="E2793">
        <v>1</v>
      </c>
      <c r="F2793" t="s">
        <v>33</v>
      </c>
      <c r="G2793" t="s">
        <v>25</v>
      </c>
      <c r="H2793" t="s">
        <v>26</v>
      </c>
      <c r="I2793" t="s">
        <v>57</v>
      </c>
    </row>
    <row r="2794" spans="1:9" x14ac:dyDescent="0.2">
      <c r="A2794" s="3">
        <v>42565</v>
      </c>
      <c r="B2794" t="s">
        <v>23</v>
      </c>
      <c r="C2794">
        <v>803</v>
      </c>
      <c r="D2794">
        <v>10</v>
      </c>
      <c r="E2794">
        <v>1</v>
      </c>
      <c r="F2794" t="s">
        <v>33</v>
      </c>
      <c r="G2794" t="s">
        <v>25</v>
      </c>
      <c r="H2794" t="s">
        <v>26</v>
      </c>
      <c r="I2794" t="s">
        <v>57</v>
      </c>
    </row>
    <row r="2795" spans="1:9" x14ac:dyDescent="0.2">
      <c r="A2795" s="3">
        <v>42565</v>
      </c>
      <c r="B2795" t="s">
        <v>23</v>
      </c>
      <c r="C2795">
        <v>803</v>
      </c>
      <c r="D2795">
        <v>10</v>
      </c>
      <c r="E2795">
        <v>2</v>
      </c>
      <c r="F2795" t="s">
        <v>33</v>
      </c>
      <c r="G2795" t="s">
        <v>25</v>
      </c>
      <c r="H2795" t="s">
        <v>26</v>
      </c>
      <c r="I2795" t="s">
        <v>57</v>
      </c>
    </row>
    <row r="2796" spans="1:9" x14ac:dyDescent="0.2">
      <c r="A2796" s="3">
        <v>42565</v>
      </c>
      <c r="B2796" t="s">
        <v>23</v>
      </c>
      <c r="C2796">
        <v>803</v>
      </c>
      <c r="D2796">
        <v>9</v>
      </c>
      <c r="E2796">
        <v>1</v>
      </c>
      <c r="F2796" t="s">
        <v>33</v>
      </c>
      <c r="G2796" t="s">
        <v>25</v>
      </c>
      <c r="H2796" t="s">
        <v>26</v>
      </c>
      <c r="I2796" t="s">
        <v>57</v>
      </c>
    </row>
    <row r="2797" spans="1:9" x14ac:dyDescent="0.2">
      <c r="A2797" s="3">
        <v>42565</v>
      </c>
      <c r="B2797" t="s">
        <v>23</v>
      </c>
      <c r="C2797">
        <v>803</v>
      </c>
      <c r="D2797">
        <v>6</v>
      </c>
      <c r="E2797">
        <v>1</v>
      </c>
      <c r="F2797" t="s">
        <v>33</v>
      </c>
      <c r="G2797" t="s">
        <v>25</v>
      </c>
      <c r="H2797" t="s">
        <v>26</v>
      </c>
      <c r="I2797" t="s">
        <v>57</v>
      </c>
    </row>
    <row r="2798" spans="1:9" x14ac:dyDescent="0.2">
      <c r="A2798" s="3">
        <v>42565</v>
      </c>
      <c r="B2798" t="s">
        <v>23</v>
      </c>
      <c r="C2798">
        <v>803</v>
      </c>
      <c r="D2798">
        <v>6</v>
      </c>
      <c r="E2798">
        <v>2</v>
      </c>
      <c r="F2798" t="s">
        <v>33</v>
      </c>
      <c r="G2798" t="s">
        <v>25</v>
      </c>
      <c r="H2798" t="s">
        <v>26</v>
      </c>
      <c r="I2798" t="s">
        <v>57</v>
      </c>
    </row>
    <row r="2799" spans="1:9" x14ac:dyDescent="0.2">
      <c r="A2799" s="3">
        <v>42565</v>
      </c>
      <c r="B2799" t="s">
        <v>23</v>
      </c>
      <c r="C2799">
        <v>803</v>
      </c>
      <c r="D2799">
        <v>5</v>
      </c>
      <c r="E2799">
        <v>1</v>
      </c>
      <c r="F2799" t="s">
        <v>33</v>
      </c>
      <c r="G2799" t="s">
        <v>25</v>
      </c>
      <c r="H2799" t="s">
        <v>26</v>
      </c>
      <c r="I2799" t="s">
        <v>57</v>
      </c>
    </row>
    <row r="2800" spans="1:9" x14ac:dyDescent="0.2">
      <c r="A2800" s="3">
        <v>42565</v>
      </c>
      <c r="B2800" t="s">
        <v>23</v>
      </c>
      <c r="C2800">
        <v>803</v>
      </c>
      <c r="D2800">
        <v>3</v>
      </c>
      <c r="E2800">
        <v>1</v>
      </c>
      <c r="F2800" t="s">
        <v>33</v>
      </c>
      <c r="G2800" t="s">
        <v>25</v>
      </c>
      <c r="H2800" t="s">
        <v>26</v>
      </c>
      <c r="I2800" t="s">
        <v>57</v>
      </c>
    </row>
    <row r="2801" spans="1:9" x14ac:dyDescent="0.2">
      <c r="A2801" s="3">
        <v>42565</v>
      </c>
      <c r="B2801" t="s">
        <v>23</v>
      </c>
      <c r="C2801">
        <v>803</v>
      </c>
      <c r="D2801">
        <v>2</v>
      </c>
      <c r="E2801">
        <v>1</v>
      </c>
      <c r="F2801" t="s">
        <v>33</v>
      </c>
      <c r="G2801" t="s">
        <v>25</v>
      </c>
      <c r="H2801" t="s">
        <v>26</v>
      </c>
      <c r="I2801" t="s">
        <v>57</v>
      </c>
    </row>
    <row r="2802" spans="1:9" x14ac:dyDescent="0.2">
      <c r="A2802" s="3">
        <v>42565</v>
      </c>
      <c r="B2802" t="s">
        <v>23</v>
      </c>
      <c r="C2802">
        <v>901</v>
      </c>
      <c r="D2802">
        <v>1</v>
      </c>
      <c r="E2802">
        <v>1</v>
      </c>
      <c r="F2802" t="s">
        <v>33</v>
      </c>
      <c r="G2802" t="s">
        <v>25</v>
      </c>
      <c r="H2802" t="s">
        <v>26</v>
      </c>
      <c r="I2802" t="s">
        <v>57</v>
      </c>
    </row>
    <row r="2803" spans="1:9" x14ac:dyDescent="0.2">
      <c r="A2803" s="3">
        <v>42565</v>
      </c>
      <c r="B2803" t="s">
        <v>23</v>
      </c>
      <c r="C2803">
        <v>901</v>
      </c>
      <c r="D2803">
        <v>2</v>
      </c>
      <c r="E2803">
        <v>1</v>
      </c>
      <c r="F2803" t="s">
        <v>33</v>
      </c>
      <c r="G2803" t="s">
        <v>25</v>
      </c>
      <c r="H2803" t="s">
        <v>26</v>
      </c>
      <c r="I2803" t="s">
        <v>57</v>
      </c>
    </row>
    <row r="2804" spans="1:9" x14ac:dyDescent="0.2">
      <c r="A2804" s="3">
        <v>42565</v>
      </c>
      <c r="B2804" t="s">
        <v>23</v>
      </c>
      <c r="C2804">
        <v>901</v>
      </c>
      <c r="D2804">
        <v>5</v>
      </c>
      <c r="E2804">
        <v>1</v>
      </c>
      <c r="F2804" t="s">
        <v>33</v>
      </c>
      <c r="G2804" t="s">
        <v>25</v>
      </c>
      <c r="H2804" t="s">
        <v>26</v>
      </c>
      <c r="I2804" t="s">
        <v>57</v>
      </c>
    </row>
    <row r="2805" spans="1:9" x14ac:dyDescent="0.2">
      <c r="A2805" s="3">
        <v>42570</v>
      </c>
      <c r="B2805" t="s">
        <v>23</v>
      </c>
      <c r="C2805">
        <v>201</v>
      </c>
      <c r="D2805">
        <v>4</v>
      </c>
      <c r="E2805">
        <v>1</v>
      </c>
      <c r="F2805" t="s">
        <v>33</v>
      </c>
      <c r="G2805" t="s">
        <v>25</v>
      </c>
      <c r="H2805" t="s">
        <v>26</v>
      </c>
      <c r="I2805" t="s">
        <v>57</v>
      </c>
    </row>
    <row r="2806" spans="1:9" x14ac:dyDescent="0.2">
      <c r="A2806" s="3">
        <v>42570</v>
      </c>
      <c r="B2806" t="s">
        <v>23</v>
      </c>
      <c r="C2806">
        <v>201</v>
      </c>
      <c r="D2806">
        <v>4</v>
      </c>
      <c r="E2806">
        <v>2</v>
      </c>
      <c r="F2806" t="s">
        <v>33</v>
      </c>
      <c r="G2806" t="s">
        <v>25</v>
      </c>
      <c r="H2806" t="s">
        <v>26</v>
      </c>
      <c r="I2806" t="s">
        <v>57</v>
      </c>
    </row>
    <row r="2807" spans="1:9" x14ac:dyDescent="0.2">
      <c r="A2807" s="3">
        <v>42570</v>
      </c>
      <c r="B2807" t="s">
        <v>23</v>
      </c>
      <c r="C2807">
        <v>201</v>
      </c>
      <c r="D2807">
        <v>5</v>
      </c>
      <c r="E2807">
        <v>1</v>
      </c>
      <c r="F2807" t="s">
        <v>33</v>
      </c>
      <c r="G2807" t="s">
        <v>25</v>
      </c>
      <c r="H2807" t="s">
        <v>26</v>
      </c>
      <c r="I2807" t="s">
        <v>57</v>
      </c>
    </row>
    <row r="2808" spans="1:9" x14ac:dyDescent="0.2">
      <c r="A2808" s="3">
        <v>42570</v>
      </c>
      <c r="B2808" t="s">
        <v>23</v>
      </c>
      <c r="C2808">
        <v>201</v>
      </c>
      <c r="D2808">
        <v>5</v>
      </c>
      <c r="E2808">
        <v>2</v>
      </c>
      <c r="F2808" t="s">
        <v>33</v>
      </c>
      <c r="G2808" t="s">
        <v>25</v>
      </c>
      <c r="H2808" t="s">
        <v>26</v>
      </c>
      <c r="I2808" t="s">
        <v>57</v>
      </c>
    </row>
    <row r="2809" spans="1:9" x14ac:dyDescent="0.2">
      <c r="A2809" s="3">
        <v>42570</v>
      </c>
      <c r="B2809" t="s">
        <v>23</v>
      </c>
      <c r="C2809">
        <v>201</v>
      </c>
      <c r="D2809">
        <v>6</v>
      </c>
      <c r="E2809">
        <v>1</v>
      </c>
      <c r="F2809" t="s">
        <v>33</v>
      </c>
      <c r="G2809" t="s">
        <v>25</v>
      </c>
      <c r="H2809" t="s">
        <v>26</v>
      </c>
      <c r="I2809" t="s">
        <v>57</v>
      </c>
    </row>
    <row r="2810" spans="1:9" x14ac:dyDescent="0.2">
      <c r="A2810" s="3">
        <v>42570</v>
      </c>
      <c r="B2810" t="s">
        <v>23</v>
      </c>
      <c r="C2810">
        <v>201</v>
      </c>
      <c r="D2810">
        <v>6</v>
      </c>
      <c r="E2810">
        <v>2</v>
      </c>
      <c r="F2810" t="s">
        <v>33</v>
      </c>
      <c r="G2810" t="s">
        <v>25</v>
      </c>
      <c r="H2810" t="s">
        <v>26</v>
      </c>
      <c r="I2810" t="s">
        <v>57</v>
      </c>
    </row>
    <row r="2811" spans="1:9" x14ac:dyDescent="0.2">
      <c r="A2811" s="3">
        <v>42570</v>
      </c>
      <c r="B2811" t="s">
        <v>23</v>
      </c>
      <c r="C2811">
        <v>201</v>
      </c>
      <c r="D2811">
        <v>7</v>
      </c>
      <c r="E2811">
        <v>1</v>
      </c>
      <c r="F2811" t="s">
        <v>33</v>
      </c>
      <c r="G2811" t="s">
        <v>25</v>
      </c>
      <c r="H2811" t="s">
        <v>26</v>
      </c>
      <c r="I2811" t="s">
        <v>57</v>
      </c>
    </row>
    <row r="2812" spans="1:9" x14ac:dyDescent="0.2">
      <c r="A2812" s="3">
        <v>42570</v>
      </c>
      <c r="B2812" t="s">
        <v>23</v>
      </c>
      <c r="C2812">
        <v>201</v>
      </c>
      <c r="D2812">
        <v>8</v>
      </c>
      <c r="E2812">
        <v>1</v>
      </c>
      <c r="F2812" t="s">
        <v>33</v>
      </c>
      <c r="G2812" t="s">
        <v>25</v>
      </c>
      <c r="H2812" t="s">
        <v>26</v>
      </c>
      <c r="I2812" t="s">
        <v>57</v>
      </c>
    </row>
    <row r="2813" spans="1:9" x14ac:dyDescent="0.2">
      <c r="A2813" s="3">
        <v>42570</v>
      </c>
      <c r="B2813" t="s">
        <v>23</v>
      </c>
      <c r="C2813">
        <v>201</v>
      </c>
      <c r="D2813">
        <v>8</v>
      </c>
      <c r="E2813">
        <v>2</v>
      </c>
      <c r="F2813" t="s">
        <v>33</v>
      </c>
      <c r="G2813" t="s">
        <v>25</v>
      </c>
      <c r="H2813" t="s">
        <v>26</v>
      </c>
      <c r="I2813" t="s">
        <v>57</v>
      </c>
    </row>
    <row r="2814" spans="1:9" x14ac:dyDescent="0.2">
      <c r="A2814" s="3">
        <v>42570</v>
      </c>
      <c r="B2814" t="s">
        <v>23</v>
      </c>
      <c r="C2814">
        <v>203</v>
      </c>
      <c r="D2814">
        <v>1</v>
      </c>
      <c r="E2814">
        <v>1</v>
      </c>
      <c r="F2814" t="s">
        <v>33</v>
      </c>
      <c r="G2814" t="s">
        <v>25</v>
      </c>
      <c r="H2814" t="s">
        <v>26</v>
      </c>
      <c r="I2814" t="s">
        <v>57</v>
      </c>
    </row>
    <row r="2815" spans="1:9" x14ac:dyDescent="0.2">
      <c r="A2815" s="3">
        <v>42570</v>
      </c>
      <c r="B2815" t="s">
        <v>23</v>
      </c>
      <c r="C2815">
        <v>203</v>
      </c>
      <c r="D2815">
        <v>2</v>
      </c>
      <c r="E2815">
        <v>1</v>
      </c>
      <c r="F2815" t="s">
        <v>33</v>
      </c>
      <c r="G2815" t="s">
        <v>25</v>
      </c>
      <c r="H2815" t="s">
        <v>26</v>
      </c>
      <c r="I2815" t="s">
        <v>57</v>
      </c>
    </row>
    <row r="2816" spans="1:9" x14ac:dyDescent="0.2">
      <c r="A2816" s="3">
        <v>42570</v>
      </c>
      <c r="B2816" t="s">
        <v>23</v>
      </c>
      <c r="C2816">
        <v>203</v>
      </c>
      <c r="D2816">
        <v>2</v>
      </c>
      <c r="E2816">
        <v>2</v>
      </c>
      <c r="F2816" t="s">
        <v>33</v>
      </c>
      <c r="G2816" t="s">
        <v>25</v>
      </c>
      <c r="H2816" t="s">
        <v>26</v>
      </c>
      <c r="I2816" t="s">
        <v>57</v>
      </c>
    </row>
    <row r="2817" spans="1:9" x14ac:dyDescent="0.2">
      <c r="A2817" s="3">
        <v>42570</v>
      </c>
      <c r="B2817" t="s">
        <v>23</v>
      </c>
      <c r="C2817">
        <v>203</v>
      </c>
      <c r="D2817">
        <v>4</v>
      </c>
      <c r="E2817">
        <v>1</v>
      </c>
      <c r="F2817" t="s">
        <v>33</v>
      </c>
      <c r="G2817" t="s">
        <v>25</v>
      </c>
      <c r="H2817" t="s">
        <v>26</v>
      </c>
      <c r="I2817" t="s">
        <v>57</v>
      </c>
    </row>
    <row r="2818" spans="1:9" x14ac:dyDescent="0.2">
      <c r="A2818" s="3">
        <v>42570</v>
      </c>
      <c r="B2818" t="s">
        <v>23</v>
      </c>
      <c r="C2818">
        <v>203</v>
      </c>
      <c r="D2818">
        <v>5</v>
      </c>
      <c r="E2818">
        <v>1</v>
      </c>
      <c r="F2818" t="s">
        <v>33</v>
      </c>
      <c r="G2818" t="s">
        <v>25</v>
      </c>
      <c r="H2818" t="s">
        <v>26</v>
      </c>
      <c r="I2818" t="s">
        <v>57</v>
      </c>
    </row>
    <row r="2819" spans="1:9" x14ac:dyDescent="0.2">
      <c r="A2819" s="3">
        <v>42570</v>
      </c>
      <c r="B2819" t="s">
        <v>23</v>
      </c>
      <c r="C2819">
        <v>203</v>
      </c>
      <c r="D2819">
        <v>8</v>
      </c>
      <c r="E2819">
        <v>1</v>
      </c>
      <c r="F2819" t="s">
        <v>33</v>
      </c>
      <c r="G2819" t="s">
        <v>25</v>
      </c>
      <c r="H2819" t="s">
        <v>26</v>
      </c>
      <c r="I2819" t="s">
        <v>57</v>
      </c>
    </row>
    <row r="2820" spans="1:9" x14ac:dyDescent="0.2">
      <c r="A2820" s="3">
        <v>42570</v>
      </c>
      <c r="B2820" t="s">
        <v>23</v>
      </c>
      <c r="C2820">
        <v>203</v>
      </c>
      <c r="D2820">
        <v>10</v>
      </c>
      <c r="E2820">
        <v>1</v>
      </c>
      <c r="F2820" t="s">
        <v>33</v>
      </c>
      <c r="G2820" t="s">
        <v>25</v>
      </c>
      <c r="H2820" t="s">
        <v>26</v>
      </c>
      <c r="I2820" t="s">
        <v>57</v>
      </c>
    </row>
    <row r="2821" spans="1:9" x14ac:dyDescent="0.2">
      <c r="A2821" s="3">
        <v>42570</v>
      </c>
      <c r="B2821" t="s">
        <v>23</v>
      </c>
      <c r="C2821">
        <v>203</v>
      </c>
      <c r="D2821">
        <v>10</v>
      </c>
      <c r="E2821">
        <v>2</v>
      </c>
      <c r="F2821" t="s">
        <v>33</v>
      </c>
      <c r="G2821" t="s">
        <v>25</v>
      </c>
      <c r="H2821" t="s">
        <v>26</v>
      </c>
      <c r="I2821" t="s">
        <v>57</v>
      </c>
    </row>
    <row r="2822" spans="1:9" x14ac:dyDescent="0.2">
      <c r="A2822" s="3">
        <v>42570</v>
      </c>
      <c r="B2822" t="s">
        <v>23</v>
      </c>
      <c r="C2822">
        <v>202</v>
      </c>
      <c r="D2822">
        <v>3</v>
      </c>
      <c r="E2822">
        <v>1</v>
      </c>
      <c r="F2822" t="s">
        <v>33</v>
      </c>
      <c r="G2822" t="s">
        <v>25</v>
      </c>
      <c r="H2822" t="s">
        <v>26</v>
      </c>
      <c r="I2822" t="s">
        <v>57</v>
      </c>
    </row>
    <row r="2823" spans="1:9" x14ac:dyDescent="0.2">
      <c r="A2823" s="3">
        <v>42570</v>
      </c>
      <c r="B2823" t="s">
        <v>23</v>
      </c>
      <c r="C2823">
        <v>202</v>
      </c>
      <c r="D2823">
        <v>3</v>
      </c>
      <c r="E2823">
        <v>2</v>
      </c>
      <c r="F2823" t="s">
        <v>33</v>
      </c>
      <c r="G2823" t="s">
        <v>25</v>
      </c>
      <c r="H2823" t="s">
        <v>26</v>
      </c>
      <c r="I2823" t="s">
        <v>57</v>
      </c>
    </row>
    <row r="2824" spans="1:9" x14ac:dyDescent="0.2">
      <c r="A2824" s="3">
        <v>42570</v>
      </c>
      <c r="B2824" t="s">
        <v>23</v>
      </c>
      <c r="C2824">
        <v>202</v>
      </c>
      <c r="D2824">
        <v>5</v>
      </c>
      <c r="E2824">
        <v>1</v>
      </c>
      <c r="F2824" t="s">
        <v>33</v>
      </c>
      <c r="G2824" t="s">
        <v>25</v>
      </c>
      <c r="H2824" t="s">
        <v>26</v>
      </c>
      <c r="I2824" t="s">
        <v>57</v>
      </c>
    </row>
    <row r="2825" spans="1:9" x14ac:dyDescent="0.2">
      <c r="A2825" s="3">
        <v>42570</v>
      </c>
      <c r="B2825" t="s">
        <v>23</v>
      </c>
      <c r="C2825">
        <v>304</v>
      </c>
      <c r="D2825">
        <v>2</v>
      </c>
      <c r="E2825">
        <v>1</v>
      </c>
      <c r="F2825" t="s">
        <v>33</v>
      </c>
      <c r="G2825" t="s">
        <v>25</v>
      </c>
      <c r="H2825" t="s">
        <v>26</v>
      </c>
      <c r="I2825" t="s">
        <v>57</v>
      </c>
    </row>
    <row r="2826" spans="1:9" x14ac:dyDescent="0.2">
      <c r="A2826" s="3">
        <v>42570</v>
      </c>
      <c r="B2826" t="s">
        <v>23</v>
      </c>
      <c r="C2826">
        <v>304</v>
      </c>
      <c r="D2826">
        <v>2</v>
      </c>
      <c r="E2826">
        <v>2</v>
      </c>
      <c r="F2826" t="s">
        <v>33</v>
      </c>
      <c r="G2826" t="s">
        <v>25</v>
      </c>
      <c r="H2826" t="s">
        <v>26</v>
      </c>
      <c r="I2826" t="s">
        <v>57</v>
      </c>
    </row>
    <row r="2827" spans="1:9" x14ac:dyDescent="0.2">
      <c r="A2827" s="3">
        <v>42570</v>
      </c>
      <c r="B2827" t="s">
        <v>23</v>
      </c>
      <c r="C2827">
        <v>304</v>
      </c>
      <c r="D2827">
        <v>3</v>
      </c>
      <c r="E2827">
        <v>1</v>
      </c>
      <c r="F2827" t="s">
        <v>33</v>
      </c>
      <c r="G2827" t="s">
        <v>25</v>
      </c>
      <c r="H2827" t="s">
        <v>26</v>
      </c>
      <c r="I2827" t="s">
        <v>57</v>
      </c>
    </row>
    <row r="2828" spans="1:9" x14ac:dyDescent="0.2">
      <c r="A2828" s="3">
        <v>42570</v>
      </c>
      <c r="B2828" t="s">
        <v>23</v>
      </c>
      <c r="C2828">
        <v>304</v>
      </c>
      <c r="D2828">
        <v>3</v>
      </c>
      <c r="E2828">
        <v>2</v>
      </c>
      <c r="F2828" t="s">
        <v>33</v>
      </c>
      <c r="G2828" t="s">
        <v>25</v>
      </c>
      <c r="H2828" t="s">
        <v>26</v>
      </c>
      <c r="I2828" t="s">
        <v>57</v>
      </c>
    </row>
    <row r="2829" spans="1:9" x14ac:dyDescent="0.2">
      <c r="A2829" s="3">
        <v>42570</v>
      </c>
      <c r="B2829" t="s">
        <v>23</v>
      </c>
      <c r="C2829">
        <v>304</v>
      </c>
      <c r="D2829">
        <v>4</v>
      </c>
      <c r="E2829">
        <v>1</v>
      </c>
      <c r="F2829" t="s">
        <v>33</v>
      </c>
      <c r="G2829" t="s">
        <v>25</v>
      </c>
      <c r="H2829" t="s">
        <v>26</v>
      </c>
      <c r="I2829" t="s">
        <v>57</v>
      </c>
    </row>
    <row r="2830" spans="1:9" x14ac:dyDescent="0.2">
      <c r="A2830" s="3">
        <v>42570</v>
      </c>
      <c r="B2830" t="s">
        <v>23</v>
      </c>
      <c r="C2830">
        <v>304</v>
      </c>
      <c r="D2830">
        <v>5</v>
      </c>
      <c r="E2830">
        <v>1</v>
      </c>
      <c r="F2830" t="s">
        <v>33</v>
      </c>
      <c r="G2830" t="s">
        <v>25</v>
      </c>
      <c r="H2830" t="s">
        <v>26</v>
      </c>
      <c r="I2830" t="s">
        <v>57</v>
      </c>
    </row>
    <row r="2831" spans="1:9" x14ac:dyDescent="0.2">
      <c r="A2831" s="3">
        <v>42570</v>
      </c>
      <c r="B2831" t="s">
        <v>23</v>
      </c>
      <c r="C2831">
        <v>304</v>
      </c>
      <c r="D2831">
        <v>6</v>
      </c>
      <c r="E2831">
        <v>1</v>
      </c>
      <c r="F2831" t="s">
        <v>33</v>
      </c>
      <c r="G2831" t="s">
        <v>25</v>
      </c>
      <c r="H2831" t="s">
        <v>26</v>
      </c>
      <c r="I2831" t="s">
        <v>57</v>
      </c>
    </row>
    <row r="2832" spans="1:9" x14ac:dyDescent="0.2">
      <c r="A2832" s="3">
        <v>42570</v>
      </c>
      <c r="B2832" t="s">
        <v>23</v>
      </c>
      <c r="C2832">
        <v>304</v>
      </c>
      <c r="D2832">
        <v>6</v>
      </c>
      <c r="E2832">
        <v>2</v>
      </c>
      <c r="F2832" t="s">
        <v>33</v>
      </c>
      <c r="G2832" t="s">
        <v>25</v>
      </c>
      <c r="H2832" t="s">
        <v>26</v>
      </c>
      <c r="I2832" t="s">
        <v>57</v>
      </c>
    </row>
    <row r="2833" spans="1:9" x14ac:dyDescent="0.2">
      <c r="A2833" s="3">
        <v>42570</v>
      </c>
      <c r="B2833" t="s">
        <v>23</v>
      </c>
      <c r="C2833">
        <v>304</v>
      </c>
      <c r="D2833">
        <v>7</v>
      </c>
      <c r="E2833">
        <v>1</v>
      </c>
      <c r="F2833" t="s">
        <v>33</v>
      </c>
      <c r="G2833" t="s">
        <v>25</v>
      </c>
      <c r="H2833" t="s">
        <v>26</v>
      </c>
      <c r="I2833" t="s">
        <v>57</v>
      </c>
    </row>
    <row r="2834" spans="1:9" x14ac:dyDescent="0.2">
      <c r="A2834" s="3">
        <v>42570</v>
      </c>
      <c r="B2834" t="s">
        <v>23</v>
      </c>
      <c r="C2834">
        <v>304</v>
      </c>
      <c r="D2834">
        <v>7</v>
      </c>
      <c r="E2834">
        <v>2</v>
      </c>
      <c r="F2834" t="s">
        <v>33</v>
      </c>
      <c r="G2834" t="s">
        <v>25</v>
      </c>
      <c r="H2834" t="s">
        <v>26</v>
      </c>
      <c r="I2834" t="s">
        <v>57</v>
      </c>
    </row>
    <row r="2835" spans="1:9" x14ac:dyDescent="0.2">
      <c r="A2835" s="3">
        <v>42570</v>
      </c>
      <c r="B2835" t="s">
        <v>23</v>
      </c>
      <c r="C2835">
        <v>304</v>
      </c>
      <c r="D2835">
        <v>8</v>
      </c>
      <c r="E2835">
        <v>1</v>
      </c>
      <c r="F2835" t="s">
        <v>33</v>
      </c>
      <c r="G2835" t="s">
        <v>25</v>
      </c>
      <c r="H2835" t="s">
        <v>26</v>
      </c>
      <c r="I2835" t="s">
        <v>57</v>
      </c>
    </row>
    <row r="2836" spans="1:9" x14ac:dyDescent="0.2">
      <c r="A2836" s="3">
        <v>42570</v>
      </c>
      <c r="B2836" t="s">
        <v>23</v>
      </c>
      <c r="C2836">
        <v>111</v>
      </c>
      <c r="D2836">
        <v>1</v>
      </c>
      <c r="E2836">
        <v>1</v>
      </c>
      <c r="F2836" t="s">
        <v>24</v>
      </c>
      <c r="G2836" t="s">
        <v>25</v>
      </c>
      <c r="H2836" t="s">
        <v>26</v>
      </c>
      <c r="I2836" t="s">
        <v>57</v>
      </c>
    </row>
    <row r="2837" spans="1:9" x14ac:dyDescent="0.2">
      <c r="A2837" s="3">
        <v>42570</v>
      </c>
      <c r="B2837" t="s">
        <v>23</v>
      </c>
      <c r="C2837">
        <v>111</v>
      </c>
      <c r="D2837">
        <v>2</v>
      </c>
      <c r="E2837">
        <v>1</v>
      </c>
      <c r="F2837" t="s">
        <v>24</v>
      </c>
      <c r="G2837" t="s">
        <v>25</v>
      </c>
      <c r="H2837" t="s">
        <v>26</v>
      </c>
      <c r="I2837" t="s">
        <v>57</v>
      </c>
    </row>
    <row r="2838" spans="1:9" x14ac:dyDescent="0.2">
      <c r="A2838" s="3">
        <v>42570</v>
      </c>
      <c r="B2838" t="s">
        <v>23</v>
      </c>
      <c r="C2838">
        <v>111</v>
      </c>
      <c r="D2838">
        <v>5</v>
      </c>
      <c r="E2838">
        <v>1</v>
      </c>
      <c r="F2838" t="s">
        <v>24</v>
      </c>
      <c r="G2838" t="s">
        <v>25</v>
      </c>
      <c r="H2838" t="s">
        <v>26</v>
      </c>
      <c r="I2838" t="s">
        <v>57</v>
      </c>
    </row>
    <row r="2839" spans="1:9" x14ac:dyDescent="0.2">
      <c r="A2839" s="3">
        <v>42570</v>
      </c>
      <c r="B2839" t="s">
        <v>23</v>
      </c>
      <c r="C2839">
        <v>111</v>
      </c>
      <c r="D2839">
        <v>7</v>
      </c>
      <c r="E2839">
        <v>1</v>
      </c>
      <c r="F2839" t="s">
        <v>24</v>
      </c>
      <c r="G2839" t="s">
        <v>25</v>
      </c>
      <c r="H2839" t="s">
        <v>26</v>
      </c>
      <c r="I2839" t="s">
        <v>57</v>
      </c>
    </row>
    <row r="2840" spans="1:9" x14ac:dyDescent="0.2">
      <c r="A2840" s="3">
        <v>42570</v>
      </c>
      <c r="B2840" t="s">
        <v>23</v>
      </c>
      <c r="C2840">
        <v>111</v>
      </c>
      <c r="D2840">
        <v>7</v>
      </c>
      <c r="E2840">
        <v>2</v>
      </c>
      <c r="F2840" t="s">
        <v>24</v>
      </c>
      <c r="G2840" t="s">
        <v>25</v>
      </c>
      <c r="H2840" t="s">
        <v>26</v>
      </c>
      <c r="I2840" t="s">
        <v>57</v>
      </c>
    </row>
    <row r="2841" spans="1:9" x14ac:dyDescent="0.2">
      <c r="A2841" s="3">
        <v>42570</v>
      </c>
      <c r="B2841" t="s">
        <v>23</v>
      </c>
      <c r="C2841">
        <v>111</v>
      </c>
      <c r="D2841">
        <v>9</v>
      </c>
      <c r="E2841">
        <v>1</v>
      </c>
      <c r="F2841" t="s">
        <v>24</v>
      </c>
      <c r="G2841" t="s">
        <v>25</v>
      </c>
      <c r="H2841" t="s">
        <v>26</v>
      </c>
      <c r="I2841" t="s">
        <v>57</v>
      </c>
    </row>
    <row r="2842" spans="1:9" x14ac:dyDescent="0.2">
      <c r="A2842" s="3">
        <v>42570</v>
      </c>
      <c r="B2842" t="s">
        <v>23</v>
      </c>
      <c r="C2842">
        <v>111</v>
      </c>
      <c r="D2842">
        <v>9</v>
      </c>
      <c r="E2842">
        <v>2</v>
      </c>
      <c r="F2842" t="s">
        <v>24</v>
      </c>
      <c r="G2842" t="s">
        <v>25</v>
      </c>
      <c r="H2842" t="s">
        <v>26</v>
      </c>
      <c r="I2842" t="s">
        <v>57</v>
      </c>
    </row>
    <row r="2843" spans="1:9" x14ac:dyDescent="0.2">
      <c r="A2843" s="3">
        <v>42570</v>
      </c>
      <c r="B2843" t="s">
        <v>23</v>
      </c>
      <c r="C2843">
        <v>111</v>
      </c>
      <c r="D2843">
        <v>10</v>
      </c>
      <c r="E2843">
        <v>1</v>
      </c>
      <c r="F2843" t="s">
        <v>24</v>
      </c>
      <c r="G2843" t="s">
        <v>25</v>
      </c>
      <c r="H2843" t="s">
        <v>26</v>
      </c>
      <c r="I2843" t="s">
        <v>57</v>
      </c>
    </row>
    <row r="2844" spans="1:9" x14ac:dyDescent="0.2">
      <c r="A2844" s="3">
        <v>42570</v>
      </c>
      <c r="B2844" t="s">
        <v>23</v>
      </c>
      <c r="C2844">
        <v>112</v>
      </c>
      <c r="D2844">
        <v>1</v>
      </c>
      <c r="E2844">
        <v>1</v>
      </c>
      <c r="F2844" t="s">
        <v>24</v>
      </c>
      <c r="G2844" t="s">
        <v>25</v>
      </c>
      <c r="H2844" t="s">
        <v>26</v>
      </c>
      <c r="I2844" t="s">
        <v>57</v>
      </c>
    </row>
    <row r="2845" spans="1:9" x14ac:dyDescent="0.2">
      <c r="A2845" s="3">
        <v>42570</v>
      </c>
      <c r="B2845" t="s">
        <v>23</v>
      </c>
      <c r="C2845">
        <v>112</v>
      </c>
      <c r="D2845">
        <v>1</v>
      </c>
      <c r="E2845">
        <v>2</v>
      </c>
      <c r="F2845" t="s">
        <v>24</v>
      </c>
      <c r="G2845" t="s">
        <v>25</v>
      </c>
      <c r="H2845" t="s">
        <v>26</v>
      </c>
      <c r="I2845" t="s">
        <v>57</v>
      </c>
    </row>
    <row r="2846" spans="1:9" x14ac:dyDescent="0.2">
      <c r="A2846" s="3">
        <v>42570</v>
      </c>
      <c r="B2846" t="s">
        <v>23</v>
      </c>
      <c r="C2846">
        <v>112</v>
      </c>
      <c r="D2846">
        <v>2</v>
      </c>
      <c r="E2846">
        <v>1</v>
      </c>
      <c r="F2846" t="s">
        <v>24</v>
      </c>
      <c r="G2846" t="s">
        <v>25</v>
      </c>
      <c r="H2846" t="s">
        <v>26</v>
      </c>
      <c r="I2846" t="s">
        <v>57</v>
      </c>
    </row>
    <row r="2847" spans="1:9" x14ac:dyDescent="0.2">
      <c r="A2847" s="3">
        <v>42570</v>
      </c>
      <c r="B2847" t="s">
        <v>23</v>
      </c>
      <c r="C2847">
        <v>112</v>
      </c>
      <c r="D2847">
        <v>2</v>
      </c>
      <c r="E2847">
        <v>2</v>
      </c>
      <c r="F2847" t="s">
        <v>24</v>
      </c>
      <c r="G2847" t="s">
        <v>25</v>
      </c>
      <c r="H2847" t="s">
        <v>26</v>
      </c>
      <c r="I2847" t="s">
        <v>57</v>
      </c>
    </row>
    <row r="2848" spans="1:9" x14ac:dyDescent="0.2">
      <c r="A2848" s="3">
        <v>42570</v>
      </c>
      <c r="B2848" t="s">
        <v>23</v>
      </c>
      <c r="C2848">
        <v>112</v>
      </c>
      <c r="D2848">
        <v>3</v>
      </c>
      <c r="E2848">
        <v>1</v>
      </c>
      <c r="F2848" t="s">
        <v>24</v>
      </c>
      <c r="G2848" t="s">
        <v>25</v>
      </c>
      <c r="H2848" t="s">
        <v>26</v>
      </c>
      <c r="I2848" t="s">
        <v>57</v>
      </c>
    </row>
    <row r="2849" spans="1:9" x14ac:dyDescent="0.2">
      <c r="A2849" s="3">
        <v>42570</v>
      </c>
      <c r="B2849" t="s">
        <v>23</v>
      </c>
      <c r="C2849">
        <v>112</v>
      </c>
      <c r="D2849">
        <v>3</v>
      </c>
      <c r="E2849">
        <v>2</v>
      </c>
      <c r="F2849" t="s">
        <v>24</v>
      </c>
      <c r="G2849" t="s">
        <v>25</v>
      </c>
      <c r="H2849" t="s">
        <v>26</v>
      </c>
      <c r="I2849" t="s">
        <v>57</v>
      </c>
    </row>
    <row r="2850" spans="1:9" x14ac:dyDescent="0.2">
      <c r="A2850" s="3">
        <v>42570</v>
      </c>
      <c r="B2850" t="s">
        <v>23</v>
      </c>
      <c r="C2850">
        <v>112</v>
      </c>
      <c r="D2850">
        <v>4</v>
      </c>
      <c r="E2850">
        <v>1</v>
      </c>
      <c r="F2850" t="s">
        <v>24</v>
      </c>
      <c r="G2850" t="s">
        <v>25</v>
      </c>
      <c r="H2850" t="s">
        <v>26</v>
      </c>
      <c r="I2850" t="s">
        <v>57</v>
      </c>
    </row>
    <row r="2851" spans="1:9" x14ac:dyDescent="0.2">
      <c r="A2851" s="3">
        <v>42570</v>
      </c>
      <c r="B2851" t="s">
        <v>23</v>
      </c>
      <c r="C2851">
        <v>112</v>
      </c>
      <c r="D2851">
        <v>5</v>
      </c>
      <c r="E2851">
        <v>1</v>
      </c>
      <c r="F2851" t="s">
        <v>24</v>
      </c>
      <c r="G2851" t="s">
        <v>25</v>
      </c>
      <c r="H2851" t="s">
        <v>26</v>
      </c>
      <c r="I2851" t="s">
        <v>57</v>
      </c>
    </row>
    <row r="2852" spans="1:9" x14ac:dyDescent="0.2">
      <c r="A2852" s="3">
        <v>42570</v>
      </c>
      <c r="B2852" t="s">
        <v>23</v>
      </c>
      <c r="C2852">
        <v>112</v>
      </c>
      <c r="D2852">
        <v>5</v>
      </c>
      <c r="E2852">
        <v>2</v>
      </c>
      <c r="F2852" t="s">
        <v>24</v>
      </c>
      <c r="G2852" t="s">
        <v>25</v>
      </c>
      <c r="H2852" t="s">
        <v>26</v>
      </c>
      <c r="I2852" t="s">
        <v>57</v>
      </c>
    </row>
    <row r="2853" spans="1:9" x14ac:dyDescent="0.2">
      <c r="A2853" s="3">
        <v>42570</v>
      </c>
      <c r="B2853" t="s">
        <v>23</v>
      </c>
      <c r="C2853">
        <v>112</v>
      </c>
      <c r="D2853">
        <v>6</v>
      </c>
      <c r="E2853">
        <v>1</v>
      </c>
      <c r="F2853" t="s">
        <v>24</v>
      </c>
      <c r="G2853" t="s">
        <v>25</v>
      </c>
      <c r="H2853" t="s">
        <v>26</v>
      </c>
      <c r="I2853" t="s">
        <v>57</v>
      </c>
    </row>
    <row r="2854" spans="1:9" x14ac:dyDescent="0.2">
      <c r="A2854" s="3">
        <v>42570</v>
      </c>
      <c r="B2854" t="s">
        <v>23</v>
      </c>
      <c r="C2854">
        <v>112</v>
      </c>
      <c r="D2854">
        <v>8</v>
      </c>
      <c r="E2854">
        <v>1</v>
      </c>
      <c r="F2854" t="s">
        <v>24</v>
      </c>
      <c r="G2854" t="s">
        <v>25</v>
      </c>
      <c r="H2854" t="s">
        <v>26</v>
      </c>
      <c r="I2854" t="s">
        <v>57</v>
      </c>
    </row>
    <row r="2855" spans="1:9" x14ac:dyDescent="0.2">
      <c r="A2855" s="3">
        <v>42570</v>
      </c>
      <c r="B2855" t="s">
        <v>23</v>
      </c>
      <c r="C2855">
        <v>112</v>
      </c>
      <c r="D2855">
        <v>9</v>
      </c>
      <c r="E2855">
        <v>1</v>
      </c>
      <c r="F2855" t="s">
        <v>24</v>
      </c>
      <c r="G2855" t="s">
        <v>25</v>
      </c>
      <c r="H2855" t="s">
        <v>26</v>
      </c>
      <c r="I2855" t="s">
        <v>57</v>
      </c>
    </row>
    <row r="2856" spans="1:9" x14ac:dyDescent="0.2">
      <c r="A2856" s="3">
        <v>42570</v>
      </c>
      <c r="B2856" t="s">
        <v>23</v>
      </c>
      <c r="C2856">
        <v>112</v>
      </c>
      <c r="D2856">
        <v>9</v>
      </c>
      <c r="E2856">
        <v>2</v>
      </c>
      <c r="F2856" t="s">
        <v>24</v>
      </c>
      <c r="G2856" t="s">
        <v>25</v>
      </c>
      <c r="H2856" t="s">
        <v>26</v>
      </c>
      <c r="I2856" t="s">
        <v>57</v>
      </c>
    </row>
    <row r="2857" spans="1:9" x14ac:dyDescent="0.2">
      <c r="A2857" s="3">
        <v>42570</v>
      </c>
      <c r="B2857" t="s">
        <v>23</v>
      </c>
      <c r="C2857">
        <v>112</v>
      </c>
      <c r="D2857">
        <v>10</v>
      </c>
      <c r="E2857">
        <v>1</v>
      </c>
      <c r="F2857" t="s">
        <v>24</v>
      </c>
      <c r="G2857" t="s">
        <v>25</v>
      </c>
      <c r="H2857" t="s">
        <v>26</v>
      </c>
      <c r="I2857" t="s">
        <v>57</v>
      </c>
    </row>
    <row r="2858" spans="1:9" x14ac:dyDescent="0.2">
      <c r="A2858" s="3">
        <v>42570</v>
      </c>
      <c r="B2858" t="s">
        <v>23</v>
      </c>
      <c r="C2858">
        <v>113</v>
      </c>
      <c r="D2858">
        <v>8</v>
      </c>
      <c r="E2858">
        <v>1</v>
      </c>
      <c r="F2858" t="s">
        <v>24</v>
      </c>
      <c r="G2858" t="s">
        <v>25</v>
      </c>
      <c r="H2858" t="s">
        <v>26</v>
      </c>
      <c r="I2858" t="s">
        <v>57</v>
      </c>
    </row>
    <row r="2859" spans="1:9" x14ac:dyDescent="0.2">
      <c r="A2859" s="3">
        <v>42570</v>
      </c>
      <c r="B2859" t="s">
        <v>23</v>
      </c>
      <c r="C2859">
        <v>113</v>
      </c>
      <c r="D2859">
        <v>9</v>
      </c>
      <c r="E2859">
        <v>1</v>
      </c>
      <c r="F2859" t="s">
        <v>24</v>
      </c>
      <c r="G2859" t="s">
        <v>25</v>
      </c>
      <c r="H2859" t="s">
        <v>26</v>
      </c>
      <c r="I2859" t="s">
        <v>57</v>
      </c>
    </row>
    <row r="2860" spans="1:9" x14ac:dyDescent="0.2">
      <c r="A2860" s="3">
        <v>42570</v>
      </c>
      <c r="B2860" t="s">
        <v>23</v>
      </c>
      <c r="C2860">
        <v>113</v>
      </c>
      <c r="D2860">
        <v>10</v>
      </c>
      <c r="E2860">
        <v>1</v>
      </c>
      <c r="F2860" t="s">
        <v>24</v>
      </c>
      <c r="G2860" t="s">
        <v>25</v>
      </c>
      <c r="H2860" t="s">
        <v>26</v>
      </c>
      <c r="I2860" t="s">
        <v>57</v>
      </c>
    </row>
    <row r="2861" spans="1:9" x14ac:dyDescent="0.2">
      <c r="A2861" s="3">
        <v>42570</v>
      </c>
      <c r="B2861" t="s">
        <v>23</v>
      </c>
      <c r="C2861">
        <v>113</v>
      </c>
      <c r="D2861">
        <v>10</v>
      </c>
      <c r="E2861">
        <v>2</v>
      </c>
      <c r="F2861" t="s">
        <v>24</v>
      </c>
      <c r="G2861" t="s">
        <v>25</v>
      </c>
      <c r="H2861" t="s">
        <v>26</v>
      </c>
      <c r="I2861" t="s">
        <v>57</v>
      </c>
    </row>
    <row r="2862" spans="1:9" x14ac:dyDescent="0.2">
      <c r="A2862" s="3">
        <v>42570</v>
      </c>
      <c r="B2862" t="s">
        <v>23</v>
      </c>
      <c r="C2862">
        <v>402</v>
      </c>
      <c r="D2862">
        <v>6</v>
      </c>
      <c r="E2862">
        <v>2</v>
      </c>
      <c r="F2862" t="s">
        <v>24</v>
      </c>
      <c r="G2862" t="s">
        <v>25</v>
      </c>
      <c r="H2862" t="s">
        <v>26</v>
      </c>
      <c r="I2862" t="s">
        <v>57</v>
      </c>
    </row>
    <row r="2863" spans="1:9" x14ac:dyDescent="0.2">
      <c r="A2863" s="3">
        <v>42570</v>
      </c>
      <c r="B2863" t="s">
        <v>23</v>
      </c>
      <c r="C2863">
        <v>402</v>
      </c>
      <c r="D2863">
        <v>7</v>
      </c>
      <c r="E2863">
        <v>1</v>
      </c>
      <c r="F2863" t="s">
        <v>24</v>
      </c>
      <c r="G2863" t="s">
        <v>25</v>
      </c>
      <c r="H2863" t="s">
        <v>26</v>
      </c>
      <c r="I2863" t="s">
        <v>57</v>
      </c>
    </row>
    <row r="2864" spans="1:9" x14ac:dyDescent="0.2">
      <c r="A2864" s="3">
        <v>42570</v>
      </c>
      <c r="B2864" t="s">
        <v>23</v>
      </c>
      <c r="C2864">
        <v>402</v>
      </c>
      <c r="D2864">
        <v>7</v>
      </c>
      <c r="E2864">
        <v>2</v>
      </c>
      <c r="F2864" t="s">
        <v>24</v>
      </c>
      <c r="G2864" t="s">
        <v>25</v>
      </c>
      <c r="H2864" t="s">
        <v>26</v>
      </c>
      <c r="I2864" t="s">
        <v>57</v>
      </c>
    </row>
    <row r="2865" spans="1:9" x14ac:dyDescent="0.2">
      <c r="A2865" s="3">
        <v>42570</v>
      </c>
      <c r="B2865" t="s">
        <v>23</v>
      </c>
      <c r="C2865">
        <v>402</v>
      </c>
      <c r="D2865">
        <v>8</v>
      </c>
      <c r="E2865">
        <v>1</v>
      </c>
      <c r="F2865" t="s">
        <v>24</v>
      </c>
      <c r="G2865" t="s">
        <v>25</v>
      </c>
      <c r="H2865" t="s">
        <v>26</v>
      </c>
      <c r="I2865" t="s">
        <v>57</v>
      </c>
    </row>
    <row r="2866" spans="1:9" x14ac:dyDescent="0.2">
      <c r="A2866" s="3">
        <v>42570</v>
      </c>
      <c r="B2866" t="s">
        <v>23</v>
      </c>
      <c r="C2866">
        <v>402</v>
      </c>
      <c r="D2866">
        <v>8</v>
      </c>
      <c r="E2866">
        <v>2</v>
      </c>
      <c r="F2866" t="s">
        <v>24</v>
      </c>
      <c r="G2866" t="s">
        <v>25</v>
      </c>
      <c r="H2866" t="s">
        <v>26</v>
      </c>
      <c r="I2866" t="s">
        <v>57</v>
      </c>
    </row>
    <row r="2867" spans="1:9" x14ac:dyDescent="0.2">
      <c r="A2867" s="3">
        <v>42570</v>
      </c>
      <c r="B2867" t="s">
        <v>23</v>
      </c>
      <c r="C2867">
        <v>402</v>
      </c>
      <c r="D2867">
        <v>9</v>
      </c>
      <c r="E2867">
        <v>1</v>
      </c>
      <c r="F2867" t="s">
        <v>24</v>
      </c>
      <c r="G2867" t="s">
        <v>25</v>
      </c>
      <c r="H2867" t="s">
        <v>26</v>
      </c>
      <c r="I2867" t="s">
        <v>57</v>
      </c>
    </row>
    <row r="2868" spans="1:9" x14ac:dyDescent="0.2">
      <c r="A2868" s="3">
        <v>42570</v>
      </c>
      <c r="B2868" t="s">
        <v>23</v>
      </c>
      <c r="C2868">
        <v>402</v>
      </c>
      <c r="D2868">
        <v>9</v>
      </c>
      <c r="E2868">
        <v>2</v>
      </c>
      <c r="F2868" t="s">
        <v>24</v>
      </c>
      <c r="G2868" t="s">
        <v>25</v>
      </c>
      <c r="H2868" t="s">
        <v>26</v>
      </c>
      <c r="I2868" t="s">
        <v>57</v>
      </c>
    </row>
    <row r="2869" spans="1:9" x14ac:dyDescent="0.2">
      <c r="A2869" s="3">
        <v>42570</v>
      </c>
      <c r="B2869" t="s">
        <v>23</v>
      </c>
      <c r="C2869">
        <v>402</v>
      </c>
      <c r="D2869">
        <v>10</v>
      </c>
      <c r="E2869">
        <v>1</v>
      </c>
      <c r="F2869" t="s">
        <v>24</v>
      </c>
      <c r="G2869" t="s">
        <v>25</v>
      </c>
      <c r="H2869" t="s">
        <v>26</v>
      </c>
      <c r="I2869" t="s">
        <v>57</v>
      </c>
    </row>
    <row r="2870" spans="1:9" x14ac:dyDescent="0.2">
      <c r="A2870" s="3">
        <v>42570</v>
      </c>
      <c r="B2870" t="s">
        <v>23</v>
      </c>
      <c r="C2870">
        <v>402</v>
      </c>
      <c r="D2870">
        <v>10</v>
      </c>
      <c r="E2870">
        <v>2</v>
      </c>
      <c r="F2870" t="s">
        <v>24</v>
      </c>
      <c r="G2870" t="s">
        <v>25</v>
      </c>
      <c r="H2870" t="s">
        <v>26</v>
      </c>
      <c r="I2870" t="s">
        <v>57</v>
      </c>
    </row>
    <row r="2871" spans="1:9" x14ac:dyDescent="0.2">
      <c r="A2871" s="3">
        <v>42571</v>
      </c>
      <c r="B2871" t="s">
        <v>23</v>
      </c>
      <c r="C2871">
        <v>201</v>
      </c>
      <c r="D2871">
        <v>1</v>
      </c>
      <c r="E2871">
        <v>1</v>
      </c>
      <c r="F2871" t="s">
        <v>33</v>
      </c>
      <c r="G2871" t="s">
        <v>25</v>
      </c>
      <c r="H2871" t="s">
        <v>26</v>
      </c>
      <c r="I2871" t="s">
        <v>57</v>
      </c>
    </row>
    <row r="2872" spans="1:9" x14ac:dyDescent="0.2">
      <c r="A2872" s="3">
        <v>42571</v>
      </c>
      <c r="B2872" t="s">
        <v>23</v>
      </c>
      <c r="C2872">
        <v>201</v>
      </c>
      <c r="D2872">
        <v>1</v>
      </c>
      <c r="E2872">
        <v>2</v>
      </c>
      <c r="F2872" t="s">
        <v>33</v>
      </c>
      <c r="G2872" t="s">
        <v>25</v>
      </c>
      <c r="H2872" t="s">
        <v>26</v>
      </c>
      <c r="I2872" t="s">
        <v>57</v>
      </c>
    </row>
    <row r="2873" spans="1:9" x14ac:dyDescent="0.2">
      <c r="A2873" s="3">
        <v>42571</v>
      </c>
      <c r="B2873" t="s">
        <v>23</v>
      </c>
      <c r="C2873">
        <v>201</v>
      </c>
      <c r="D2873">
        <v>2</v>
      </c>
      <c r="E2873">
        <v>1</v>
      </c>
      <c r="F2873" t="s">
        <v>33</v>
      </c>
      <c r="G2873" t="s">
        <v>25</v>
      </c>
      <c r="H2873" t="s">
        <v>26</v>
      </c>
      <c r="I2873" t="s">
        <v>57</v>
      </c>
    </row>
    <row r="2874" spans="1:9" x14ac:dyDescent="0.2">
      <c r="A2874" s="3">
        <v>42571</v>
      </c>
      <c r="B2874" t="s">
        <v>23</v>
      </c>
      <c r="C2874">
        <v>201</v>
      </c>
      <c r="D2874">
        <v>3</v>
      </c>
      <c r="E2874">
        <v>1</v>
      </c>
      <c r="F2874" t="s">
        <v>33</v>
      </c>
      <c r="G2874" t="s">
        <v>25</v>
      </c>
      <c r="H2874" t="s">
        <v>26</v>
      </c>
      <c r="I2874" t="s">
        <v>57</v>
      </c>
    </row>
    <row r="2875" spans="1:9" x14ac:dyDescent="0.2">
      <c r="A2875" s="3">
        <v>42571</v>
      </c>
      <c r="B2875" t="s">
        <v>23</v>
      </c>
      <c r="C2875">
        <v>201</v>
      </c>
      <c r="D2875">
        <v>4</v>
      </c>
      <c r="E2875">
        <v>1</v>
      </c>
      <c r="F2875" t="s">
        <v>33</v>
      </c>
      <c r="G2875" t="s">
        <v>25</v>
      </c>
      <c r="H2875" t="s">
        <v>26</v>
      </c>
      <c r="I2875" t="s">
        <v>57</v>
      </c>
    </row>
    <row r="2876" spans="1:9" x14ac:dyDescent="0.2">
      <c r="A2876" s="3">
        <v>42571</v>
      </c>
      <c r="B2876" t="s">
        <v>23</v>
      </c>
      <c r="C2876">
        <v>201</v>
      </c>
      <c r="D2876">
        <v>4</v>
      </c>
      <c r="E2876">
        <v>2</v>
      </c>
      <c r="F2876" t="s">
        <v>33</v>
      </c>
      <c r="G2876" t="s">
        <v>25</v>
      </c>
      <c r="H2876" t="s">
        <v>26</v>
      </c>
      <c r="I2876" t="s">
        <v>57</v>
      </c>
    </row>
    <row r="2877" spans="1:9" x14ac:dyDescent="0.2">
      <c r="A2877" s="3">
        <v>42571</v>
      </c>
      <c r="B2877" t="s">
        <v>23</v>
      </c>
      <c r="C2877">
        <v>201</v>
      </c>
      <c r="D2877">
        <v>5</v>
      </c>
      <c r="E2877">
        <v>1</v>
      </c>
      <c r="F2877" t="s">
        <v>33</v>
      </c>
      <c r="G2877" t="s">
        <v>25</v>
      </c>
      <c r="H2877" t="s">
        <v>26</v>
      </c>
      <c r="I2877" t="s">
        <v>57</v>
      </c>
    </row>
    <row r="2878" spans="1:9" x14ac:dyDescent="0.2">
      <c r="A2878" s="3">
        <v>42571</v>
      </c>
      <c r="B2878" t="s">
        <v>23</v>
      </c>
      <c r="C2878">
        <v>201</v>
      </c>
      <c r="D2878">
        <v>6</v>
      </c>
      <c r="E2878">
        <v>1</v>
      </c>
      <c r="F2878" t="s">
        <v>33</v>
      </c>
      <c r="G2878" t="s">
        <v>25</v>
      </c>
      <c r="H2878" t="s">
        <v>26</v>
      </c>
      <c r="I2878" t="s">
        <v>57</v>
      </c>
    </row>
    <row r="2879" spans="1:9" x14ac:dyDescent="0.2">
      <c r="A2879" s="3">
        <v>42571</v>
      </c>
      <c r="B2879" t="s">
        <v>23</v>
      </c>
      <c r="C2879">
        <v>201</v>
      </c>
      <c r="D2879">
        <v>6</v>
      </c>
      <c r="E2879">
        <v>2</v>
      </c>
      <c r="F2879" t="s">
        <v>33</v>
      </c>
      <c r="G2879" t="s">
        <v>25</v>
      </c>
      <c r="H2879" t="s">
        <v>26</v>
      </c>
      <c r="I2879" t="s">
        <v>57</v>
      </c>
    </row>
    <row r="2880" spans="1:9" x14ac:dyDescent="0.2">
      <c r="A2880" s="3">
        <v>42571</v>
      </c>
      <c r="B2880" t="s">
        <v>23</v>
      </c>
      <c r="C2880">
        <v>201</v>
      </c>
      <c r="D2880">
        <v>7</v>
      </c>
      <c r="E2880">
        <v>1</v>
      </c>
      <c r="F2880" t="s">
        <v>33</v>
      </c>
      <c r="G2880" t="s">
        <v>25</v>
      </c>
      <c r="H2880" t="s">
        <v>26</v>
      </c>
      <c r="I2880" t="s">
        <v>57</v>
      </c>
    </row>
    <row r="2881" spans="1:9" x14ac:dyDescent="0.2">
      <c r="A2881" s="3">
        <v>42571</v>
      </c>
      <c r="B2881" t="s">
        <v>23</v>
      </c>
      <c r="C2881">
        <v>201</v>
      </c>
      <c r="D2881">
        <v>7</v>
      </c>
      <c r="E2881">
        <v>2</v>
      </c>
      <c r="F2881" t="s">
        <v>33</v>
      </c>
      <c r="G2881" t="s">
        <v>25</v>
      </c>
      <c r="H2881" t="s">
        <v>26</v>
      </c>
      <c r="I2881" t="s">
        <v>57</v>
      </c>
    </row>
    <row r="2882" spans="1:9" x14ac:dyDescent="0.2">
      <c r="A2882" s="3">
        <v>42571</v>
      </c>
      <c r="B2882" t="s">
        <v>23</v>
      </c>
      <c r="C2882">
        <v>201</v>
      </c>
      <c r="D2882">
        <v>8</v>
      </c>
      <c r="E2882">
        <v>1</v>
      </c>
      <c r="F2882" t="s">
        <v>33</v>
      </c>
      <c r="G2882" t="s">
        <v>25</v>
      </c>
      <c r="H2882" t="s">
        <v>26</v>
      </c>
      <c r="I2882" t="s">
        <v>57</v>
      </c>
    </row>
    <row r="2883" spans="1:9" x14ac:dyDescent="0.2">
      <c r="A2883" s="3">
        <v>42571</v>
      </c>
      <c r="B2883" t="s">
        <v>23</v>
      </c>
      <c r="C2883">
        <v>201</v>
      </c>
      <c r="D2883">
        <v>9</v>
      </c>
      <c r="E2883">
        <v>1</v>
      </c>
      <c r="F2883" t="s">
        <v>33</v>
      </c>
      <c r="G2883" t="s">
        <v>25</v>
      </c>
      <c r="H2883" t="s">
        <v>26</v>
      </c>
      <c r="I2883" t="s">
        <v>57</v>
      </c>
    </row>
    <row r="2884" spans="1:9" x14ac:dyDescent="0.2">
      <c r="A2884" s="3">
        <v>42571</v>
      </c>
      <c r="B2884" t="s">
        <v>23</v>
      </c>
      <c r="C2884">
        <v>201</v>
      </c>
      <c r="D2884">
        <v>9</v>
      </c>
      <c r="E2884">
        <v>2</v>
      </c>
      <c r="F2884" t="s">
        <v>33</v>
      </c>
      <c r="G2884" t="s">
        <v>25</v>
      </c>
      <c r="H2884" t="s">
        <v>26</v>
      </c>
      <c r="I2884" t="s">
        <v>57</v>
      </c>
    </row>
    <row r="2885" spans="1:9" x14ac:dyDescent="0.2">
      <c r="A2885" s="3">
        <v>42571</v>
      </c>
      <c r="B2885" t="s">
        <v>23</v>
      </c>
      <c r="C2885">
        <v>201</v>
      </c>
      <c r="D2885">
        <v>10</v>
      </c>
      <c r="E2885">
        <v>1</v>
      </c>
      <c r="F2885" t="s">
        <v>33</v>
      </c>
      <c r="G2885" t="s">
        <v>25</v>
      </c>
      <c r="H2885" t="s">
        <v>26</v>
      </c>
      <c r="I2885" t="s">
        <v>57</v>
      </c>
    </row>
    <row r="2886" spans="1:9" x14ac:dyDescent="0.2">
      <c r="A2886" s="3">
        <v>42571</v>
      </c>
      <c r="B2886" t="s">
        <v>23</v>
      </c>
      <c r="C2886">
        <v>201</v>
      </c>
      <c r="D2886">
        <v>10</v>
      </c>
      <c r="E2886">
        <v>2</v>
      </c>
      <c r="F2886" t="s">
        <v>33</v>
      </c>
      <c r="G2886" t="s">
        <v>25</v>
      </c>
      <c r="H2886" t="s">
        <v>26</v>
      </c>
      <c r="I2886" t="s">
        <v>57</v>
      </c>
    </row>
    <row r="2887" spans="1:9" x14ac:dyDescent="0.2">
      <c r="A2887" s="3">
        <v>42571</v>
      </c>
      <c r="B2887" t="s">
        <v>23</v>
      </c>
      <c r="C2887">
        <v>203</v>
      </c>
      <c r="D2887">
        <v>1</v>
      </c>
      <c r="E2887">
        <v>2</v>
      </c>
      <c r="F2887" t="s">
        <v>33</v>
      </c>
      <c r="G2887" t="s">
        <v>25</v>
      </c>
      <c r="H2887" t="s">
        <v>26</v>
      </c>
      <c r="I2887" t="s">
        <v>57</v>
      </c>
    </row>
    <row r="2888" spans="1:9" x14ac:dyDescent="0.2">
      <c r="A2888" s="3">
        <v>42571</v>
      </c>
      <c r="B2888" t="s">
        <v>23</v>
      </c>
      <c r="C2888">
        <v>203</v>
      </c>
      <c r="D2888">
        <v>2</v>
      </c>
      <c r="E2888">
        <v>1</v>
      </c>
      <c r="F2888" t="s">
        <v>33</v>
      </c>
      <c r="G2888" t="s">
        <v>25</v>
      </c>
      <c r="H2888" t="s">
        <v>26</v>
      </c>
      <c r="I2888" t="s">
        <v>57</v>
      </c>
    </row>
    <row r="2889" spans="1:9" x14ac:dyDescent="0.2">
      <c r="A2889" s="3">
        <v>42571</v>
      </c>
      <c r="B2889" t="s">
        <v>23</v>
      </c>
      <c r="C2889">
        <v>203</v>
      </c>
      <c r="D2889">
        <v>2</v>
      </c>
      <c r="E2889">
        <v>2</v>
      </c>
      <c r="F2889" t="s">
        <v>33</v>
      </c>
      <c r="G2889" t="s">
        <v>25</v>
      </c>
      <c r="H2889" t="s">
        <v>26</v>
      </c>
      <c r="I2889" t="s">
        <v>57</v>
      </c>
    </row>
    <row r="2890" spans="1:9" x14ac:dyDescent="0.2">
      <c r="A2890" s="3">
        <v>42571</v>
      </c>
      <c r="B2890" t="s">
        <v>23</v>
      </c>
      <c r="C2890">
        <v>203</v>
      </c>
      <c r="D2890">
        <v>3</v>
      </c>
      <c r="E2890">
        <v>1</v>
      </c>
      <c r="F2890" t="s">
        <v>33</v>
      </c>
      <c r="G2890" t="s">
        <v>25</v>
      </c>
      <c r="H2890" t="s">
        <v>26</v>
      </c>
      <c r="I2890" t="s">
        <v>57</v>
      </c>
    </row>
    <row r="2891" spans="1:9" x14ac:dyDescent="0.2">
      <c r="A2891" s="3">
        <v>42571</v>
      </c>
      <c r="B2891" t="s">
        <v>23</v>
      </c>
      <c r="C2891">
        <v>203</v>
      </c>
      <c r="D2891">
        <v>3</v>
      </c>
      <c r="E2891">
        <v>2</v>
      </c>
      <c r="F2891" t="s">
        <v>33</v>
      </c>
      <c r="G2891" t="s">
        <v>25</v>
      </c>
      <c r="H2891" t="s">
        <v>26</v>
      </c>
      <c r="I2891" t="s">
        <v>57</v>
      </c>
    </row>
    <row r="2892" spans="1:9" x14ac:dyDescent="0.2">
      <c r="A2892" s="3">
        <v>42571</v>
      </c>
      <c r="B2892" t="s">
        <v>23</v>
      </c>
      <c r="C2892">
        <v>203</v>
      </c>
      <c r="D2892">
        <v>4</v>
      </c>
      <c r="E2892">
        <v>1</v>
      </c>
      <c r="F2892" t="s">
        <v>33</v>
      </c>
      <c r="G2892" t="s">
        <v>25</v>
      </c>
      <c r="H2892" t="s">
        <v>26</v>
      </c>
      <c r="I2892" t="s">
        <v>57</v>
      </c>
    </row>
    <row r="2893" spans="1:9" x14ac:dyDescent="0.2">
      <c r="A2893" s="3">
        <v>42571</v>
      </c>
      <c r="B2893" t="s">
        <v>23</v>
      </c>
      <c r="C2893">
        <v>203</v>
      </c>
      <c r="D2893">
        <v>5</v>
      </c>
      <c r="E2893">
        <v>1</v>
      </c>
      <c r="F2893" t="s">
        <v>33</v>
      </c>
      <c r="G2893" t="s">
        <v>25</v>
      </c>
      <c r="H2893" t="s">
        <v>26</v>
      </c>
      <c r="I2893" t="s">
        <v>57</v>
      </c>
    </row>
    <row r="2894" spans="1:9" x14ac:dyDescent="0.2">
      <c r="A2894" s="3">
        <v>42571</v>
      </c>
      <c r="B2894" t="s">
        <v>23</v>
      </c>
      <c r="C2894">
        <v>203</v>
      </c>
      <c r="D2894">
        <v>5</v>
      </c>
      <c r="E2894">
        <v>2</v>
      </c>
      <c r="F2894" t="s">
        <v>33</v>
      </c>
      <c r="G2894" t="s">
        <v>25</v>
      </c>
      <c r="H2894" t="s">
        <v>26</v>
      </c>
      <c r="I2894" t="s">
        <v>57</v>
      </c>
    </row>
    <row r="2895" spans="1:9" x14ac:dyDescent="0.2">
      <c r="A2895" s="3">
        <v>42571</v>
      </c>
      <c r="B2895" t="s">
        <v>23</v>
      </c>
      <c r="C2895">
        <v>203</v>
      </c>
      <c r="D2895">
        <v>6</v>
      </c>
      <c r="E2895">
        <v>1</v>
      </c>
      <c r="F2895" t="s">
        <v>33</v>
      </c>
      <c r="G2895" t="s">
        <v>25</v>
      </c>
      <c r="H2895" t="s">
        <v>26</v>
      </c>
      <c r="I2895" t="s">
        <v>57</v>
      </c>
    </row>
    <row r="2896" spans="1:9" x14ac:dyDescent="0.2">
      <c r="A2896" s="3">
        <v>42571</v>
      </c>
      <c r="B2896" t="s">
        <v>23</v>
      </c>
      <c r="C2896">
        <v>203</v>
      </c>
      <c r="D2896">
        <v>7</v>
      </c>
      <c r="E2896">
        <v>1</v>
      </c>
      <c r="F2896" t="s">
        <v>33</v>
      </c>
      <c r="G2896" t="s">
        <v>25</v>
      </c>
      <c r="H2896" t="s">
        <v>26</v>
      </c>
      <c r="I2896" t="s">
        <v>57</v>
      </c>
    </row>
    <row r="2897" spans="1:9" x14ac:dyDescent="0.2">
      <c r="A2897" s="3">
        <v>42571</v>
      </c>
      <c r="B2897" t="s">
        <v>23</v>
      </c>
      <c r="C2897">
        <v>203</v>
      </c>
      <c r="D2897">
        <v>7</v>
      </c>
      <c r="E2897">
        <v>2</v>
      </c>
      <c r="F2897" t="s">
        <v>33</v>
      </c>
      <c r="G2897" t="s">
        <v>25</v>
      </c>
      <c r="H2897" t="s">
        <v>26</v>
      </c>
      <c r="I2897" t="s">
        <v>57</v>
      </c>
    </row>
    <row r="2898" spans="1:9" x14ac:dyDescent="0.2">
      <c r="A2898" s="3">
        <v>42571</v>
      </c>
      <c r="B2898" t="s">
        <v>23</v>
      </c>
      <c r="C2898">
        <v>203</v>
      </c>
      <c r="D2898">
        <v>8</v>
      </c>
      <c r="E2898">
        <v>1</v>
      </c>
      <c r="F2898" t="s">
        <v>33</v>
      </c>
      <c r="G2898" t="s">
        <v>25</v>
      </c>
      <c r="H2898" t="s">
        <v>26</v>
      </c>
      <c r="I2898" t="s">
        <v>57</v>
      </c>
    </row>
    <row r="2899" spans="1:9" x14ac:dyDescent="0.2">
      <c r="A2899" s="3">
        <v>42571</v>
      </c>
      <c r="B2899" t="s">
        <v>23</v>
      </c>
      <c r="C2899">
        <v>203</v>
      </c>
      <c r="D2899">
        <v>8</v>
      </c>
      <c r="E2899">
        <v>2</v>
      </c>
      <c r="F2899" t="s">
        <v>33</v>
      </c>
      <c r="G2899" t="s">
        <v>25</v>
      </c>
      <c r="H2899" t="s">
        <v>26</v>
      </c>
      <c r="I2899" t="s">
        <v>57</v>
      </c>
    </row>
    <row r="2900" spans="1:9" x14ac:dyDescent="0.2">
      <c r="A2900" s="3">
        <v>42571</v>
      </c>
      <c r="B2900" t="s">
        <v>23</v>
      </c>
      <c r="C2900">
        <v>203</v>
      </c>
      <c r="D2900">
        <v>9</v>
      </c>
      <c r="E2900">
        <v>1</v>
      </c>
      <c r="F2900" t="s">
        <v>33</v>
      </c>
      <c r="G2900" t="s">
        <v>25</v>
      </c>
      <c r="H2900" t="s">
        <v>26</v>
      </c>
      <c r="I2900" t="s">
        <v>57</v>
      </c>
    </row>
    <row r="2901" spans="1:9" x14ac:dyDescent="0.2">
      <c r="A2901" s="3">
        <v>42571</v>
      </c>
      <c r="B2901" t="s">
        <v>23</v>
      </c>
      <c r="C2901">
        <v>203</v>
      </c>
      <c r="D2901">
        <v>9</v>
      </c>
      <c r="E2901">
        <v>2</v>
      </c>
      <c r="F2901" t="s">
        <v>33</v>
      </c>
      <c r="G2901" t="s">
        <v>25</v>
      </c>
      <c r="H2901" t="s">
        <v>26</v>
      </c>
      <c r="I2901" t="s">
        <v>57</v>
      </c>
    </row>
    <row r="2902" spans="1:9" x14ac:dyDescent="0.2">
      <c r="A2902" s="3">
        <v>42571</v>
      </c>
      <c r="B2902" t="s">
        <v>23</v>
      </c>
      <c r="C2902">
        <v>203</v>
      </c>
      <c r="D2902">
        <v>10</v>
      </c>
      <c r="E2902">
        <v>1</v>
      </c>
      <c r="F2902" t="s">
        <v>33</v>
      </c>
      <c r="G2902" t="s">
        <v>25</v>
      </c>
      <c r="H2902" t="s">
        <v>26</v>
      </c>
      <c r="I2902" t="s">
        <v>57</v>
      </c>
    </row>
    <row r="2903" spans="1:9" x14ac:dyDescent="0.2">
      <c r="A2903" s="3">
        <v>42571</v>
      </c>
      <c r="B2903" t="s">
        <v>23</v>
      </c>
      <c r="C2903">
        <v>203</v>
      </c>
      <c r="D2903">
        <v>10</v>
      </c>
      <c r="E2903">
        <v>2</v>
      </c>
      <c r="F2903" t="s">
        <v>33</v>
      </c>
      <c r="G2903" t="s">
        <v>25</v>
      </c>
      <c r="H2903" t="s">
        <v>26</v>
      </c>
      <c r="I2903" t="s">
        <v>57</v>
      </c>
    </row>
    <row r="2904" spans="1:9" x14ac:dyDescent="0.2">
      <c r="A2904" s="3">
        <v>42571</v>
      </c>
      <c r="B2904" t="s">
        <v>23</v>
      </c>
      <c r="C2904">
        <v>202</v>
      </c>
      <c r="D2904">
        <v>1</v>
      </c>
      <c r="E2904">
        <v>1</v>
      </c>
      <c r="F2904" t="s">
        <v>33</v>
      </c>
      <c r="G2904" t="s">
        <v>25</v>
      </c>
      <c r="H2904" t="s">
        <v>26</v>
      </c>
      <c r="I2904" t="s">
        <v>57</v>
      </c>
    </row>
    <row r="2905" spans="1:9" x14ac:dyDescent="0.2">
      <c r="A2905" s="3">
        <v>42571</v>
      </c>
      <c r="B2905" t="s">
        <v>23</v>
      </c>
      <c r="C2905">
        <v>202</v>
      </c>
      <c r="D2905">
        <v>3</v>
      </c>
      <c r="E2905">
        <v>1</v>
      </c>
      <c r="F2905" t="s">
        <v>33</v>
      </c>
      <c r="G2905" t="s">
        <v>25</v>
      </c>
      <c r="H2905" t="s">
        <v>26</v>
      </c>
      <c r="I2905" t="s">
        <v>57</v>
      </c>
    </row>
    <row r="2906" spans="1:9" x14ac:dyDescent="0.2">
      <c r="A2906" s="3">
        <v>42571</v>
      </c>
      <c r="B2906" t="s">
        <v>23</v>
      </c>
      <c r="C2906">
        <v>202</v>
      </c>
      <c r="D2906">
        <v>3</v>
      </c>
      <c r="E2906">
        <v>2</v>
      </c>
      <c r="F2906" t="s">
        <v>33</v>
      </c>
      <c r="G2906" t="s">
        <v>25</v>
      </c>
      <c r="H2906" t="s">
        <v>26</v>
      </c>
      <c r="I2906" t="s">
        <v>57</v>
      </c>
    </row>
    <row r="2907" spans="1:9" x14ac:dyDescent="0.2">
      <c r="A2907" s="3">
        <v>42571</v>
      </c>
      <c r="B2907" t="s">
        <v>23</v>
      </c>
      <c r="C2907">
        <v>202</v>
      </c>
      <c r="D2907">
        <v>5</v>
      </c>
      <c r="E2907">
        <v>1</v>
      </c>
      <c r="F2907" t="s">
        <v>33</v>
      </c>
      <c r="G2907" t="s">
        <v>25</v>
      </c>
      <c r="H2907" t="s">
        <v>26</v>
      </c>
      <c r="I2907" t="s">
        <v>57</v>
      </c>
    </row>
    <row r="2908" spans="1:9" x14ac:dyDescent="0.2">
      <c r="A2908" s="3">
        <v>42571</v>
      </c>
      <c r="B2908" t="s">
        <v>23</v>
      </c>
      <c r="C2908">
        <v>202</v>
      </c>
      <c r="D2908">
        <v>6</v>
      </c>
      <c r="E2908">
        <v>1</v>
      </c>
      <c r="F2908" t="s">
        <v>33</v>
      </c>
      <c r="G2908" t="s">
        <v>25</v>
      </c>
      <c r="H2908" t="s">
        <v>26</v>
      </c>
      <c r="I2908" t="s">
        <v>57</v>
      </c>
    </row>
    <row r="2909" spans="1:9" x14ac:dyDescent="0.2">
      <c r="A2909" s="3">
        <v>42571</v>
      </c>
      <c r="B2909" t="s">
        <v>23</v>
      </c>
      <c r="C2909">
        <v>202</v>
      </c>
      <c r="D2909">
        <v>6</v>
      </c>
      <c r="E2909">
        <v>2</v>
      </c>
      <c r="F2909" t="s">
        <v>33</v>
      </c>
      <c r="G2909" t="s">
        <v>25</v>
      </c>
      <c r="H2909" t="s">
        <v>26</v>
      </c>
      <c r="I2909" t="s">
        <v>57</v>
      </c>
    </row>
    <row r="2910" spans="1:9" x14ac:dyDescent="0.2">
      <c r="A2910" s="3">
        <v>42571</v>
      </c>
      <c r="B2910" t="s">
        <v>23</v>
      </c>
      <c r="C2910">
        <v>202</v>
      </c>
      <c r="D2910">
        <v>8</v>
      </c>
      <c r="E2910">
        <v>1</v>
      </c>
      <c r="F2910" t="s">
        <v>33</v>
      </c>
      <c r="G2910" t="s">
        <v>25</v>
      </c>
      <c r="H2910" t="s">
        <v>26</v>
      </c>
      <c r="I2910" t="s">
        <v>57</v>
      </c>
    </row>
    <row r="2911" spans="1:9" x14ac:dyDescent="0.2">
      <c r="A2911" s="3">
        <v>42571</v>
      </c>
      <c r="B2911" t="s">
        <v>23</v>
      </c>
      <c r="C2911">
        <v>202</v>
      </c>
      <c r="D2911">
        <v>8</v>
      </c>
      <c r="E2911">
        <v>2</v>
      </c>
      <c r="F2911" t="s">
        <v>33</v>
      </c>
      <c r="G2911" t="s">
        <v>25</v>
      </c>
      <c r="H2911" t="s">
        <v>26</v>
      </c>
      <c r="I2911" t="s">
        <v>57</v>
      </c>
    </row>
    <row r="2912" spans="1:9" x14ac:dyDescent="0.2">
      <c r="A2912" s="3">
        <v>42571</v>
      </c>
      <c r="B2912" t="s">
        <v>23</v>
      </c>
      <c r="C2912">
        <v>304</v>
      </c>
      <c r="D2912">
        <v>3</v>
      </c>
      <c r="E2912">
        <v>2</v>
      </c>
      <c r="F2912" t="s">
        <v>33</v>
      </c>
      <c r="G2912" t="s">
        <v>25</v>
      </c>
      <c r="H2912" t="s">
        <v>26</v>
      </c>
      <c r="I2912" t="s">
        <v>57</v>
      </c>
    </row>
    <row r="2913" spans="1:9" x14ac:dyDescent="0.2">
      <c r="A2913" s="3">
        <v>42571</v>
      </c>
      <c r="B2913" t="s">
        <v>23</v>
      </c>
      <c r="C2913">
        <v>304</v>
      </c>
      <c r="D2913">
        <v>5</v>
      </c>
      <c r="E2913">
        <v>1</v>
      </c>
      <c r="F2913" t="s">
        <v>33</v>
      </c>
      <c r="G2913" t="s">
        <v>25</v>
      </c>
      <c r="H2913" t="s">
        <v>26</v>
      </c>
      <c r="I2913" t="s">
        <v>57</v>
      </c>
    </row>
    <row r="2914" spans="1:9" x14ac:dyDescent="0.2">
      <c r="A2914" s="3">
        <v>42571</v>
      </c>
      <c r="B2914" t="s">
        <v>23</v>
      </c>
      <c r="C2914">
        <v>304</v>
      </c>
      <c r="D2914">
        <v>6</v>
      </c>
      <c r="E2914">
        <v>1</v>
      </c>
      <c r="F2914" t="s">
        <v>33</v>
      </c>
      <c r="G2914" t="s">
        <v>25</v>
      </c>
      <c r="H2914" t="s">
        <v>26</v>
      </c>
      <c r="I2914" t="s">
        <v>57</v>
      </c>
    </row>
    <row r="2915" spans="1:9" x14ac:dyDescent="0.2">
      <c r="A2915" s="3">
        <v>42571</v>
      </c>
      <c r="B2915" t="s">
        <v>23</v>
      </c>
      <c r="C2915">
        <v>304</v>
      </c>
      <c r="D2915">
        <v>6</v>
      </c>
      <c r="E2915">
        <v>2</v>
      </c>
      <c r="F2915" t="s">
        <v>33</v>
      </c>
      <c r="G2915" t="s">
        <v>25</v>
      </c>
      <c r="H2915" t="s">
        <v>26</v>
      </c>
      <c r="I2915" t="s">
        <v>57</v>
      </c>
    </row>
    <row r="2916" spans="1:9" x14ac:dyDescent="0.2">
      <c r="A2916" s="3">
        <v>42571</v>
      </c>
      <c r="B2916" t="s">
        <v>23</v>
      </c>
      <c r="C2916">
        <v>304</v>
      </c>
      <c r="D2916">
        <v>7</v>
      </c>
      <c r="E2916">
        <v>1</v>
      </c>
      <c r="F2916" t="s">
        <v>33</v>
      </c>
      <c r="G2916" t="s">
        <v>25</v>
      </c>
      <c r="H2916" t="s">
        <v>26</v>
      </c>
      <c r="I2916" t="s">
        <v>57</v>
      </c>
    </row>
    <row r="2917" spans="1:9" x14ac:dyDescent="0.2">
      <c r="A2917" s="3">
        <v>42571</v>
      </c>
      <c r="B2917" t="s">
        <v>23</v>
      </c>
      <c r="C2917">
        <v>304</v>
      </c>
      <c r="D2917">
        <v>7</v>
      </c>
      <c r="E2917">
        <v>2</v>
      </c>
      <c r="F2917" t="s">
        <v>33</v>
      </c>
      <c r="G2917" t="s">
        <v>25</v>
      </c>
      <c r="H2917" t="s">
        <v>26</v>
      </c>
      <c r="I2917" t="s">
        <v>57</v>
      </c>
    </row>
    <row r="2918" spans="1:9" x14ac:dyDescent="0.2">
      <c r="A2918" s="3">
        <v>42571</v>
      </c>
      <c r="B2918" t="s">
        <v>23</v>
      </c>
      <c r="C2918">
        <v>304</v>
      </c>
      <c r="D2918">
        <v>9</v>
      </c>
      <c r="E2918">
        <v>1</v>
      </c>
      <c r="F2918" t="s">
        <v>33</v>
      </c>
      <c r="G2918" t="s">
        <v>25</v>
      </c>
      <c r="H2918" t="s">
        <v>26</v>
      </c>
      <c r="I2918" t="s">
        <v>57</v>
      </c>
    </row>
    <row r="2919" spans="1:9" x14ac:dyDescent="0.2">
      <c r="A2919" s="3">
        <v>42571</v>
      </c>
      <c r="B2919" t="s">
        <v>23</v>
      </c>
      <c r="C2919">
        <v>304</v>
      </c>
      <c r="D2919">
        <v>9</v>
      </c>
      <c r="E2919">
        <v>2</v>
      </c>
      <c r="F2919" t="s">
        <v>33</v>
      </c>
      <c r="G2919" t="s">
        <v>25</v>
      </c>
      <c r="H2919" t="s">
        <v>26</v>
      </c>
      <c r="I2919" t="s">
        <v>57</v>
      </c>
    </row>
    <row r="2920" spans="1:9" x14ac:dyDescent="0.2">
      <c r="A2920" s="3">
        <v>42571</v>
      </c>
      <c r="B2920" t="s">
        <v>23</v>
      </c>
      <c r="C2920">
        <v>111</v>
      </c>
      <c r="D2920">
        <v>3</v>
      </c>
      <c r="E2920">
        <v>1</v>
      </c>
      <c r="F2920" t="s">
        <v>24</v>
      </c>
      <c r="G2920" t="s">
        <v>25</v>
      </c>
      <c r="H2920" t="s">
        <v>26</v>
      </c>
      <c r="I2920" t="s">
        <v>57</v>
      </c>
    </row>
    <row r="2921" spans="1:9" x14ac:dyDescent="0.2">
      <c r="A2921" s="3">
        <v>42571</v>
      </c>
      <c r="B2921" t="s">
        <v>23</v>
      </c>
      <c r="C2921">
        <v>111</v>
      </c>
      <c r="D2921">
        <v>1</v>
      </c>
      <c r="E2921">
        <v>1</v>
      </c>
      <c r="F2921" t="s">
        <v>24</v>
      </c>
      <c r="G2921" t="s">
        <v>25</v>
      </c>
      <c r="H2921" t="s">
        <v>26</v>
      </c>
      <c r="I2921" t="s">
        <v>57</v>
      </c>
    </row>
    <row r="2922" spans="1:9" x14ac:dyDescent="0.2">
      <c r="A2922" s="3">
        <v>42571</v>
      </c>
      <c r="B2922" t="s">
        <v>23</v>
      </c>
      <c r="C2922">
        <v>111</v>
      </c>
      <c r="D2922">
        <v>9</v>
      </c>
      <c r="E2922">
        <v>2</v>
      </c>
      <c r="F2922" t="s">
        <v>24</v>
      </c>
      <c r="G2922" t="s">
        <v>25</v>
      </c>
      <c r="H2922" t="s">
        <v>26</v>
      </c>
      <c r="I2922" t="s">
        <v>57</v>
      </c>
    </row>
    <row r="2923" spans="1:9" x14ac:dyDescent="0.2">
      <c r="A2923" s="3">
        <v>42571</v>
      </c>
      <c r="B2923" t="s">
        <v>23</v>
      </c>
      <c r="C2923">
        <v>111</v>
      </c>
      <c r="D2923">
        <v>10</v>
      </c>
      <c r="E2923">
        <v>1</v>
      </c>
      <c r="F2923" t="s">
        <v>24</v>
      </c>
      <c r="G2923" t="s">
        <v>25</v>
      </c>
      <c r="H2923" t="s">
        <v>26</v>
      </c>
      <c r="I2923" t="s">
        <v>57</v>
      </c>
    </row>
    <row r="2924" spans="1:9" x14ac:dyDescent="0.2">
      <c r="A2924" s="3">
        <v>42571</v>
      </c>
      <c r="B2924" t="s">
        <v>23</v>
      </c>
      <c r="C2924">
        <v>112</v>
      </c>
      <c r="D2924">
        <v>1</v>
      </c>
      <c r="E2924">
        <v>1</v>
      </c>
      <c r="F2924" t="s">
        <v>24</v>
      </c>
      <c r="G2924" t="s">
        <v>25</v>
      </c>
      <c r="H2924" t="s">
        <v>26</v>
      </c>
      <c r="I2924" t="s">
        <v>57</v>
      </c>
    </row>
    <row r="2925" spans="1:9" x14ac:dyDescent="0.2">
      <c r="A2925" s="3">
        <v>42571</v>
      </c>
      <c r="B2925" t="s">
        <v>23</v>
      </c>
      <c r="C2925">
        <v>112</v>
      </c>
      <c r="D2925">
        <v>2</v>
      </c>
      <c r="E2925">
        <v>2</v>
      </c>
      <c r="F2925" t="s">
        <v>24</v>
      </c>
      <c r="G2925" t="s">
        <v>25</v>
      </c>
      <c r="H2925" t="s">
        <v>26</v>
      </c>
      <c r="I2925" t="s">
        <v>57</v>
      </c>
    </row>
    <row r="2926" spans="1:9" x14ac:dyDescent="0.2">
      <c r="A2926" s="3">
        <v>42571</v>
      </c>
      <c r="B2926" t="s">
        <v>23</v>
      </c>
      <c r="C2926">
        <v>112</v>
      </c>
      <c r="D2926">
        <v>3</v>
      </c>
      <c r="E2926">
        <v>1</v>
      </c>
      <c r="F2926" t="s">
        <v>24</v>
      </c>
      <c r="G2926" t="s">
        <v>25</v>
      </c>
      <c r="H2926" t="s">
        <v>26</v>
      </c>
      <c r="I2926" t="s">
        <v>57</v>
      </c>
    </row>
    <row r="2927" spans="1:9" x14ac:dyDescent="0.2">
      <c r="A2927" s="3">
        <v>42571</v>
      </c>
      <c r="B2927" t="s">
        <v>23</v>
      </c>
      <c r="C2927">
        <v>112</v>
      </c>
      <c r="D2927">
        <v>3</v>
      </c>
      <c r="E2927">
        <v>2</v>
      </c>
      <c r="F2927" t="s">
        <v>24</v>
      </c>
      <c r="G2927" t="s">
        <v>25</v>
      </c>
      <c r="H2927" t="s">
        <v>26</v>
      </c>
      <c r="I2927" t="s">
        <v>57</v>
      </c>
    </row>
    <row r="2928" spans="1:9" x14ac:dyDescent="0.2">
      <c r="A2928" s="3">
        <v>42571</v>
      </c>
      <c r="B2928" t="s">
        <v>23</v>
      </c>
      <c r="C2928">
        <v>112</v>
      </c>
      <c r="D2928">
        <v>4</v>
      </c>
      <c r="E2928">
        <v>1</v>
      </c>
      <c r="F2928" t="s">
        <v>24</v>
      </c>
      <c r="G2928" t="s">
        <v>25</v>
      </c>
      <c r="H2928" t="s">
        <v>26</v>
      </c>
      <c r="I2928" t="s">
        <v>57</v>
      </c>
    </row>
    <row r="2929" spans="1:9" x14ac:dyDescent="0.2">
      <c r="A2929" s="3">
        <v>42571</v>
      </c>
      <c r="B2929" t="s">
        <v>23</v>
      </c>
      <c r="C2929">
        <v>112</v>
      </c>
      <c r="D2929">
        <v>6</v>
      </c>
      <c r="E2929">
        <v>1</v>
      </c>
      <c r="F2929" t="s">
        <v>24</v>
      </c>
      <c r="G2929" t="s">
        <v>25</v>
      </c>
      <c r="H2929" t="s">
        <v>26</v>
      </c>
      <c r="I2929" t="s">
        <v>57</v>
      </c>
    </row>
    <row r="2930" spans="1:9" x14ac:dyDescent="0.2">
      <c r="A2930" s="3">
        <v>42571</v>
      </c>
      <c r="B2930" t="s">
        <v>23</v>
      </c>
      <c r="C2930">
        <v>112</v>
      </c>
      <c r="D2930">
        <v>9</v>
      </c>
      <c r="E2930">
        <v>1</v>
      </c>
      <c r="F2930" t="s">
        <v>24</v>
      </c>
      <c r="G2930" t="s">
        <v>25</v>
      </c>
      <c r="H2930" t="s">
        <v>26</v>
      </c>
      <c r="I2930" t="s">
        <v>57</v>
      </c>
    </row>
    <row r="2931" spans="1:9" x14ac:dyDescent="0.2">
      <c r="A2931" s="3">
        <v>42571</v>
      </c>
      <c r="B2931" t="s">
        <v>23</v>
      </c>
      <c r="C2931">
        <v>113</v>
      </c>
      <c r="D2931">
        <v>6</v>
      </c>
      <c r="E2931">
        <v>1</v>
      </c>
      <c r="F2931" t="s">
        <v>24</v>
      </c>
      <c r="G2931" t="s">
        <v>25</v>
      </c>
      <c r="H2931" t="s">
        <v>26</v>
      </c>
      <c r="I2931" t="s">
        <v>57</v>
      </c>
    </row>
    <row r="2932" spans="1:9" x14ac:dyDescent="0.2">
      <c r="A2932" s="3">
        <v>42571</v>
      </c>
      <c r="B2932" t="s">
        <v>23</v>
      </c>
      <c r="C2932">
        <v>113</v>
      </c>
      <c r="D2932">
        <v>7</v>
      </c>
      <c r="E2932">
        <v>2</v>
      </c>
      <c r="F2932" t="s">
        <v>24</v>
      </c>
      <c r="G2932" t="s">
        <v>25</v>
      </c>
      <c r="H2932" t="s">
        <v>26</v>
      </c>
      <c r="I2932" t="s">
        <v>57</v>
      </c>
    </row>
    <row r="2933" spans="1:9" x14ac:dyDescent="0.2">
      <c r="A2933" s="3">
        <v>42571</v>
      </c>
      <c r="B2933" t="s">
        <v>23</v>
      </c>
      <c r="C2933">
        <v>113</v>
      </c>
      <c r="D2933">
        <v>8</v>
      </c>
      <c r="E2933">
        <v>1</v>
      </c>
      <c r="F2933" t="s">
        <v>24</v>
      </c>
      <c r="G2933" t="s">
        <v>25</v>
      </c>
      <c r="H2933" t="s">
        <v>26</v>
      </c>
      <c r="I2933" t="s">
        <v>57</v>
      </c>
    </row>
    <row r="2934" spans="1:9" x14ac:dyDescent="0.2">
      <c r="A2934" s="3">
        <v>42571</v>
      </c>
      <c r="B2934" t="s">
        <v>23</v>
      </c>
      <c r="C2934">
        <v>113</v>
      </c>
      <c r="D2934">
        <v>10</v>
      </c>
      <c r="E2934">
        <v>1</v>
      </c>
      <c r="F2934" t="s">
        <v>24</v>
      </c>
      <c r="G2934" t="s">
        <v>25</v>
      </c>
      <c r="H2934" t="s">
        <v>26</v>
      </c>
      <c r="I2934" t="s">
        <v>57</v>
      </c>
    </row>
    <row r="2935" spans="1:9" x14ac:dyDescent="0.2">
      <c r="A2935" s="3">
        <v>42571</v>
      </c>
      <c r="B2935" t="s">
        <v>23</v>
      </c>
      <c r="C2935">
        <v>402</v>
      </c>
      <c r="D2935">
        <v>3</v>
      </c>
      <c r="E2935">
        <v>1</v>
      </c>
      <c r="F2935" t="s">
        <v>24</v>
      </c>
      <c r="G2935" t="s">
        <v>25</v>
      </c>
      <c r="H2935" t="s">
        <v>26</v>
      </c>
      <c r="I2935" t="s">
        <v>57</v>
      </c>
    </row>
    <row r="2936" spans="1:9" x14ac:dyDescent="0.2">
      <c r="A2936" s="3">
        <v>42571</v>
      </c>
      <c r="B2936" t="s">
        <v>23</v>
      </c>
      <c r="C2936">
        <v>402</v>
      </c>
      <c r="D2936">
        <v>5</v>
      </c>
      <c r="E2936">
        <v>1</v>
      </c>
      <c r="F2936" t="s">
        <v>24</v>
      </c>
      <c r="G2936" t="s">
        <v>25</v>
      </c>
      <c r="H2936" t="s">
        <v>26</v>
      </c>
      <c r="I2936" t="s">
        <v>57</v>
      </c>
    </row>
    <row r="2937" spans="1:9" x14ac:dyDescent="0.2">
      <c r="A2937" s="3">
        <v>42572</v>
      </c>
      <c r="B2937" t="s">
        <v>23</v>
      </c>
      <c r="C2937">
        <v>201</v>
      </c>
      <c r="D2937">
        <v>1</v>
      </c>
      <c r="E2937">
        <v>2</v>
      </c>
      <c r="F2937" t="s">
        <v>33</v>
      </c>
      <c r="G2937" t="s">
        <v>25</v>
      </c>
      <c r="H2937" t="s">
        <v>26</v>
      </c>
      <c r="I2937" t="s">
        <v>57</v>
      </c>
    </row>
    <row r="2938" spans="1:9" x14ac:dyDescent="0.2">
      <c r="A2938" s="3">
        <v>42572</v>
      </c>
      <c r="B2938" t="s">
        <v>23</v>
      </c>
      <c r="C2938">
        <v>201</v>
      </c>
      <c r="D2938">
        <v>3</v>
      </c>
      <c r="E2938">
        <v>1</v>
      </c>
      <c r="F2938" t="s">
        <v>33</v>
      </c>
      <c r="G2938" t="s">
        <v>25</v>
      </c>
      <c r="H2938" t="s">
        <v>26</v>
      </c>
      <c r="I2938" t="s">
        <v>57</v>
      </c>
    </row>
    <row r="2939" spans="1:9" x14ac:dyDescent="0.2">
      <c r="A2939" s="3">
        <v>42572</v>
      </c>
      <c r="B2939" t="s">
        <v>23</v>
      </c>
      <c r="C2939">
        <v>201</v>
      </c>
      <c r="D2939">
        <v>5</v>
      </c>
      <c r="E2939">
        <v>1</v>
      </c>
      <c r="F2939" t="s">
        <v>33</v>
      </c>
      <c r="G2939" t="s">
        <v>25</v>
      </c>
      <c r="H2939" t="s">
        <v>26</v>
      </c>
      <c r="I2939" t="s">
        <v>57</v>
      </c>
    </row>
    <row r="2940" spans="1:9" x14ac:dyDescent="0.2">
      <c r="A2940" s="3">
        <v>42572</v>
      </c>
      <c r="B2940" t="s">
        <v>23</v>
      </c>
      <c r="C2940">
        <v>201</v>
      </c>
      <c r="D2940">
        <v>6</v>
      </c>
      <c r="E2940">
        <v>1</v>
      </c>
      <c r="F2940" t="s">
        <v>33</v>
      </c>
      <c r="G2940" t="s">
        <v>25</v>
      </c>
      <c r="H2940" t="s">
        <v>26</v>
      </c>
      <c r="I2940" t="s">
        <v>57</v>
      </c>
    </row>
    <row r="2941" spans="1:9" x14ac:dyDescent="0.2">
      <c r="A2941" s="3">
        <v>42572</v>
      </c>
      <c r="B2941" t="s">
        <v>23</v>
      </c>
      <c r="C2941">
        <v>201</v>
      </c>
      <c r="D2941">
        <v>6</v>
      </c>
      <c r="E2941">
        <v>2</v>
      </c>
      <c r="F2941" t="s">
        <v>33</v>
      </c>
      <c r="G2941" t="s">
        <v>25</v>
      </c>
      <c r="H2941" t="s">
        <v>26</v>
      </c>
      <c r="I2941" t="s">
        <v>57</v>
      </c>
    </row>
    <row r="2942" spans="1:9" x14ac:dyDescent="0.2">
      <c r="A2942" s="3">
        <v>42572</v>
      </c>
      <c r="B2942" t="s">
        <v>23</v>
      </c>
      <c r="C2942">
        <v>203</v>
      </c>
      <c r="D2942">
        <v>1</v>
      </c>
      <c r="E2942">
        <v>1</v>
      </c>
      <c r="F2942" t="s">
        <v>33</v>
      </c>
      <c r="G2942" t="s">
        <v>25</v>
      </c>
      <c r="H2942" t="s">
        <v>26</v>
      </c>
      <c r="I2942" t="s">
        <v>57</v>
      </c>
    </row>
    <row r="2943" spans="1:9" x14ac:dyDescent="0.2">
      <c r="A2943" s="3">
        <v>42572</v>
      </c>
      <c r="B2943" t="s">
        <v>23</v>
      </c>
      <c r="C2943">
        <v>203</v>
      </c>
      <c r="D2943">
        <v>6</v>
      </c>
      <c r="E2943">
        <v>2</v>
      </c>
      <c r="F2943" t="s">
        <v>33</v>
      </c>
      <c r="G2943" t="s">
        <v>25</v>
      </c>
      <c r="H2943" t="s">
        <v>26</v>
      </c>
      <c r="I2943" t="s">
        <v>57</v>
      </c>
    </row>
    <row r="2944" spans="1:9" x14ac:dyDescent="0.2">
      <c r="A2944" s="3">
        <v>42572</v>
      </c>
      <c r="B2944" t="s">
        <v>23</v>
      </c>
      <c r="C2944">
        <v>203</v>
      </c>
      <c r="D2944">
        <v>9</v>
      </c>
      <c r="E2944">
        <v>2</v>
      </c>
      <c r="F2944" t="s">
        <v>33</v>
      </c>
      <c r="G2944" t="s">
        <v>25</v>
      </c>
      <c r="H2944" t="s">
        <v>26</v>
      </c>
      <c r="I2944" t="s">
        <v>57</v>
      </c>
    </row>
    <row r="2945" spans="1:9" x14ac:dyDescent="0.2">
      <c r="A2945" s="3">
        <v>42572</v>
      </c>
      <c r="B2945" t="s">
        <v>23</v>
      </c>
      <c r="C2945">
        <v>202</v>
      </c>
      <c r="D2945">
        <v>1</v>
      </c>
      <c r="E2945">
        <v>1</v>
      </c>
      <c r="F2945" t="s">
        <v>33</v>
      </c>
      <c r="G2945" t="s">
        <v>25</v>
      </c>
      <c r="H2945" t="s">
        <v>26</v>
      </c>
      <c r="I2945" t="s">
        <v>57</v>
      </c>
    </row>
    <row r="2946" spans="1:9" x14ac:dyDescent="0.2">
      <c r="A2946" s="3">
        <v>42572</v>
      </c>
      <c r="B2946" t="s">
        <v>23</v>
      </c>
      <c r="C2946">
        <v>202</v>
      </c>
      <c r="D2946">
        <v>2</v>
      </c>
      <c r="E2946">
        <v>1</v>
      </c>
      <c r="F2946" t="s">
        <v>33</v>
      </c>
      <c r="G2946" t="s">
        <v>25</v>
      </c>
      <c r="H2946" t="s">
        <v>26</v>
      </c>
      <c r="I2946" t="s">
        <v>57</v>
      </c>
    </row>
    <row r="2947" spans="1:9" x14ac:dyDescent="0.2">
      <c r="A2947" s="3">
        <v>42572</v>
      </c>
      <c r="B2947" t="s">
        <v>23</v>
      </c>
      <c r="C2947">
        <v>202</v>
      </c>
      <c r="D2947">
        <v>2</v>
      </c>
      <c r="E2947">
        <v>2</v>
      </c>
      <c r="F2947" t="s">
        <v>33</v>
      </c>
      <c r="G2947" t="s">
        <v>25</v>
      </c>
      <c r="H2947" t="s">
        <v>26</v>
      </c>
      <c r="I2947" t="s">
        <v>57</v>
      </c>
    </row>
    <row r="2948" spans="1:9" x14ac:dyDescent="0.2">
      <c r="A2948" s="3">
        <v>42572</v>
      </c>
      <c r="B2948" t="s">
        <v>23</v>
      </c>
      <c r="C2948">
        <v>202</v>
      </c>
      <c r="D2948">
        <v>3</v>
      </c>
      <c r="E2948">
        <v>1</v>
      </c>
      <c r="F2948" t="s">
        <v>33</v>
      </c>
      <c r="G2948" t="s">
        <v>25</v>
      </c>
      <c r="H2948" t="s">
        <v>26</v>
      </c>
      <c r="I2948" t="s">
        <v>57</v>
      </c>
    </row>
    <row r="2949" spans="1:9" x14ac:dyDescent="0.2">
      <c r="A2949" s="3">
        <v>42572</v>
      </c>
      <c r="B2949" t="s">
        <v>23</v>
      </c>
      <c r="C2949">
        <v>202</v>
      </c>
      <c r="D2949">
        <v>3</v>
      </c>
      <c r="E2949">
        <v>2</v>
      </c>
      <c r="F2949" t="s">
        <v>33</v>
      </c>
      <c r="G2949" t="s">
        <v>25</v>
      </c>
      <c r="H2949" t="s">
        <v>26</v>
      </c>
      <c r="I2949" t="s">
        <v>57</v>
      </c>
    </row>
    <row r="2950" spans="1:9" x14ac:dyDescent="0.2">
      <c r="A2950" s="3">
        <v>42572</v>
      </c>
      <c r="B2950" t="s">
        <v>23</v>
      </c>
      <c r="C2950">
        <v>202</v>
      </c>
      <c r="D2950">
        <v>6</v>
      </c>
      <c r="E2950">
        <v>1</v>
      </c>
      <c r="F2950" t="s">
        <v>33</v>
      </c>
      <c r="G2950" t="s">
        <v>25</v>
      </c>
      <c r="H2950" t="s">
        <v>26</v>
      </c>
      <c r="I2950" t="s">
        <v>57</v>
      </c>
    </row>
    <row r="2951" spans="1:9" x14ac:dyDescent="0.2">
      <c r="A2951" s="3">
        <v>42572</v>
      </c>
      <c r="B2951" t="s">
        <v>23</v>
      </c>
      <c r="C2951">
        <v>202</v>
      </c>
      <c r="D2951">
        <v>7</v>
      </c>
      <c r="E2951">
        <v>1</v>
      </c>
      <c r="F2951" t="s">
        <v>33</v>
      </c>
      <c r="G2951" t="s">
        <v>25</v>
      </c>
      <c r="H2951" t="s">
        <v>26</v>
      </c>
      <c r="I2951" t="s">
        <v>57</v>
      </c>
    </row>
    <row r="2952" spans="1:9" x14ac:dyDescent="0.2">
      <c r="A2952" s="3">
        <v>42572</v>
      </c>
      <c r="B2952" t="s">
        <v>23</v>
      </c>
      <c r="C2952">
        <v>202</v>
      </c>
      <c r="D2952">
        <v>7</v>
      </c>
      <c r="E2952">
        <v>2</v>
      </c>
      <c r="F2952" t="s">
        <v>33</v>
      </c>
      <c r="G2952" t="s">
        <v>25</v>
      </c>
      <c r="H2952" t="s">
        <v>26</v>
      </c>
      <c r="I2952" t="s">
        <v>57</v>
      </c>
    </row>
    <row r="2953" spans="1:9" x14ac:dyDescent="0.2">
      <c r="A2953" s="3">
        <v>42572</v>
      </c>
      <c r="B2953" t="s">
        <v>23</v>
      </c>
      <c r="C2953">
        <v>202</v>
      </c>
      <c r="D2953">
        <v>8</v>
      </c>
      <c r="E2953">
        <v>1</v>
      </c>
      <c r="F2953" t="s">
        <v>33</v>
      </c>
      <c r="G2953" t="s">
        <v>25</v>
      </c>
      <c r="H2953" t="s">
        <v>26</v>
      </c>
      <c r="I2953" t="s">
        <v>57</v>
      </c>
    </row>
    <row r="2954" spans="1:9" x14ac:dyDescent="0.2">
      <c r="A2954" s="3">
        <v>42572</v>
      </c>
      <c r="B2954" t="s">
        <v>23</v>
      </c>
      <c r="C2954">
        <v>202</v>
      </c>
      <c r="D2954">
        <v>9</v>
      </c>
      <c r="E2954">
        <v>1</v>
      </c>
      <c r="F2954" t="s">
        <v>33</v>
      </c>
      <c r="G2954" t="s">
        <v>25</v>
      </c>
      <c r="H2954" t="s">
        <v>26</v>
      </c>
      <c r="I2954" t="s">
        <v>57</v>
      </c>
    </row>
    <row r="2955" spans="1:9" x14ac:dyDescent="0.2">
      <c r="A2955" s="3">
        <v>42572</v>
      </c>
      <c r="B2955" t="s">
        <v>23</v>
      </c>
      <c r="C2955">
        <v>202</v>
      </c>
      <c r="D2955">
        <v>9</v>
      </c>
      <c r="E2955">
        <v>2</v>
      </c>
      <c r="F2955" t="s">
        <v>33</v>
      </c>
      <c r="G2955" t="s">
        <v>25</v>
      </c>
      <c r="H2955" t="s">
        <v>26</v>
      </c>
      <c r="I2955" t="s">
        <v>57</v>
      </c>
    </row>
    <row r="2956" spans="1:9" x14ac:dyDescent="0.2">
      <c r="A2956" s="3">
        <v>42572</v>
      </c>
      <c r="B2956" t="s">
        <v>23</v>
      </c>
      <c r="C2956">
        <v>202</v>
      </c>
      <c r="D2956">
        <v>10</v>
      </c>
      <c r="E2956">
        <v>1</v>
      </c>
      <c r="F2956" t="s">
        <v>33</v>
      </c>
      <c r="G2956" t="s">
        <v>25</v>
      </c>
      <c r="H2956" t="s">
        <v>26</v>
      </c>
      <c r="I2956" t="s">
        <v>57</v>
      </c>
    </row>
    <row r="2957" spans="1:9" x14ac:dyDescent="0.2">
      <c r="A2957" s="3">
        <v>42572</v>
      </c>
      <c r="B2957" t="s">
        <v>23</v>
      </c>
      <c r="C2957">
        <v>304</v>
      </c>
      <c r="D2957">
        <v>10</v>
      </c>
      <c r="E2957">
        <v>1</v>
      </c>
      <c r="F2957" t="s">
        <v>33</v>
      </c>
      <c r="G2957" t="s">
        <v>25</v>
      </c>
      <c r="H2957" t="s">
        <v>26</v>
      </c>
      <c r="I2957" t="s">
        <v>57</v>
      </c>
    </row>
    <row r="2958" spans="1:9" x14ac:dyDescent="0.2">
      <c r="A2958" s="3">
        <v>42572</v>
      </c>
      <c r="B2958" t="s">
        <v>23</v>
      </c>
      <c r="C2958">
        <v>304</v>
      </c>
      <c r="D2958">
        <v>9</v>
      </c>
      <c r="E2958">
        <v>1</v>
      </c>
      <c r="F2958" t="s">
        <v>33</v>
      </c>
      <c r="G2958" t="s">
        <v>25</v>
      </c>
      <c r="H2958" t="s">
        <v>26</v>
      </c>
      <c r="I2958" t="s">
        <v>57</v>
      </c>
    </row>
    <row r="2959" spans="1:9" x14ac:dyDescent="0.2">
      <c r="A2959" s="3">
        <v>42572</v>
      </c>
      <c r="B2959" t="s">
        <v>23</v>
      </c>
      <c r="C2959">
        <v>304</v>
      </c>
      <c r="D2959">
        <v>8</v>
      </c>
      <c r="E2959">
        <v>1</v>
      </c>
      <c r="F2959" t="s">
        <v>33</v>
      </c>
      <c r="G2959" t="s">
        <v>25</v>
      </c>
      <c r="H2959" t="s">
        <v>26</v>
      </c>
      <c r="I2959" t="s">
        <v>57</v>
      </c>
    </row>
    <row r="2960" spans="1:9" x14ac:dyDescent="0.2">
      <c r="A2960" s="3">
        <v>42572</v>
      </c>
      <c r="B2960" t="s">
        <v>23</v>
      </c>
      <c r="C2960">
        <v>304</v>
      </c>
      <c r="D2960">
        <v>8</v>
      </c>
      <c r="E2960">
        <v>2</v>
      </c>
      <c r="F2960" t="s">
        <v>33</v>
      </c>
      <c r="G2960" t="s">
        <v>25</v>
      </c>
      <c r="H2960" t="s">
        <v>26</v>
      </c>
      <c r="I2960" t="s">
        <v>57</v>
      </c>
    </row>
    <row r="2961" spans="1:9" x14ac:dyDescent="0.2">
      <c r="A2961" s="3">
        <v>42572</v>
      </c>
      <c r="B2961" t="s">
        <v>23</v>
      </c>
      <c r="C2961">
        <v>304</v>
      </c>
      <c r="D2961">
        <v>7</v>
      </c>
      <c r="E2961">
        <v>1</v>
      </c>
      <c r="F2961" t="s">
        <v>33</v>
      </c>
      <c r="G2961" t="s">
        <v>25</v>
      </c>
      <c r="H2961" t="s">
        <v>26</v>
      </c>
      <c r="I2961" t="s">
        <v>57</v>
      </c>
    </row>
    <row r="2962" spans="1:9" x14ac:dyDescent="0.2">
      <c r="A2962" s="3">
        <v>42572</v>
      </c>
      <c r="B2962" t="s">
        <v>23</v>
      </c>
      <c r="C2962">
        <v>304</v>
      </c>
      <c r="D2962">
        <v>6</v>
      </c>
      <c r="E2962">
        <v>1</v>
      </c>
      <c r="F2962" t="s">
        <v>33</v>
      </c>
      <c r="G2962" t="s">
        <v>25</v>
      </c>
      <c r="H2962" t="s">
        <v>26</v>
      </c>
      <c r="I2962" t="s">
        <v>57</v>
      </c>
    </row>
    <row r="2963" spans="1:9" x14ac:dyDescent="0.2">
      <c r="A2963" s="3">
        <v>42572</v>
      </c>
      <c r="B2963" t="s">
        <v>23</v>
      </c>
      <c r="C2963">
        <v>304</v>
      </c>
      <c r="D2963">
        <v>5</v>
      </c>
      <c r="E2963">
        <v>1</v>
      </c>
      <c r="F2963" t="s">
        <v>33</v>
      </c>
      <c r="G2963" t="s">
        <v>25</v>
      </c>
      <c r="H2963" t="s">
        <v>26</v>
      </c>
      <c r="I2963" t="s">
        <v>57</v>
      </c>
    </row>
    <row r="2964" spans="1:9" x14ac:dyDescent="0.2">
      <c r="A2964" s="3">
        <v>42572</v>
      </c>
      <c r="B2964" t="s">
        <v>23</v>
      </c>
      <c r="C2964">
        <v>111</v>
      </c>
      <c r="D2964">
        <v>5</v>
      </c>
      <c r="E2964">
        <v>1</v>
      </c>
      <c r="F2964" t="s">
        <v>24</v>
      </c>
      <c r="G2964" t="s">
        <v>25</v>
      </c>
      <c r="H2964" t="s">
        <v>26</v>
      </c>
      <c r="I2964" t="s">
        <v>57</v>
      </c>
    </row>
    <row r="2965" spans="1:9" x14ac:dyDescent="0.2">
      <c r="A2965" s="3">
        <v>42572</v>
      </c>
      <c r="B2965" t="s">
        <v>23</v>
      </c>
      <c r="C2965">
        <v>111</v>
      </c>
      <c r="D2965">
        <v>4</v>
      </c>
      <c r="E2965">
        <v>1</v>
      </c>
      <c r="F2965" t="s">
        <v>24</v>
      </c>
      <c r="G2965" t="s">
        <v>25</v>
      </c>
      <c r="H2965" t="s">
        <v>26</v>
      </c>
      <c r="I2965" t="s">
        <v>57</v>
      </c>
    </row>
    <row r="2966" spans="1:9" x14ac:dyDescent="0.2">
      <c r="A2966" s="3">
        <v>42572</v>
      </c>
      <c r="B2966" t="s">
        <v>23</v>
      </c>
      <c r="C2966">
        <v>111</v>
      </c>
      <c r="D2966">
        <v>1</v>
      </c>
      <c r="E2966">
        <v>1</v>
      </c>
      <c r="F2966" t="s">
        <v>24</v>
      </c>
      <c r="G2966" t="s">
        <v>25</v>
      </c>
      <c r="H2966" t="s">
        <v>26</v>
      </c>
      <c r="I2966" t="s">
        <v>57</v>
      </c>
    </row>
    <row r="2967" spans="1:9" x14ac:dyDescent="0.2">
      <c r="A2967" s="3">
        <v>42572</v>
      </c>
      <c r="B2967" t="s">
        <v>23</v>
      </c>
      <c r="C2967">
        <v>111</v>
      </c>
      <c r="D2967">
        <v>8</v>
      </c>
      <c r="E2967">
        <v>1</v>
      </c>
      <c r="F2967" t="s">
        <v>24</v>
      </c>
      <c r="G2967" t="s">
        <v>25</v>
      </c>
      <c r="H2967" t="s">
        <v>26</v>
      </c>
      <c r="I2967" t="s">
        <v>57</v>
      </c>
    </row>
    <row r="2968" spans="1:9" x14ac:dyDescent="0.2">
      <c r="A2968" s="3">
        <v>42572</v>
      </c>
      <c r="B2968" t="s">
        <v>23</v>
      </c>
      <c r="C2968">
        <v>111</v>
      </c>
      <c r="D2968">
        <v>9</v>
      </c>
      <c r="E2968">
        <v>1</v>
      </c>
      <c r="F2968" t="s">
        <v>24</v>
      </c>
      <c r="G2968" t="s">
        <v>25</v>
      </c>
      <c r="H2968" t="s">
        <v>26</v>
      </c>
      <c r="I2968" t="s">
        <v>57</v>
      </c>
    </row>
    <row r="2969" spans="1:9" x14ac:dyDescent="0.2">
      <c r="A2969" s="3">
        <v>42572</v>
      </c>
      <c r="B2969" t="s">
        <v>23</v>
      </c>
      <c r="C2969">
        <v>111</v>
      </c>
      <c r="D2969">
        <v>10</v>
      </c>
      <c r="E2969">
        <v>1</v>
      </c>
      <c r="F2969" t="s">
        <v>24</v>
      </c>
      <c r="G2969" t="s">
        <v>25</v>
      </c>
      <c r="H2969" t="s">
        <v>26</v>
      </c>
      <c r="I2969" t="s">
        <v>57</v>
      </c>
    </row>
    <row r="2970" spans="1:9" x14ac:dyDescent="0.2">
      <c r="A2970" s="3">
        <v>42572</v>
      </c>
      <c r="B2970" t="s">
        <v>23</v>
      </c>
      <c r="C2970">
        <v>112</v>
      </c>
      <c r="D2970">
        <v>3</v>
      </c>
      <c r="E2970">
        <v>1</v>
      </c>
      <c r="F2970" t="s">
        <v>24</v>
      </c>
      <c r="G2970" t="s">
        <v>25</v>
      </c>
      <c r="H2970" t="s">
        <v>26</v>
      </c>
      <c r="I2970" t="s">
        <v>57</v>
      </c>
    </row>
    <row r="2971" spans="1:9" x14ac:dyDescent="0.2">
      <c r="A2971" s="3">
        <v>42572</v>
      </c>
      <c r="B2971" t="s">
        <v>23</v>
      </c>
      <c r="C2971">
        <v>112</v>
      </c>
      <c r="D2971">
        <v>5</v>
      </c>
      <c r="E2971">
        <v>1</v>
      </c>
      <c r="F2971" t="s">
        <v>24</v>
      </c>
      <c r="G2971" t="s">
        <v>25</v>
      </c>
      <c r="H2971" t="s">
        <v>26</v>
      </c>
      <c r="I2971" t="s">
        <v>57</v>
      </c>
    </row>
    <row r="2972" spans="1:9" x14ac:dyDescent="0.2">
      <c r="A2972" s="3">
        <v>42572</v>
      </c>
      <c r="B2972" t="s">
        <v>23</v>
      </c>
      <c r="C2972">
        <v>112</v>
      </c>
      <c r="D2972">
        <v>7</v>
      </c>
      <c r="E2972">
        <v>1</v>
      </c>
      <c r="F2972" t="s">
        <v>24</v>
      </c>
      <c r="G2972" t="s">
        <v>25</v>
      </c>
      <c r="H2972" t="s">
        <v>26</v>
      </c>
      <c r="I2972" t="s">
        <v>57</v>
      </c>
    </row>
    <row r="2973" spans="1:9" x14ac:dyDescent="0.2">
      <c r="A2973" s="3">
        <v>42572</v>
      </c>
      <c r="B2973" t="s">
        <v>23</v>
      </c>
      <c r="C2973">
        <v>112</v>
      </c>
      <c r="D2973">
        <v>8</v>
      </c>
      <c r="E2973">
        <v>1</v>
      </c>
      <c r="F2973" t="s">
        <v>24</v>
      </c>
      <c r="G2973" t="s">
        <v>25</v>
      </c>
      <c r="H2973" t="s">
        <v>26</v>
      </c>
      <c r="I2973" t="s">
        <v>57</v>
      </c>
    </row>
    <row r="2974" spans="1:9" x14ac:dyDescent="0.2">
      <c r="A2974" s="3">
        <v>42572</v>
      </c>
      <c r="B2974" t="s">
        <v>23</v>
      </c>
      <c r="C2974">
        <v>112</v>
      </c>
      <c r="D2974">
        <v>8</v>
      </c>
      <c r="E2974">
        <v>2</v>
      </c>
      <c r="F2974" t="s">
        <v>24</v>
      </c>
      <c r="G2974" t="s">
        <v>25</v>
      </c>
      <c r="H2974" t="s">
        <v>26</v>
      </c>
      <c r="I2974" t="s">
        <v>57</v>
      </c>
    </row>
    <row r="2975" spans="1:9" x14ac:dyDescent="0.2">
      <c r="A2975" s="3">
        <v>42572</v>
      </c>
      <c r="B2975" t="s">
        <v>23</v>
      </c>
      <c r="C2975">
        <v>112</v>
      </c>
      <c r="D2975">
        <v>10</v>
      </c>
      <c r="E2975">
        <v>2</v>
      </c>
      <c r="F2975" t="s">
        <v>24</v>
      </c>
      <c r="G2975" t="s">
        <v>25</v>
      </c>
      <c r="H2975" t="s">
        <v>26</v>
      </c>
      <c r="I2975" t="s">
        <v>57</v>
      </c>
    </row>
    <row r="2976" spans="1:9" x14ac:dyDescent="0.2">
      <c r="A2976" s="3">
        <v>42572</v>
      </c>
      <c r="B2976" t="s">
        <v>23</v>
      </c>
      <c r="C2976">
        <v>113</v>
      </c>
      <c r="D2976">
        <v>2</v>
      </c>
      <c r="E2976">
        <v>1</v>
      </c>
      <c r="F2976" t="s">
        <v>24</v>
      </c>
      <c r="G2976" t="s">
        <v>25</v>
      </c>
      <c r="H2976" t="s">
        <v>26</v>
      </c>
      <c r="I2976" t="s">
        <v>57</v>
      </c>
    </row>
    <row r="2977" spans="1:9" x14ac:dyDescent="0.2">
      <c r="A2977" s="3">
        <v>42572</v>
      </c>
      <c r="B2977" t="s">
        <v>23</v>
      </c>
      <c r="C2977">
        <v>113</v>
      </c>
      <c r="D2977">
        <v>2</v>
      </c>
      <c r="E2977">
        <v>2</v>
      </c>
      <c r="F2977" t="s">
        <v>24</v>
      </c>
      <c r="G2977" t="s">
        <v>25</v>
      </c>
      <c r="H2977" t="s">
        <v>26</v>
      </c>
      <c r="I2977" t="s">
        <v>57</v>
      </c>
    </row>
    <row r="2978" spans="1:9" x14ac:dyDescent="0.2">
      <c r="A2978" s="3">
        <v>42572</v>
      </c>
      <c r="B2978" t="s">
        <v>23</v>
      </c>
      <c r="C2978">
        <v>113</v>
      </c>
      <c r="D2978">
        <v>6</v>
      </c>
      <c r="E2978">
        <v>1</v>
      </c>
      <c r="F2978" t="s">
        <v>24</v>
      </c>
      <c r="G2978" t="s">
        <v>25</v>
      </c>
      <c r="H2978" t="s">
        <v>26</v>
      </c>
      <c r="I2978" t="s">
        <v>57</v>
      </c>
    </row>
    <row r="2979" spans="1:9" x14ac:dyDescent="0.2">
      <c r="A2979" s="3">
        <v>42572</v>
      </c>
      <c r="B2979" t="s">
        <v>23</v>
      </c>
      <c r="C2979">
        <v>113</v>
      </c>
      <c r="D2979">
        <v>8</v>
      </c>
      <c r="E2979">
        <v>1</v>
      </c>
      <c r="F2979" t="s">
        <v>24</v>
      </c>
      <c r="G2979" t="s">
        <v>25</v>
      </c>
      <c r="H2979" t="s">
        <v>26</v>
      </c>
      <c r="I2979" t="s">
        <v>57</v>
      </c>
    </row>
    <row r="2980" spans="1:9" x14ac:dyDescent="0.2">
      <c r="A2980" s="3">
        <v>42572</v>
      </c>
      <c r="B2980" t="s">
        <v>23</v>
      </c>
      <c r="C2980">
        <v>113</v>
      </c>
      <c r="D2980">
        <v>9</v>
      </c>
      <c r="E2980">
        <v>1</v>
      </c>
      <c r="F2980" t="s">
        <v>24</v>
      </c>
      <c r="G2980" t="s">
        <v>25</v>
      </c>
      <c r="H2980" t="s">
        <v>26</v>
      </c>
      <c r="I2980" t="s">
        <v>57</v>
      </c>
    </row>
    <row r="2981" spans="1:9" x14ac:dyDescent="0.2">
      <c r="A2981" s="3">
        <v>42572</v>
      </c>
      <c r="B2981" t="s">
        <v>23</v>
      </c>
      <c r="C2981">
        <v>402</v>
      </c>
      <c r="D2981">
        <v>3</v>
      </c>
      <c r="E2981">
        <v>1</v>
      </c>
      <c r="F2981" t="s">
        <v>24</v>
      </c>
      <c r="G2981" t="s">
        <v>25</v>
      </c>
      <c r="H2981" t="s">
        <v>26</v>
      </c>
      <c r="I2981" t="s">
        <v>57</v>
      </c>
    </row>
    <row r="2982" spans="1:9" x14ac:dyDescent="0.2">
      <c r="A2982" s="3">
        <v>42572</v>
      </c>
      <c r="B2982" t="s">
        <v>23</v>
      </c>
      <c r="C2982">
        <v>402</v>
      </c>
      <c r="D2982">
        <v>3</v>
      </c>
      <c r="E2982">
        <v>2</v>
      </c>
      <c r="F2982" t="s">
        <v>24</v>
      </c>
      <c r="G2982" t="s">
        <v>25</v>
      </c>
      <c r="H2982" t="s">
        <v>26</v>
      </c>
      <c r="I2982" t="s">
        <v>57</v>
      </c>
    </row>
    <row r="2983" spans="1:9" x14ac:dyDescent="0.2">
      <c r="A2983" s="3">
        <v>42572</v>
      </c>
      <c r="B2983" t="s">
        <v>23</v>
      </c>
      <c r="C2983">
        <v>402</v>
      </c>
      <c r="D2983">
        <v>7</v>
      </c>
      <c r="E2983">
        <v>1</v>
      </c>
      <c r="F2983" t="s">
        <v>24</v>
      </c>
      <c r="G2983" t="s">
        <v>25</v>
      </c>
      <c r="H2983" t="s">
        <v>26</v>
      </c>
      <c r="I2983" t="s">
        <v>57</v>
      </c>
    </row>
    <row r="2984" spans="1:9" x14ac:dyDescent="0.2">
      <c r="A2984" s="3">
        <v>42574</v>
      </c>
      <c r="B2984" t="s">
        <v>23</v>
      </c>
      <c r="C2984">
        <v>501</v>
      </c>
      <c r="D2984">
        <v>1</v>
      </c>
      <c r="E2984">
        <v>1</v>
      </c>
      <c r="F2984" t="s">
        <v>33</v>
      </c>
      <c r="G2984" t="s">
        <v>25</v>
      </c>
      <c r="H2984" t="s">
        <v>26</v>
      </c>
      <c r="I2984" t="s">
        <v>57</v>
      </c>
    </row>
    <row r="2985" spans="1:9" x14ac:dyDescent="0.2">
      <c r="A2985" s="3">
        <v>42574</v>
      </c>
      <c r="B2985" t="s">
        <v>23</v>
      </c>
      <c r="C2985">
        <v>501</v>
      </c>
      <c r="D2985">
        <v>1</v>
      </c>
      <c r="E2985">
        <v>2</v>
      </c>
      <c r="F2985" t="s">
        <v>33</v>
      </c>
      <c r="G2985" t="s">
        <v>25</v>
      </c>
      <c r="H2985" t="s">
        <v>26</v>
      </c>
      <c r="I2985" t="s">
        <v>57</v>
      </c>
    </row>
    <row r="2986" spans="1:9" x14ac:dyDescent="0.2">
      <c r="A2986" s="3">
        <v>42574</v>
      </c>
      <c r="B2986" t="s">
        <v>23</v>
      </c>
      <c r="C2986">
        <v>501</v>
      </c>
      <c r="D2986">
        <v>5</v>
      </c>
      <c r="E2986">
        <v>1</v>
      </c>
      <c r="F2986" t="s">
        <v>33</v>
      </c>
      <c r="G2986" t="s">
        <v>25</v>
      </c>
      <c r="H2986" t="s">
        <v>26</v>
      </c>
      <c r="I2986" t="s">
        <v>57</v>
      </c>
    </row>
    <row r="2987" spans="1:9" x14ac:dyDescent="0.2">
      <c r="A2987" s="3">
        <v>42574</v>
      </c>
      <c r="B2987" t="s">
        <v>23</v>
      </c>
      <c r="C2987">
        <v>501</v>
      </c>
      <c r="D2987">
        <v>5</v>
      </c>
      <c r="E2987">
        <v>2</v>
      </c>
      <c r="F2987" t="s">
        <v>33</v>
      </c>
      <c r="G2987" t="s">
        <v>25</v>
      </c>
      <c r="H2987" t="s">
        <v>26</v>
      </c>
      <c r="I2987" t="s">
        <v>57</v>
      </c>
    </row>
    <row r="2988" spans="1:9" x14ac:dyDescent="0.2">
      <c r="A2988" s="3">
        <v>42574</v>
      </c>
      <c r="B2988" t="s">
        <v>23</v>
      </c>
      <c r="C2988">
        <v>501</v>
      </c>
      <c r="D2988">
        <v>6</v>
      </c>
      <c r="E2988">
        <v>1</v>
      </c>
      <c r="F2988" t="s">
        <v>33</v>
      </c>
      <c r="G2988" t="s">
        <v>25</v>
      </c>
      <c r="H2988" t="s">
        <v>26</v>
      </c>
      <c r="I2988" t="s">
        <v>57</v>
      </c>
    </row>
    <row r="2989" spans="1:9" x14ac:dyDescent="0.2">
      <c r="A2989" s="3">
        <v>42574</v>
      </c>
      <c r="B2989" t="s">
        <v>23</v>
      </c>
      <c r="C2989">
        <v>501</v>
      </c>
      <c r="D2989">
        <v>7</v>
      </c>
      <c r="E2989">
        <v>2</v>
      </c>
      <c r="F2989" t="s">
        <v>33</v>
      </c>
      <c r="G2989" t="s">
        <v>25</v>
      </c>
      <c r="H2989" t="s">
        <v>26</v>
      </c>
      <c r="I2989" t="s">
        <v>57</v>
      </c>
    </row>
    <row r="2990" spans="1:9" x14ac:dyDescent="0.2">
      <c r="A2990" s="3">
        <v>42574</v>
      </c>
      <c r="B2990" t="s">
        <v>23</v>
      </c>
      <c r="C2990">
        <v>501</v>
      </c>
      <c r="D2990">
        <v>9</v>
      </c>
      <c r="E2990">
        <v>2</v>
      </c>
      <c r="F2990" t="s">
        <v>33</v>
      </c>
      <c r="G2990" t="s">
        <v>25</v>
      </c>
      <c r="H2990" t="s">
        <v>26</v>
      </c>
      <c r="I2990" t="s">
        <v>57</v>
      </c>
    </row>
    <row r="2991" spans="1:9" x14ac:dyDescent="0.2">
      <c r="A2991" s="3">
        <v>42574</v>
      </c>
      <c r="B2991" t="s">
        <v>23</v>
      </c>
      <c r="C2991">
        <v>501</v>
      </c>
      <c r="D2991">
        <v>10</v>
      </c>
      <c r="E2991">
        <v>1</v>
      </c>
      <c r="F2991" t="s">
        <v>33</v>
      </c>
      <c r="G2991" t="s">
        <v>25</v>
      </c>
      <c r="H2991" t="s">
        <v>26</v>
      </c>
      <c r="I2991" t="s">
        <v>57</v>
      </c>
    </row>
    <row r="2992" spans="1:9" x14ac:dyDescent="0.2">
      <c r="A2992" s="3">
        <v>42574</v>
      </c>
      <c r="B2992" t="s">
        <v>23</v>
      </c>
      <c r="C2992">
        <v>501</v>
      </c>
      <c r="D2992">
        <v>10</v>
      </c>
      <c r="E2992">
        <v>2</v>
      </c>
      <c r="F2992" t="s">
        <v>33</v>
      </c>
      <c r="G2992" t="s">
        <v>25</v>
      </c>
      <c r="H2992" t="s">
        <v>26</v>
      </c>
      <c r="I2992" t="s">
        <v>57</v>
      </c>
    </row>
    <row r="2993" spans="1:9" x14ac:dyDescent="0.2">
      <c r="A2993" s="3">
        <v>42574</v>
      </c>
      <c r="B2993" t="s">
        <v>23</v>
      </c>
      <c r="C2993">
        <v>503</v>
      </c>
      <c r="D2993">
        <v>2</v>
      </c>
      <c r="E2993">
        <v>1</v>
      </c>
      <c r="F2993" t="s">
        <v>33</v>
      </c>
      <c r="G2993" t="s">
        <v>25</v>
      </c>
      <c r="H2993" t="s">
        <v>26</v>
      </c>
      <c r="I2993" t="s">
        <v>57</v>
      </c>
    </row>
    <row r="2994" spans="1:9" x14ac:dyDescent="0.2">
      <c r="A2994" s="3">
        <v>42574</v>
      </c>
      <c r="B2994" t="s">
        <v>23</v>
      </c>
      <c r="C2994">
        <v>503</v>
      </c>
      <c r="D2994">
        <v>2</v>
      </c>
      <c r="E2994">
        <v>2</v>
      </c>
      <c r="F2994" t="s">
        <v>33</v>
      </c>
      <c r="G2994" t="s">
        <v>25</v>
      </c>
      <c r="H2994" t="s">
        <v>26</v>
      </c>
      <c r="I2994" t="s">
        <v>57</v>
      </c>
    </row>
    <row r="2995" spans="1:9" x14ac:dyDescent="0.2">
      <c r="A2995" s="3">
        <v>42574</v>
      </c>
      <c r="B2995" t="s">
        <v>23</v>
      </c>
      <c r="C2995">
        <v>503</v>
      </c>
      <c r="D2995">
        <v>4</v>
      </c>
      <c r="E2995">
        <v>1</v>
      </c>
      <c r="F2995" t="s">
        <v>33</v>
      </c>
      <c r="G2995" t="s">
        <v>25</v>
      </c>
      <c r="H2995" t="s">
        <v>26</v>
      </c>
      <c r="I2995" t="s">
        <v>57</v>
      </c>
    </row>
    <row r="2996" spans="1:9" x14ac:dyDescent="0.2">
      <c r="A2996" s="3">
        <v>42574</v>
      </c>
      <c r="B2996" t="s">
        <v>23</v>
      </c>
      <c r="C2996">
        <v>503</v>
      </c>
      <c r="D2996">
        <v>4</v>
      </c>
      <c r="E2996">
        <v>2</v>
      </c>
      <c r="F2996" t="s">
        <v>33</v>
      </c>
      <c r="G2996" t="s">
        <v>25</v>
      </c>
      <c r="H2996" t="s">
        <v>26</v>
      </c>
      <c r="I2996" t="s">
        <v>57</v>
      </c>
    </row>
    <row r="2997" spans="1:9" x14ac:dyDescent="0.2">
      <c r="A2997" s="3">
        <v>42574</v>
      </c>
      <c r="B2997" t="s">
        <v>23</v>
      </c>
      <c r="C2997">
        <v>503</v>
      </c>
      <c r="D2997">
        <v>6</v>
      </c>
      <c r="E2997">
        <v>1</v>
      </c>
      <c r="F2997" t="s">
        <v>33</v>
      </c>
      <c r="G2997" t="s">
        <v>25</v>
      </c>
      <c r="H2997" t="s">
        <v>26</v>
      </c>
      <c r="I2997" t="s">
        <v>57</v>
      </c>
    </row>
    <row r="2998" spans="1:9" x14ac:dyDescent="0.2">
      <c r="A2998" s="3">
        <v>42574</v>
      </c>
      <c r="B2998" t="s">
        <v>23</v>
      </c>
      <c r="C2998">
        <v>503</v>
      </c>
      <c r="D2998">
        <v>6</v>
      </c>
      <c r="E2998">
        <v>2</v>
      </c>
      <c r="F2998" t="s">
        <v>33</v>
      </c>
      <c r="G2998" t="s">
        <v>25</v>
      </c>
      <c r="H2998" t="s">
        <v>26</v>
      </c>
      <c r="I2998" t="s">
        <v>57</v>
      </c>
    </row>
    <row r="2999" spans="1:9" x14ac:dyDescent="0.2">
      <c r="A2999" s="3">
        <v>42574</v>
      </c>
      <c r="B2999" t="s">
        <v>23</v>
      </c>
      <c r="C2999">
        <v>503</v>
      </c>
      <c r="D2999">
        <v>7</v>
      </c>
      <c r="E2999">
        <v>1</v>
      </c>
      <c r="F2999" t="s">
        <v>33</v>
      </c>
      <c r="G2999" t="s">
        <v>25</v>
      </c>
      <c r="H2999" t="s">
        <v>26</v>
      </c>
      <c r="I2999" t="s">
        <v>57</v>
      </c>
    </row>
    <row r="3000" spans="1:9" x14ac:dyDescent="0.2">
      <c r="A3000" s="3">
        <v>42574</v>
      </c>
      <c r="B3000" t="s">
        <v>23</v>
      </c>
      <c r="C3000">
        <v>503</v>
      </c>
      <c r="D3000">
        <v>8</v>
      </c>
      <c r="E3000">
        <v>2</v>
      </c>
      <c r="F3000" t="s">
        <v>33</v>
      </c>
      <c r="G3000" t="s">
        <v>25</v>
      </c>
      <c r="H3000" t="s">
        <v>26</v>
      </c>
      <c r="I3000" t="s">
        <v>57</v>
      </c>
    </row>
    <row r="3001" spans="1:9" x14ac:dyDescent="0.2">
      <c r="A3001" s="3">
        <v>42574</v>
      </c>
      <c r="B3001" t="s">
        <v>23</v>
      </c>
      <c r="C3001">
        <v>503</v>
      </c>
      <c r="D3001">
        <v>9</v>
      </c>
      <c r="E3001">
        <v>1</v>
      </c>
      <c r="F3001" t="s">
        <v>33</v>
      </c>
      <c r="G3001" t="s">
        <v>25</v>
      </c>
      <c r="H3001" t="s">
        <v>26</v>
      </c>
      <c r="I3001" t="s">
        <v>57</v>
      </c>
    </row>
    <row r="3002" spans="1:9" x14ac:dyDescent="0.2">
      <c r="A3002" s="3">
        <v>42574</v>
      </c>
      <c r="B3002" t="s">
        <v>23</v>
      </c>
      <c r="C3002">
        <v>503</v>
      </c>
      <c r="D3002">
        <v>9</v>
      </c>
      <c r="E3002">
        <v>2</v>
      </c>
      <c r="F3002" t="s">
        <v>33</v>
      </c>
      <c r="G3002" t="s">
        <v>25</v>
      </c>
      <c r="H3002" t="s">
        <v>26</v>
      </c>
      <c r="I3002" t="s">
        <v>57</v>
      </c>
    </row>
    <row r="3003" spans="1:9" x14ac:dyDescent="0.2">
      <c r="A3003" s="3">
        <v>42574</v>
      </c>
      <c r="B3003" t="s">
        <v>23</v>
      </c>
      <c r="C3003">
        <v>503</v>
      </c>
      <c r="D3003">
        <v>10</v>
      </c>
      <c r="E3003">
        <v>1</v>
      </c>
      <c r="F3003" t="s">
        <v>33</v>
      </c>
      <c r="G3003" t="s">
        <v>25</v>
      </c>
      <c r="H3003" t="s">
        <v>26</v>
      </c>
      <c r="I3003" t="s">
        <v>57</v>
      </c>
    </row>
    <row r="3004" spans="1:9" x14ac:dyDescent="0.2">
      <c r="A3004" s="3">
        <v>42574</v>
      </c>
      <c r="B3004" t="s">
        <v>23</v>
      </c>
      <c r="C3004">
        <v>503</v>
      </c>
      <c r="D3004">
        <v>10</v>
      </c>
      <c r="E3004">
        <v>2</v>
      </c>
      <c r="F3004" t="s">
        <v>33</v>
      </c>
      <c r="G3004" t="s">
        <v>25</v>
      </c>
      <c r="H3004" t="s">
        <v>26</v>
      </c>
      <c r="I3004" t="s">
        <v>57</v>
      </c>
    </row>
    <row r="3005" spans="1:9" x14ac:dyDescent="0.2">
      <c r="A3005" s="3">
        <v>42574</v>
      </c>
      <c r="B3005" t="s">
        <v>23</v>
      </c>
      <c r="C3005">
        <v>303</v>
      </c>
      <c r="D3005">
        <v>1</v>
      </c>
      <c r="E3005">
        <v>1</v>
      </c>
      <c r="F3005" t="s">
        <v>33</v>
      </c>
      <c r="G3005" t="s">
        <v>25</v>
      </c>
      <c r="H3005" t="s">
        <v>26</v>
      </c>
      <c r="I3005" t="s">
        <v>57</v>
      </c>
    </row>
    <row r="3006" spans="1:9" x14ac:dyDescent="0.2">
      <c r="A3006" s="3">
        <v>42574</v>
      </c>
      <c r="B3006" t="s">
        <v>23</v>
      </c>
      <c r="C3006">
        <v>303</v>
      </c>
      <c r="D3006">
        <v>2</v>
      </c>
      <c r="E3006">
        <v>1</v>
      </c>
      <c r="F3006" t="s">
        <v>33</v>
      </c>
      <c r="G3006" t="s">
        <v>25</v>
      </c>
      <c r="H3006" t="s">
        <v>26</v>
      </c>
      <c r="I3006" t="s">
        <v>57</v>
      </c>
    </row>
    <row r="3007" spans="1:9" x14ac:dyDescent="0.2">
      <c r="A3007" s="3">
        <v>42574</v>
      </c>
      <c r="B3007" t="s">
        <v>23</v>
      </c>
      <c r="C3007">
        <v>303</v>
      </c>
      <c r="D3007">
        <v>4</v>
      </c>
      <c r="E3007">
        <v>1</v>
      </c>
      <c r="F3007" t="s">
        <v>33</v>
      </c>
      <c r="G3007" t="s">
        <v>25</v>
      </c>
      <c r="H3007" t="s">
        <v>26</v>
      </c>
      <c r="I3007" t="s">
        <v>57</v>
      </c>
    </row>
    <row r="3008" spans="1:9" x14ac:dyDescent="0.2">
      <c r="A3008" s="3">
        <v>42574</v>
      </c>
      <c r="B3008" t="s">
        <v>23</v>
      </c>
      <c r="C3008">
        <v>303</v>
      </c>
      <c r="D3008">
        <v>5</v>
      </c>
      <c r="E3008">
        <v>1</v>
      </c>
      <c r="F3008" t="s">
        <v>33</v>
      </c>
      <c r="G3008" t="s">
        <v>25</v>
      </c>
      <c r="H3008" t="s">
        <v>26</v>
      </c>
      <c r="I3008" t="s">
        <v>57</v>
      </c>
    </row>
    <row r="3009" spans="1:9" x14ac:dyDescent="0.2">
      <c r="A3009" s="3">
        <v>42574</v>
      </c>
      <c r="B3009" t="s">
        <v>23</v>
      </c>
      <c r="C3009">
        <v>303</v>
      </c>
      <c r="D3009">
        <v>8</v>
      </c>
      <c r="E3009">
        <v>1</v>
      </c>
      <c r="F3009" t="s">
        <v>33</v>
      </c>
      <c r="G3009" t="s">
        <v>25</v>
      </c>
      <c r="H3009" t="s">
        <v>26</v>
      </c>
      <c r="I3009" t="s">
        <v>57</v>
      </c>
    </row>
    <row r="3010" spans="1:9" x14ac:dyDescent="0.2">
      <c r="A3010" s="3">
        <v>42574</v>
      </c>
      <c r="B3010" t="s">
        <v>23</v>
      </c>
      <c r="C3010">
        <v>303</v>
      </c>
      <c r="D3010">
        <v>9</v>
      </c>
      <c r="E3010">
        <v>1</v>
      </c>
      <c r="F3010" t="s">
        <v>33</v>
      </c>
      <c r="G3010" t="s">
        <v>25</v>
      </c>
      <c r="H3010" t="s">
        <v>26</v>
      </c>
      <c r="I3010" t="s">
        <v>57</v>
      </c>
    </row>
    <row r="3011" spans="1:9" x14ac:dyDescent="0.2">
      <c r="A3011" s="3">
        <v>42574</v>
      </c>
      <c r="B3011" t="s">
        <v>23</v>
      </c>
      <c r="C3011">
        <v>401</v>
      </c>
      <c r="D3011">
        <v>1</v>
      </c>
      <c r="E3011">
        <v>1</v>
      </c>
      <c r="F3011" t="s">
        <v>33</v>
      </c>
      <c r="G3011" t="s">
        <v>25</v>
      </c>
      <c r="H3011" t="s">
        <v>26</v>
      </c>
      <c r="I3011" t="s">
        <v>57</v>
      </c>
    </row>
    <row r="3012" spans="1:9" x14ac:dyDescent="0.2">
      <c r="A3012" s="3">
        <v>42574</v>
      </c>
      <c r="B3012" t="s">
        <v>23</v>
      </c>
      <c r="C3012">
        <v>401</v>
      </c>
      <c r="D3012">
        <v>1</v>
      </c>
      <c r="E3012">
        <v>2</v>
      </c>
      <c r="F3012" t="s">
        <v>33</v>
      </c>
      <c r="G3012" t="s">
        <v>25</v>
      </c>
      <c r="H3012" t="s">
        <v>26</v>
      </c>
      <c r="I3012" t="s">
        <v>57</v>
      </c>
    </row>
    <row r="3013" spans="1:9" x14ac:dyDescent="0.2">
      <c r="A3013" s="3">
        <v>42574</v>
      </c>
      <c r="B3013" t="s">
        <v>23</v>
      </c>
      <c r="C3013">
        <v>401</v>
      </c>
      <c r="D3013">
        <v>2</v>
      </c>
      <c r="E3013">
        <v>1</v>
      </c>
      <c r="F3013" t="s">
        <v>33</v>
      </c>
      <c r="G3013" t="s">
        <v>25</v>
      </c>
      <c r="H3013" t="s">
        <v>26</v>
      </c>
      <c r="I3013" t="s">
        <v>57</v>
      </c>
    </row>
    <row r="3014" spans="1:9" x14ac:dyDescent="0.2">
      <c r="A3014" s="3">
        <v>42574</v>
      </c>
      <c r="B3014" t="s">
        <v>23</v>
      </c>
      <c r="C3014">
        <v>401</v>
      </c>
      <c r="D3014">
        <v>3</v>
      </c>
      <c r="E3014">
        <v>1</v>
      </c>
      <c r="F3014" t="s">
        <v>33</v>
      </c>
      <c r="G3014" t="s">
        <v>25</v>
      </c>
      <c r="H3014" t="s">
        <v>26</v>
      </c>
      <c r="I3014" t="s">
        <v>57</v>
      </c>
    </row>
    <row r="3015" spans="1:9" x14ac:dyDescent="0.2">
      <c r="A3015" s="3">
        <v>42574</v>
      </c>
      <c r="B3015" t="s">
        <v>23</v>
      </c>
      <c r="C3015">
        <v>401</v>
      </c>
      <c r="D3015">
        <v>5</v>
      </c>
      <c r="E3015">
        <v>1</v>
      </c>
      <c r="F3015" t="s">
        <v>33</v>
      </c>
      <c r="G3015" t="s">
        <v>25</v>
      </c>
      <c r="H3015" t="s">
        <v>26</v>
      </c>
      <c r="I3015" t="s">
        <v>57</v>
      </c>
    </row>
    <row r="3016" spans="1:9" x14ac:dyDescent="0.2">
      <c r="A3016" s="3">
        <v>42574</v>
      </c>
      <c r="B3016" t="s">
        <v>23</v>
      </c>
      <c r="C3016">
        <v>401</v>
      </c>
      <c r="D3016">
        <v>8</v>
      </c>
      <c r="E3016">
        <v>1</v>
      </c>
      <c r="F3016" t="s">
        <v>33</v>
      </c>
      <c r="G3016" t="s">
        <v>25</v>
      </c>
      <c r="H3016" t="s">
        <v>26</v>
      </c>
      <c r="I3016" t="s">
        <v>57</v>
      </c>
    </row>
    <row r="3017" spans="1:9" x14ac:dyDescent="0.2">
      <c r="A3017" s="3">
        <v>42574</v>
      </c>
      <c r="B3017" t="s">
        <v>23</v>
      </c>
      <c r="C3017">
        <v>703</v>
      </c>
      <c r="D3017">
        <v>2</v>
      </c>
      <c r="E3017">
        <v>1</v>
      </c>
      <c r="F3017" t="s">
        <v>24</v>
      </c>
      <c r="G3017" t="s">
        <v>25</v>
      </c>
      <c r="H3017" t="s">
        <v>26</v>
      </c>
      <c r="I3017" t="s">
        <v>57</v>
      </c>
    </row>
    <row r="3018" spans="1:9" x14ac:dyDescent="0.2">
      <c r="A3018" s="3">
        <v>42574</v>
      </c>
      <c r="B3018" t="s">
        <v>23</v>
      </c>
      <c r="C3018">
        <v>703</v>
      </c>
      <c r="D3018">
        <v>2</v>
      </c>
      <c r="E3018">
        <v>2</v>
      </c>
      <c r="F3018" t="s">
        <v>24</v>
      </c>
      <c r="G3018" t="s">
        <v>25</v>
      </c>
      <c r="H3018" t="s">
        <v>26</v>
      </c>
      <c r="I3018" t="s">
        <v>57</v>
      </c>
    </row>
    <row r="3019" spans="1:9" x14ac:dyDescent="0.2">
      <c r="A3019" s="3">
        <v>42574</v>
      </c>
      <c r="B3019" t="s">
        <v>23</v>
      </c>
      <c r="C3019">
        <v>703</v>
      </c>
      <c r="D3019">
        <v>3</v>
      </c>
      <c r="E3019">
        <v>1</v>
      </c>
      <c r="F3019" t="s">
        <v>24</v>
      </c>
      <c r="G3019" t="s">
        <v>25</v>
      </c>
      <c r="H3019" t="s">
        <v>26</v>
      </c>
      <c r="I3019" t="s">
        <v>57</v>
      </c>
    </row>
    <row r="3020" spans="1:9" x14ac:dyDescent="0.2">
      <c r="A3020" s="3">
        <v>42574</v>
      </c>
      <c r="B3020" t="s">
        <v>23</v>
      </c>
      <c r="C3020">
        <v>703</v>
      </c>
      <c r="D3020">
        <v>3</v>
      </c>
      <c r="E3020">
        <v>2</v>
      </c>
      <c r="F3020" t="s">
        <v>24</v>
      </c>
      <c r="G3020" t="s">
        <v>25</v>
      </c>
      <c r="H3020" t="s">
        <v>26</v>
      </c>
      <c r="I3020" t="s">
        <v>57</v>
      </c>
    </row>
    <row r="3021" spans="1:9" x14ac:dyDescent="0.2">
      <c r="A3021" s="3">
        <v>42574</v>
      </c>
      <c r="B3021" t="s">
        <v>23</v>
      </c>
      <c r="C3021">
        <v>703</v>
      </c>
      <c r="D3021">
        <v>4</v>
      </c>
      <c r="E3021">
        <v>1</v>
      </c>
      <c r="F3021" t="s">
        <v>24</v>
      </c>
      <c r="G3021" t="s">
        <v>25</v>
      </c>
      <c r="H3021" t="s">
        <v>26</v>
      </c>
      <c r="I3021" t="s">
        <v>57</v>
      </c>
    </row>
    <row r="3022" spans="1:9" x14ac:dyDescent="0.2">
      <c r="A3022" s="3">
        <v>42574</v>
      </c>
      <c r="B3022" t="s">
        <v>23</v>
      </c>
      <c r="C3022">
        <v>703</v>
      </c>
      <c r="D3022">
        <v>5</v>
      </c>
      <c r="E3022">
        <v>1</v>
      </c>
      <c r="F3022" t="s">
        <v>24</v>
      </c>
      <c r="G3022" t="s">
        <v>25</v>
      </c>
      <c r="H3022" t="s">
        <v>26</v>
      </c>
      <c r="I3022" t="s">
        <v>57</v>
      </c>
    </row>
    <row r="3023" spans="1:9" x14ac:dyDescent="0.2">
      <c r="A3023" s="3">
        <v>42574</v>
      </c>
      <c r="B3023" t="s">
        <v>23</v>
      </c>
      <c r="C3023">
        <v>703</v>
      </c>
      <c r="D3023">
        <v>5</v>
      </c>
      <c r="E3023">
        <v>2</v>
      </c>
      <c r="F3023" t="s">
        <v>24</v>
      </c>
      <c r="G3023" t="s">
        <v>25</v>
      </c>
      <c r="H3023" t="s">
        <v>26</v>
      </c>
      <c r="I3023" t="s">
        <v>57</v>
      </c>
    </row>
    <row r="3024" spans="1:9" x14ac:dyDescent="0.2">
      <c r="A3024" s="3">
        <v>42574</v>
      </c>
      <c r="B3024" t="s">
        <v>23</v>
      </c>
      <c r="C3024">
        <v>703</v>
      </c>
      <c r="D3024">
        <v>7</v>
      </c>
      <c r="E3024">
        <v>1</v>
      </c>
      <c r="F3024" t="s">
        <v>24</v>
      </c>
      <c r="G3024" t="s">
        <v>25</v>
      </c>
      <c r="H3024" t="s">
        <v>26</v>
      </c>
      <c r="I3024" t="s">
        <v>57</v>
      </c>
    </row>
    <row r="3025" spans="1:9" x14ac:dyDescent="0.2">
      <c r="A3025" s="3">
        <v>42574</v>
      </c>
      <c r="B3025" t="s">
        <v>23</v>
      </c>
      <c r="C3025">
        <v>703</v>
      </c>
      <c r="D3025">
        <v>8</v>
      </c>
      <c r="E3025">
        <v>1</v>
      </c>
      <c r="F3025" t="s">
        <v>24</v>
      </c>
      <c r="G3025" t="s">
        <v>25</v>
      </c>
      <c r="H3025" t="s">
        <v>26</v>
      </c>
      <c r="I3025" t="s">
        <v>57</v>
      </c>
    </row>
    <row r="3026" spans="1:9" x14ac:dyDescent="0.2">
      <c r="A3026" s="3">
        <v>42574</v>
      </c>
      <c r="B3026" t="s">
        <v>23</v>
      </c>
      <c r="C3026">
        <v>703</v>
      </c>
      <c r="D3026">
        <v>9</v>
      </c>
      <c r="E3026">
        <v>1</v>
      </c>
      <c r="F3026" t="s">
        <v>24</v>
      </c>
      <c r="G3026" t="s">
        <v>25</v>
      </c>
      <c r="H3026" t="s">
        <v>26</v>
      </c>
      <c r="I3026" t="s">
        <v>57</v>
      </c>
    </row>
    <row r="3027" spans="1:9" x14ac:dyDescent="0.2">
      <c r="A3027" s="3">
        <v>42574</v>
      </c>
      <c r="B3027" t="s">
        <v>23</v>
      </c>
      <c r="C3027">
        <v>703</v>
      </c>
      <c r="D3027">
        <v>10</v>
      </c>
      <c r="E3027">
        <v>1</v>
      </c>
      <c r="F3027" t="s">
        <v>24</v>
      </c>
      <c r="G3027" t="s">
        <v>25</v>
      </c>
      <c r="H3027" t="s">
        <v>26</v>
      </c>
      <c r="I3027" t="s">
        <v>57</v>
      </c>
    </row>
    <row r="3028" spans="1:9" x14ac:dyDescent="0.2">
      <c r="A3028" s="3">
        <v>42574</v>
      </c>
      <c r="B3028" t="s">
        <v>23</v>
      </c>
      <c r="C3028">
        <v>703</v>
      </c>
      <c r="D3028">
        <v>10</v>
      </c>
      <c r="E3028">
        <v>2</v>
      </c>
      <c r="F3028" t="s">
        <v>24</v>
      </c>
      <c r="G3028" t="s">
        <v>25</v>
      </c>
      <c r="H3028" t="s">
        <v>26</v>
      </c>
      <c r="I3028" t="s">
        <v>57</v>
      </c>
    </row>
    <row r="3029" spans="1:9" x14ac:dyDescent="0.2">
      <c r="A3029" s="3">
        <v>42574</v>
      </c>
      <c r="B3029" t="s">
        <v>23</v>
      </c>
      <c r="C3029">
        <v>701</v>
      </c>
      <c r="D3029">
        <v>1</v>
      </c>
      <c r="E3029">
        <v>1</v>
      </c>
      <c r="F3029" t="s">
        <v>24</v>
      </c>
      <c r="G3029" t="s">
        <v>25</v>
      </c>
      <c r="H3029" t="s">
        <v>26</v>
      </c>
      <c r="I3029" t="s">
        <v>57</v>
      </c>
    </row>
    <row r="3030" spans="1:9" x14ac:dyDescent="0.2">
      <c r="A3030" s="3">
        <v>42574</v>
      </c>
      <c r="B3030" t="s">
        <v>23</v>
      </c>
      <c r="C3030">
        <v>701</v>
      </c>
      <c r="D3030">
        <v>2</v>
      </c>
      <c r="E3030">
        <v>1</v>
      </c>
      <c r="F3030" t="s">
        <v>24</v>
      </c>
      <c r="G3030" t="s">
        <v>25</v>
      </c>
      <c r="H3030" t="s">
        <v>26</v>
      </c>
      <c r="I3030" t="s">
        <v>57</v>
      </c>
    </row>
    <row r="3031" spans="1:9" x14ac:dyDescent="0.2">
      <c r="A3031" s="3">
        <v>42574</v>
      </c>
      <c r="B3031" t="s">
        <v>23</v>
      </c>
      <c r="C3031">
        <v>701</v>
      </c>
      <c r="D3031">
        <v>3</v>
      </c>
      <c r="E3031">
        <v>1</v>
      </c>
      <c r="F3031" t="s">
        <v>24</v>
      </c>
      <c r="G3031" t="s">
        <v>25</v>
      </c>
      <c r="H3031" t="s">
        <v>26</v>
      </c>
      <c r="I3031" t="s">
        <v>57</v>
      </c>
    </row>
    <row r="3032" spans="1:9" x14ac:dyDescent="0.2">
      <c r="A3032" s="3">
        <v>42574</v>
      </c>
      <c r="B3032" t="s">
        <v>23</v>
      </c>
      <c r="C3032">
        <v>701</v>
      </c>
      <c r="D3032">
        <v>4</v>
      </c>
      <c r="E3032">
        <v>1</v>
      </c>
      <c r="F3032" t="s">
        <v>24</v>
      </c>
      <c r="G3032" t="s">
        <v>25</v>
      </c>
      <c r="H3032" t="s">
        <v>26</v>
      </c>
      <c r="I3032" t="s">
        <v>57</v>
      </c>
    </row>
    <row r="3033" spans="1:9" x14ac:dyDescent="0.2">
      <c r="A3033" s="3">
        <v>42574</v>
      </c>
      <c r="B3033" t="s">
        <v>23</v>
      </c>
      <c r="C3033">
        <v>701</v>
      </c>
      <c r="D3033">
        <v>5</v>
      </c>
      <c r="E3033">
        <v>1</v>
      </c>
      <c r="F3033" t="s">
        <v>24</v>
      </c>
      <c r="G3033" t="s">
        <v>25</v>
      </c>
      <c r="H3033" t="s">
        <v>26</v>
      </c>
      <c r="I3033" t="s">
        <v>57</v>
      </c>
    </row>
    <row r="3034" spans="1:9" x14ac:dyDescent="0.2">
      <c r="A3034" s="3">
        <v>42574</v>
      </c>
      <c r="B3034" t="s">
        <v>23</v>
      </c>
      <c r="C3034">
        <v>701</v>
      </c>
      <c r="D3034">
        <v>6</v>
      </c>
      <c r="E3034">
        <v>2</v>
      </c>
      <c r="F3034" t="s">
        <v>24</v>
      </c>
      <c r="G3034" t="s">
        <v>25</v>
      </c>
      <c r="H3034" t="s">
        <v>26</v>
      </c>
      <c r="I3034" t="s">
        <v>57</v>
      </c>
    </row>
    <row r="3035" spans="1:9" x14ac:dyDescent="0.2">
      <c r="A3035" s="3">
        <v>42574</v>
      </c>
      <c r="B3035" t="s">
        <v>23</v>
      </c>
      <c r="C3035">
        <v>701</v>
      </c>
      <c r="D3035">
        <v>7</v>
      </c>
      <c r="E3035">
        <v>1</v>
      </c>
      <c r="F3035" t="s">
        <v>24</v>
      </c>
      <c r="G3035" t="s">
        <v>25</v>
      </c>
      <c r="H3035" t="s">
        <v>26</v>
      </c>
      <c r="I3035" t="s">
        <v>57</v>
      </c>
    </row>
    <row r="3036" spans="1:9" x14ac:dyDescent="0.2">
      <c r="A3036" s="3">
        <v>42574</v>
      </c>
      <c r="B3036" t="s">
        <v>23</v>
      </c>
      <c r="C3036">
        <v>701</v>
      </c>
      <c r="D3036">
        <v>8</v>
      </c>
      <c r="E3036">
        <v>1</v>
      </c>
      <c r="F3036" t="s">
        <v>24</v>
      </c>
      <c r="G3036" t="s">
        <v>25</v>
      </c>
      <c r="H3036" t="s">
        <v>26</v>
      </c>
      <c r="I3036" t="s">
        <v>57</v>
      </c>
    </row>
    <row r="3037" spans="1:9" x14ac:dyDescent="0.2">
      <c r="A3037" s="3">
        <v>42574</v>
      </c>
      <c r="B3037" t="s">
        <v>23</v>
      </c>
      <c r="C3037">
        <v>701</v>
      </c>
      <c r="D3037">
        <v>8</v>
      </c>
      <c r="E3037">
        <v>2</v>
      </c>
      <c r="F3037" t="s">
        <v>24</v>
      </c>
      <c r="G3037" t="s">
        <v>25</v>
      </c>
      <c r="H3037" t="s">
        <v>26</v>
      </c>
      <c r="I3037" t="s">
        <v>57</v>
      </c>
    </row>
    <row r="3038" spans="1:9" x14ac:dyDescent="0.2">
      <c r="A3038" s="3">
        <v>42574</v>
      </c>
      <c r="B3038" t="s">
        <v>23</v>
      </c>
      <c r="C3038">
        <v>701</v>
      </c>
      <c r="D3038">
        <v>9</v>
      </c>
      <c r="E3038">
        <v>1</v>
      </c>
      <c r="F3038" t="s">
        <v>24</v>
      </c>
      <c r="G3038" t="s">
        <v>25</v>
      </c>
      <c r="H3038" t="s">
        <v>26</v>
      </c>
      <c r="I3038" t="s">
        <v>57</v>
      </c>
    </row>
    <row r="3039" spans="1:9" x14ac:dyDescent="0.2">
      <c r="A3039" s="3">
        <v>42574</v>
      </c>
      <c r="B3039" t="s">
        <v>23</v>
      </c>
      <c r="C3039">
        <v>701</v>
      </c>
      <c r="D3039">
        <v>10</v>
      </c>
      <c r="E3039">
        <v>1</v>
      </c>
      <c r="F3039" t="s">
        <v>24</v>
      </c>
      <c r="G3039" t="s">
        <v>25</v>
      </c>
      <c r="H3039" t="s">
        <v>26</v>
      </c>
      <c r="I3039" t="s">
        <v>57</v>
      </c>
    </row>
    <row r="3040" spans="1:9" x14ac:dyDescent="0.2">
      <c r="A3040" s="3">
        <v>42574</v>
      </c>
      <c r="B3040" t="s">
        <v>23</v>
      </c>
      <c r="C3040">
        <v>801</v>
      </c>
      <c r="D3040">
        <v>1</v>
      </c>
      <c r="E3040">
        <v>1</v>
      </c>
      <c r="F3040" t="s">
        <v>24</v>
      </c>
      <c r="G3040" t="s">
        <v>25</v>
      </c>
      <c r="H3040" t="s">
        <v>26</v>
      </c>
      <c r="I3040" t="s">
        <v>57</v>
      </c>
    </row>
    <row r="3041" spans="1:9" x14ac:dyDescent="0.2">
      <c r="A3041" s="3">
        <v>42574</v>
      </c>
      <c r="B3041" t="s">
        <v>23</v>
      </c>
      <c r="C3041">
        <v>801</v>
      </c>
      <c r="D3041">
        <v>3</v>
      </c>
      <c r="E3041">
        <v>1</v>
      </c>
      <c r="F3041" t="s">
        <v>24</v>
      </c>
      <c r="G3041" t="s">
        <v>25</v>
      </c>
      <c r="H3041" t="s">
        <v>26</v>
      </c>
      <c r="I3041" t="s">
        <v>57</v>
      </c>
    </row>
    <row r="3042" spans="1:9" x14ac:dyDescent="0.2">
      <c r="A3042" s="3">
        <v>42574</v>
      </c>
      <c r="B3042" t="s">
        <v>23</v>
      </c>
      <c r="C3042">
        <v>801</v>
      </c>
      <c r="D3042">
        <v>6</v>
      </c>
      <c r="E3042">
        <v>1</v>
      </c>
      <c r="F3042" t="s">
        <v>24</v>
      </c>
      <c r="G3042" t="s">
        <v>25</v>
      </c>
      <c r="H3042" t="s">
        <v>26</v>
      </c>
      <c r="I3042" t="s">
        <v>57</v>
      </c>
    </row>
    <row r="3043" spans="1:9" x14ac:dyDescent="0.2">
      <c r="A3043" s="3">
        <v>42574</v>
      </c>
      <c r="B3043" t="s">
        <v>23</v>
      </c>
      <c r="C3043">
        <v>801</v>
      </c>
      <c r="D3043">
        <v>8</v>
      </c>
      <c r="E3043">
        <v>1</v>
      </c>
      <c r="F3043" t="s">
        <v>24</v>
      </c>
      <c r="G3043" t="s">
        <v>25</v>
      </c>
      <c r="H3043" t="s">
        <v>26</v>
      </c>
      <c r="I3043" t="s">
        <v>57</v>
      </c>
    </row>
    <row r="3044" spans="1:9" x14ac:dyDescent="0.2">
      <c r="A3044" s="3">
        <v>42574</v>
      </c>
      <c r="B3044" t="s">
        <v>23</v>
      </c>
      <c r="C3044">
        <v>801</v>
      </c>
      <c r="D3044">
        <v>9</v>
      </c>
      <c r="E3044">
        <v>1</v>
      </c>
      <c r="F3044" t="s">
        <v>24</v>
      </c>
      <c r="G3044" t="s">
        <v>25</v>
      </c>
      <c r="H3044" t="s">
        <v>26</v>
      </c>
      <c r="I3044" t="s">
        <v>57</v>
      </c>
    </row>
    <row r="3045" spans="1:9" x14ac:dyDescent="0.2">
      <c r="A3045" s="3">
        <v>42574</v>
      </c>
      <c r="B3045" t="s">
        <v>23</v>
      </c>
      <c r="C3045">
        <v>801</v>
      </c>
      <c r="D3045">
        <v>9</v>
      </c>
      <c r="E3045">
        <v>2</v>
      </c>
      <c r="F3045" t="s">
        <v>24</v>
      </c>
      <c r="G3045" t="s">
        <v>25</v>
      </c>
      <c r="H3045" t="s">
        <v>26</v>
      </c>
      <c r="I3045" t="s">
        <v>57</v>
      </c>
    </row>
    <row r="3046" spans="1:9" x14ac:dyDescent="0.2">
      <c r="A3046" s="3">
        <v>42574</v>
      </c>
      <c r="B3046" t="s">
        <v>23</v>
      </c>
      <c r="C3046">
        <v>801</v>
      </c>
      <c r="D3046">
        <v>10</v>
      </c>
      <c r="E3046">
        <v>1</v>
      </c>
      <c r="F3046" t="s">
        <v>24</v>
      </c>
      <c r="G3046" t="s">
        <v>25</v>
      </c>
      <c r="H3046" t="s">
        <v>26</v>
      </c>
      <c r="I3046" t="s">
        <v>57</v>
      </c>
    </row>
    <row r="3047" spans="1:9" x14ac:dyDescent="0.2">
      <c r="A3047" s="3">
        <v>42574</v>
      </c>
      <c r="B3047" t="s">
        <v>23</v>
      </c>
      <c r="C3047">
        <v>801</v>
      </c>
      <c r="D3047">
        <v>10</v>
      </c>
      <c r="E3047">
        <v>2</v>
      </c>
      <c r="F3047" t="s">
        <v>24</v>
      </c>
      <c r="G3047" t="s">
        <v>25</v>
      </c>
      <c r="H3047" t="s">
        <v>26</v>
      </c>
      <c r="I3047" t="s">
        <v>57</v>
      </c>
    </row>
    <row r="3048" spans="1:9" x14ac:dyDescent="0.2">
      <c r="A3048" s="3">
        <v>42574</v>
      </c>
      <c r="B3048" t="s">
        <v>23</v>
      </c>
      <c r="C3048">
        <v>803</v>
      </c>
      <c r="D3048">
        <v>10</v>
      </c>
      <c r="E3048">
        <v>1</v>
      </c>
      <c r="F3048" t="s">
        <v>24</v>
      </c>
      <c r="G3048" t="s">
        <v>25</v>
      </c>
      <c r="H3048" t="s">
        <v>26</v>
      </c>
      <c r="I3048" t="s">
        <v>57</v>
      </c>
    </row>
    <row r="3049" spans="1:9" x14ac:dyDescent="0.2">
      <c r="A3049" s="3">
        <v>42574</v>
      </c>
      <c r="B3049" t="s">
        <v>23</v>
      </c>
      <c r="C3049">
        <v>803</v>
      </c>
      <c r="D3049">
        <v>9</v>
      </c>
      <c r="E3049">
        <v>1</v>
      </c>
      <c r="F3049" t="s">
        <v>24</v>
      </c>
      <c r="G3049" t="s">
        <v>25</v>
      </c>
      <c r="H3049" t="s">
        <v>26</v>
      </c>
      <c r="I3049" t="s">
        <v>57</v>
      </c>
    </row>
    <row r="3050" spans="1:9" x14ac:dyDescent="0.2">
      <c r="A3050" s="3">
        <v>42574</v>
      </c>
      <c r="B3050" t="s">
        <v>23</v>
      </c>
      <c r="C3050">
        <v>803</v>
      </c>
      <c r="D3050">
        <v>9</v>
      </c>
      <c r="E3050">
        <v>2</v>
      </c>
      <c r="F3050" t="s">
        <v>24</v>
      </c>
      <c r="G3050" t="s">
        <v>25</v>
      </c>
      <c r="H3050" t="s">
        <v>26</v>
      </c>
      <c r="I3050" t="s">
        <v>57</v>
      </c>
    </row>
    <row r="3051" spans="1:9" x14ac:dyDescent="0.2">
      <c r="A3051" s="3">
        <v>42574</v>
      </c>
      <c r="B3051" t="s">
        <v>23</v>
      </c>
      <c r="C3051">
        <v>803</v>
      </c>
      <c r="D3051">
        <v>8</v>
      </c>
      <c r="E3051">
        <v>1</v>
      </c>
      <c r="F3051" t="s">
        <v>24</v>
      </c>
      <c r="G3051" t="s">
        <v>25</v>
      </c>
      <c r="H3051" t="s">
        <v>26</v>
      </c>
      <c r="I3051" t="s">
        <v>57</v>
      </c>
    </row>
    <row r="3052" spans="1:9" x14ac:dyDescent="0.2">
      <c r="A3052" s="3">
        <v>42574</v>
      </c>
      <c r="B3052" t="s">
        <v>23</v>
      </c>
      <c r="C3052">
        <v>801</v>
      </c>
      <c r="D3052">
        <v>4</v>
      </c>
      <c r="E3052">
        <v>1</v>
      </c>
      <c r="F3052" t="s">
        <v>24</v>
      </c>
      <c r="G3052" t="s">
        <v>25</v>
      </c>
      <c r="H3052" t="s">
        <v>26</v>
      </c>
      <c r="I3052" t="s">
        <v>57</v>
      </c>
    </row>
    <row r="3053" spans="1:9" x14ac:dyDescent="0.2">
      <c r="A3053" s="3">
        <v>42574</v>
      </c>
      <c r="B3053" t="s">
        <v>23</v>
      </c>
      <c r="C3053">
        <v>801</v>
      </c>
      <c r="D3053">
        <v>4</v>
      </c>
      <c r="E3053">
        <v>2</v>
      </c>
      <c r="F3053" t="s">
        <v>24</v>
      </c>
      <c r="G3053" t="s">
        <v>25</v>
      </c>
      <c r="H3053" t="s">
        <v>26</v>
      </c>
      <c r="I3053" t="s">
        <v>57</v>
      </c>
    </row>
    <row r="3054" spans="1:9" x14ac:dyDescent="0.2">
      <c r="A3054" s="3">
        <v>42574</v>
      </c>
      <c r="B3054" t="s">
        <v>23</v>
      </c>
      <c r="C3054">
        <v>801</v>
      </c>
      <c r="D3054">
        <v>3</v>
      </c>
      <c r="E3054">
        <v>1</v>
      </c>
      <c r="F3054" t="s">
        <v>24</v>
      </c>
      <c r="G3054" t="s">
        <v>25</v>
      </c>
      <c r="H3054" t="s">
        <v>26</v>
      </c>
      <c r="I3054" t="s">
        <v>57</v>
      </c>
    </row>
    <row r="3055" spans="1:9" x14ac:dyDescent="0.2">
      <c r="A3055" s="3">
        <v>42574</v>
      </c>
      <c r="B3055" t="s">
        <v>23</v>
      </c>
      <c r="C3055">
        <v>801</v>
      </c>
      <c r="D3055">
        <v>3</v>
      </c>
      <c r="E3055">
        <v>2</v>
      </c>
      <c r="F3055" t="s">
        <v>24</v>
      </c>
      <c r="G3055" t="s">
        <v>25</v>
      </c>
      <c r="H3055" t="s">
        <v>26</v>
      </c>
      <c r="I3055" t="s">
        <v>57</v>
      </c>
    </row>
    <row r="3056" spans="1:9" x14ac:dyDescent="0.2">
      <c r="A3056" s="3">
        <v>42574</v>
      </c>
      <c r="B3056" t="s">
        <v>23</v>
      </c>
      <c r="C3056">
        <v>801</v>
      </c>
      <c r="D3056">
        <v>2</v>
      </c>
      <c r="E3056">
        <v>1</v>
      </c>
      <c r="F3056" t="s">
        <v>24</v>
      </c>
      <c r="G3056" t="s">
        <v>25</v>
      </c>
      <c r="H3056" t="s">
        <v>26</v>
      </c>
      <c r="I3056" t="s">
        <v>57</v>
      </c>
    </row>
    <row r="3057" spans="1:9" x14ac:dyDescent="0.2">
      <c r="A3057" s="3">
        <v>42574</v>
      </c>
      <c r="B3057" t="s">
        <v>23</v>
      </c>
      <c r="C3057">
        <v>801</v>
      </c>
      <c r="D3057">
        <v>2</v>
      </c>
      <c r="E3057">
        <v>2</v>
      </c>
      <c r="F3057" t="s">
        <v>24</v>
      </c>
      <c r="G3057" t="s">
        <v>25</v>
      </c>
      <c r="H3057" t="s">
        <v>26</v>
      </c>
      <c r="I3057" t="s">
        <v>57</v>
      </c>
    </row>
    <row r="3058" spans="1:9" x14ac:dyDescent="0.2">
      <c r="A3058" s="3">
        <v>42574</v>
      </c>
      <c r="B3058" t="s">
        <v>23</v>
      </c>
      <c r="C3058">
        <v>901</v>
      </c>
      <c r="D3058">
        <v>1</v>
      </c>
      <c r="E3058">
        <v>1</v>
      </c>
      <c r="F3058" t="s">
        <v>24</v>
      </c>
      <c r="G3058" t="s">
        <v>25</v>
      </c>
      <c r="H3058" t="s">
        <v>26</v>
      </c>
      <c r="I3058" t="s">
        <v>57</v>
      </c>
    </row>
    <row r="3059" spans="1:9" x14ac:dyDescent="0.2">
      <c r="A3059" s="3">
        <v>42574</v>
      </c>
      <c r="B3059" t="s">
        <v>23</v>
      </c>
      <c r="C3059">
        <v>901</v>
      </c>
      <c r="D3059">
        <v>1</v>
      </c>
      <c r="E3059">
        <v>2</v>
      </c>
      <c r="F3059" t="s">
        <v>24</v>
      </c>
      <c r="G3059" t="s">
        <v>25</v>
      </c>
      <c r="H3059" t="s">
        <v>26</v>
      </c>
      <c r="I3059" t="s">
        <v>57</v>
      </c>
    </row>
    <row r="3060" spans="1:9" x14ac:dyDescent="0.2">
      <c r="A3060" s="3">
        <v>42574</v>
      </c>
      <c r="B3060" t="s">
        <v>23</v>
      </c>
      <c r="C3060">
        <v>901</v>
      </c>
      <c r="D3060">
        <v>2</v>
      </c>
      <c r="E3060">
        <v>1</v>
      </c>
      <c r="F3060" t="s">
        <v>24</v>
      </c>
      <c r="G3060" t="s">
        <v>25</v>
      </c>
      <c r="H3060" t="s">
        <v>26</v>
      </c>
      <c r="I3060" t="s">
        <v>57</v>
      </c>
    </row>
    <row r="3061" spans="1:9" x14ac:dyDescent="0.2">
      <c r="A3061" s="3">
        <v>42574</v>
      </c>
      <c r="B3061" t="s">
        <v>23</v>
      </c>
      <c r="C3061">
        <v>901</v>
      </c>
      <c r="D3061">
        <v>3</v>
      </c>
      <c r="E3061">
        <v>1</v>
      </c>
      <c r="F3061" t="s">
        <v>24</v>
      </c>
      <c r="G3061" t="s">
        <v>25</v>
      </c>
      <c r="H3061" t="s">
        <v>26</v>
      </c>
      <c r="I3061" t="s">
        <v>57</v>
      </c>
    </row>
    <row r="3062" spans="1:9" x14ac:dyDescent="0.2">
      <c r="A3062" s="3">
        <v>42575</v>
      </c>
      <c r="B3062" t="s">
        <v>23</v>
      </c>
      <c r="C3062">
        <v>501</v>
      </c>
      <c r="D3062">
        <v>2</v>
      </c>
      <c r="E3062">
        <v>1</v>
      </c>
      <c r="F3062" t="s">
        <v>33</v>
      </c>
      <c r="G3062" t="s">
        <v>25</v>
      </c>
      <c r="H3062" t="s">
        <v>26</v>
      </c>
      <c r="I3062" t="s">
        <v>57</v>
      </c>
    </row>
    <row r="3063" spans="1:9" x14ac:dyDescent="0.2">
      <c r="A3063" s="3">
        <v>42575</v>
      </c>
      <c r="B3063" t="s">
        <v>23</v>
      </c>
      <c r="C3063">
        <v>501</v>
      </c>
      <c r="D3063">
        <v>2</v>
      </c>
      <c r="E3063">
        <v>2</v>
      </c>
      <c r="F3063" t="s">
        <v>33</v>
      </c>
      <c r="G3063" t="s">
        <v>25</v>
      </c>
      <c r="H3063" t="s">
        <v>26</v>
      </c>
      <c r="I3063" t="s">
        <v>57</v>
      </c>
    </row>
    <row r="3064" spans="1:9" x14ac:dyDescent="0.2">
      <c r="A3064" s="3">
        <v>42575</v>
      </c>
      <c r="B3064" t="s">
        <v>23</v>
      </c>
      <c r="C3064">
        <v>501</v>
      </c>
      <c r="D3064">
        <v>3</v>
      </c>
      <c r="E3064">
        <v>1</v>
      </c>
      <c r="F3064" t="s">
        <v>33</v>
      </c>
      <c r="G3064" t="s">
        <v>25</v>
      </c>
      <c r="H3064" t="s">
        <v>26</v>
      </c>
      <c r="I3064" t="s">
        <v>57</v>
      </c>
    </row>
    <row r="3065" spans="1:9" x14ac:dyDescent="0.2">
      <c r="A3065" s="3">
        <v>42575</v>
      </c>
      <c r="B3065" t="s">
        <v>23</v>
      </c>
      <c r="C3065">
        <v>501</v>
      </c>
      <c r="D3065">
        <v>4</v>
      </c>
      <c r="E3065">
        <v>2</v>
      </c>
      <c r="F3065" t="s">
        <v>33</v>
      </c>
      <c r="G3065" t="s">
        <v>25</v>
      </c>
      <c r="H3065" t="s">
        <v>26</v>
      </c>
      <c r="I3065" t="s">
        <v>57</v>
      </c>
    </row>
    <row r="3066" spans="1:9" x14ac:dyDescent="0.2">
      <c r="A3066" s="3">
        <v>42575</v>
      </c>
      <c r="B3066" t="s">
        <v>23</v>
      </c>
      <c r="C3066">
        <v>501</v>
      </c>
      <c r="D3066">
        <v>5</v>
      </c>
      <c r="E3066">
        <v>1</v>
      </c>
      <c r="F3066" t="s">
        <v>33</v>
      </c>
      <c r="G3066" t="s">
        <v>25</v>
      </c>
      <c r="H3066" t="s">
        <v>26</v>
      </c>
      <c r="I3066" t="s">
        <v>57</v>
      </c>
    </row>
    <row r="3067" spans="1:9" x14ac:dyDescent="0.2">
      <c r="A3067" s="3">
        <v>42575</v>
      </c>
      <c r="B3067" t="s">
        <v>23</v>
      </c>
      <c r="C3067">
        <v>501</v>
      </c>
      <c r="D3067">
        <v>5</v>
      </c>
      <c r="E3067">
        <v>2</v>
      </c>
      <c r="F3067" t="s">
        <v>33</v>
      </c>
      <c r="G3067" t="s">
        <v>25</v>
      </c>
      <c r="H3067" t="s">
        <v>26</v>
      </c>
      <c r="I3067" t="s">
        <v>57</v>
      </c>
    </row>
    <row r="3068" spans="1:9" x14ac:dyDescent="0.2">
      <c r="A3068" s="3">
        <v>42575</v>
      </c>
      <c r="B3068" t="s">
        <v>23</v>
      </c>
      <c r="C3068">
        <v>501</v>
      </c>
      <c r="D3068">
        <v>6</v>
      </c>
      <c r="E3068">
        <v>1</v>
      </c>
      <c r="F3068" t="s">
        <v>33</v>
      </c>
      <c r="G3068" t="s">
        <v>25</v>
      </c>
      <c r="H3068" t="s">
        <v>26</v>
      </c>
      <c r="I3068" t="s">
        <v>57</v>
      </c>
    </row>
    <row r="3069" spans="1:9" x14ac:dyDescent="0.2">
      <c r="A3069" s="3">
        <v>42575</v>
      </c>
      <c r="B3069" t="s">
        <v>23</v>
      </c>
      <c r="C3069">
        <v>501</v>
      </c>
      <c r="D3069">
        <v>7</v>
      </c>
      <c r="E3069">
        <v>1</v>
      </c>
      <c r="F3069" t="s">
        <v>33</v>
      </c>
      <c r="G3069" t="s">
        <v>25</v>
      </c>
      <c r="H3069" t="s">
        <v>26</v>
      </c>
      <c r="I3069" t="s">
        <v>57</v>
      </c>
    </row>
    <row r="3070" spans="1:9" x14ac:dyDescent="0.2">
      <c r="A3070" s="3">
        <v>42575</v>
      </c>
      <c r="B3070" t="s">
        <v>23</v>
      </c>
      <c r="C3070">
        <v>501</v>
      </c>
      <c r="D3070">
        <v>8</v>
      </c>
      <c r="E3070">
        <v>1</v>
      </c>
      <c r="F3070" t="s">
        <v>33</v>
      </c>
      <c r="G3070" t="s">
        <v>25</v>
      </c>
      <c r="H3070" t="s">
        <v>26</v>
      </c>
      <c r="I3070" t="s">
        <v>57</v>
      </c>
    </row>
    <row r="3071" spans="1:9" x14ac:dyDescent="0.2">
      <c r="A3071" s="3">
        <v>42575</v>
      </c>
      <c r="B3071" t="s">
        <v>23</v>
      </c>
      <c r="C3071">
        <v>501</v>
      </c>
      <c r="D3071">
        <v>9</v>
      </c>
      <c r="E3071">
        <v>1</v>
      </c>
      <c r="F3071" t="s">
        <v>33</v>
      </c>
      <c r="G3071" t="s">
        <v>25</v>
      </c>
      <c r="H3071" t="s">
        <v>26</v>
      </c>
      <c r="I3071" t="s">
        <v>57</v>
      </c>
    </row>
    <row r="3072" spans="1:9" x14ac:dyDescent="0.2">
      <c r="A3072" s="3">
        <v>42575</v>
      </c>
      <c r="B3072" t="s">
        <v>23</v>
      </c>
      <c r="C3072">
        <v>501</v>
      </c>
      <c r="D3072">
        <v>10</v>
      </c>
      <c r="E3072">
        <v>1</v>
      </c>
      <c r="F3072" t="s">
        <v>33</v>
      </c>
      <c r="G3072" t="s">
        <v>25</v>
      </c>
      <c r="H3072" t="s">
        <v>26</v>
      </c>
      <c r="I3072" t="s">
        <v>57</v>
      </c>
    </row>
    <row r="3073" spans="1:9" x14ac:dyDescent="0.2">
      <c r="A3073" s="3">
        <v>42575</v>
      </c>
      <c r="B3073" t="s">
        <v>23</v>
      </c>
      <c r="C3073">
        <v>503</v>
      </c>
      <c r="D3073">
        <v>1</v>
      </c>
      <c r="E3073">
        <v>2</v>
      </c>
      <c r="F3073" t="s">
        <v>33</v>
      </c>
      <c r="G3073" t="s">
        <v>25</v>
      </c>
      <c r="H3073" t="s">
        <v>26</v>
      </c>
      <c r="I3073" t="s">
        <v>57</v>
      </c>
    </row>
    <row r="3074" spans="1:9" x14ac:dyDescent="0.2">
      <c r="A3074" s="3">
        <v>42575</v>
      </c>
      <c r="B3074" t="s">
        <v>23</v>
      </c>
      <c r="C3074">
        <v>503</v>
      </c>
      <c r="D3074">
        <v>2</v>
      </c>
      <c r="E3074">
        <v>1</v>
      </c>
      <c r="F3074" t="s">
        <v>33</v>
      </c>
      <c r="G3074" t="s">
        <v>25</v>
      </c>
      <c r="H3074" t="s">
        <v>26</v>
      </c>
      <c r="I3074" t="s">
        <v>57</v>
      </c>
    </row>
    <row r="3075" spans="1:9" x14ac:dyDescent="0.2">
      <c r="A3075" s="3">
        <v>42575</v>
      </c>
      <c r="B3075" t="s">
        <v>23</v>
      </c>
      <c r="C3075">
        <v>503</v>
      </c>
      <c r="D3075">
        <v>4</v>
      </c>
      <c r="E3075">
        <v>1</v>
      </c>
      <c r="F3075" t="s">
        <v>33</v>
      </c>
      <c r="G3075" t="s">
        <v>25</v>
      </c>
      <c r="H3075" t="s">
        <v>26</v>
      </c>
      <c r="I3075" t="s">
        <v>57</v>
      </c>
    </row>
    <row r="3076" spans="1:9" x14ac:dyDescent="0.2">
      <c r="A3076" s="3">
        <v>42575</v>
      </c>
      <c r="B3076" t="s">
        <v>23</v>
      </c>
      <c r="C3076">
        <v>503</v>
      </c>
      <c r="D3076">
        <v>7</v>
      </c>
      <c r="E3076">
        <v>1</v>
      </c>
      <c r="F3076" t="s">
        <v>33</v>
      </c>
      <c r="G3076" t="s">
        <v>25</v>
      </c>
      <c r="H3076" t="s">
        <v>26</v>
      </c>
      <c r="I3076" t="s">
        <v>57</v>
      </c>
    </row>
    <row r="3077" spans="1:9" x14ac:dyDescent="0.2">
      <c r="A3077" s="3">
        <v>42575</v>
      </c>
      <c r="B3077" t="s">
        <v>23</v>
      </c>
      <c r="C3077">
        <v>503</v>
      </c>
      <c r="D3077">
        <v>8</v>
      </c>
      <c r="E3077">
        <v>1</v>
      </c>
      <c r="F3077" t="s">
        <v>33</v>
      </c>
      <c r="G3077" t="s">
        <v>25</v>
      </c>
      <c r="H3077" t="s">
        <v>26</v>
      </c>
      <c r="I3077" t="s">
        <v>57</v>
      </c>
    </row>
    <row r="3078" spans="1:9" x14ac:dyDescent="0.2">
      <c r="A3078" s="3">
        <v>42575</v>
      </c>
      <c r="B3078" t="s">
        <v>23</v>
      </c>
      <c r="C3078">
        <v>503</v>
      </c>
      <c r="D3078">
        <v>9</v>
      </c>
      <c r="E3078">
        <v>1</v>
      </c>
      <c r="F3078" t="s">
        <v>33</v>
      </c>
      <c r="G3078" t="s">
        <v>25</v>
      </c>
      <c r="H3078" t="s">
        <v>26</v>
      </c>
      <c r="I3078" t="s">
        <v>57</v>
      </c>
    </row>
    <row r="3079" spans="1:9" x14ac:dyDescent="0.2">
      <c r="A3079" s="3">
        <v>42575</v>
      </c>
      <c r="B3079" t="s">
        <v>23</v>
      </c>
      <c r="C3079">
        <v>303</v>
      </c>
      <c r="D3079">
        <v>3</v>
      </c>
      <c r="E3079">
        <v>1</v>
      </c>
      <c r="F3079" t="s">
        <v>33</v>
      </c>
      <c r="G3079" t="s">
        <v>25</v>
      </c>
      <c r="H3079" t="s">
        <v>26</v>
      </c>
      <c r="I3079" t="s">
        <v>57</v>
      </c>
    </row>
    <row r="3080" spans="1:9" x14ac:dyDescent="0.2">
      <c r="A3080" s="3">
        <v>42575</v>
      </c>
      <c r="B3080" t="s">
        <v>23</v>
      </c>
      <c r="C3080">
        <v>303</v>
      </c>
      <c r="D3080">
        <v>8</v>
      </c>
      <c r="E3080">
        <v>1</v>
      </c>
      <c r="F3080" t="s">
        <v>33</v>
      </c>
      <c r="G3080" t="s">
        <v>25</v>
      </c>
      <c r="H3080" t="s">
        <v>26</v>
      </c>
      <c r="I3080" t="s">
        <v>57</v>
      </c>
    </row>
    <row r="3081" spans="1:9" x14ac:dyDescent="0.2">
      <c r="A3081" s="3">
        <v>42575</v>
      </c>
      <c r="B3081" t="s">
        <v>23</v>
      </c>
      <c r="C3081">
        <v>303</v>
      </c>
      <c r="D3081">
        <v>9</v>
      </c>
      <c r="E3081">
        <v>1</v>
      </c>
      <c r="F3081" t="s">
        <v>33</v>
      </c>
      <c r="G3081" t="s">
        <v>25</v>
      </c>
      <c r="H3081" t="s">
        <v>26</v>
      </c>
      <c r="I3081" t="s">
        <v>57</v>
      </c>
    </row>
    <row r="3082" spans="1:9" x14ac:dyDescent="0.2">
      <c r="A3082" s="3">
        <v>42575</v>
      </c>
      <c r="B3082" t="s">
        <v>23</v>
      </c>
      <c r="C3082">
        <v>303</v>
      </c>
      <c r="D3082">
        <v>9</v>
      </c>
      <c r="E3082">
        <v>2</v>
      </c>
      <c r="F3082" t="s">
        <v>33</v>
      </c>
      <c r="G3082" t="s">
        <v>25</v>
      </c>
      <c r="H3082" t="s">
        <v>26</v>
      </c>
      <c r="I3082" t="s">
        <v>57</v>
      </c>
    </row>
    <row r="3083" spans="1:9" x14ac:dyDescent="0.2">
      <c r="A3083" s="3">
        <v>42575</v>
      </c>
      <c r="B3083" t="s">
        <v>23</v>
      </c>
      <c r="C3083">
        <v>401</v>
      </c>
      <c r="D3083">
        <v>1</v>
      </c>
      <c r="E3083">
        <v>1</v>
      </c>
      <c r="F3083" t="s">
        <v>33</v>
      </c>
      <c r="G3083" t="s">
        <v>25</v>
      </c>
      <c r="H3083" t="s">
        <v>26</v>
      </c>
      <c r="I3083" t="s">
        <v>57</v>
      </c>
    </row>
    <row r="3084" spans="1:9" x14ac:dyDescent="0.2">
      <c r="A3084" s="3">
        <v>42575</v>
      </c>
      <c r="B3084" t="s">
        <v>23</v>
      </c>
      <c r="C3084">
        <v>401</v>
      </c>
      <c r="D3084">
        <v>5</v>
      </c>
      <c r="E3084">
        <v>1</v>
      </c>
      <c r="F3084" t="s">
        <v>33</v>
      </c>
      <c r="G3084" t="s">
        <v>25</v>
      </c>
      <c r="H3084" t="s">
        <v>26</v>
      </c>
      <c r="I3084" t="s">
        <v>57</v>
      </c>
    </row>
    <row r="3085" spans="1:9" x14ac:dyDescent="0.2">
      <c r="A3085" s="3">
        <v>42575</v>
      </c>
      <c r="B3085" t="s">
        <v>23</v>
      </c>
      <c r="C3085">
        <v>703</v>
      </c>
      <c r="D3085">
        <v>1</v>
      </c>
      <c r="E3085">
        <v>1</v>
      </c>
      <c r="F3085" t="s">
        <v>24</v>
      </c>
      <c r="G3085" t="s">
        <v>25</v>
      </c>
      <c r="H3085" t="s">
        <v>26</v>
      </c>
      <c r="I3085" t="s">
        <v>57</v>
      </c>
    </row>
    <row r="3086" spans="1:9" x14ac:dyDescent="0.2">
      <c r="A3086" s="3">
        <v>42575</v>
      </c>
      <c r="B3086" t="s">
        <v>23</v>
      </c>
      <c r="C3086">
        <v>703</v>
      </c>
      <c r="D3086">
        <v>2</v>
      </c>
      <c r="E3086">
        <v>1</v>
      </c>
      <c r="F3086" t="s">
        <v>24</v>
      </c>
      <c r="G3086" t="s">
        <v>25</v>
      </c>
      <c r="H3086" t="s">
        <v>26</v>
      </c>
      <c r="I3086" t="s">
        <v>57</v>
      </c>
    </row>
    <row r="3087" spans="1:9" x14ac:dyDescent="0.2">
      <c r="A3087" s="3">
        <v>42575</v>
      </c>
      <c r="B3087" t="s">
        <v>23</v>
      </c>
      <c r="C3087">
        <v>703</v>
      </c>
      <c r="D3087">
        <v>3</v>
      </c>
      <c r="E3087">
        <v>1</v>
      </c>
      <c r="F3087" t="s">
        <v>24</v>
      </c>
      <c r="G3087" t="s">
        <v>25</v>
      </c>
      <c r="H3087" t="s">
        <v>26</v>
      </c>
      <c r="I3087" t="s">
        <v>57</v>
      </c>
    </row>
    <row r="3088" spans="1:9" x14ac:dyDescent="0.2">
      <c r="A3088" s="3">
        <v>42575</v>
      </c>
      <c r="B3088" t="s">
        <v>23</v>
      </c>
      <c r="C3088">
        <v>703</v>
      </c>
      <c r="D3088">
        <v>4</v>
      </c>
      <c r="E3088">
        <v>1</v>
      </c>
      <c r="F3088" t="s">
        <v>24</v>
      </c>
      <c r="G3088" t="s">
        <v>25</v>
      </c>
      <c r="H3088" t="s">
        <v>26</v>
      </c>
      <c r="I3088" t="s">
        <v>57</v>
      </c>
    </row>
    <row r="3089" spans="1:9" x14ac:dyDescent="0.2">
      <c r="A3089" s="3">
        <v>42575</v>
      </c>
      <c r="B3089" t="s">
        <v>23</v>
      </c>
      <c r="C3089">
        <v>703</v>
      </c>
      <c r="D3089">
        <v>5</v>
      </c>
      <c r="E3089">
        <v>1</v>
      </c>
      <c r="F3089" t="s">
        <v>24</v>
      </c>
      <c r="G3089" t="s">
        <v>25</v>
      </c>
      <c r="H3089" t="s">
        <v>26</v>
      </c>
      <c r="I3089" t="s">
        <v>57</v>
      </c>
    </row>
    <row r="3090" spans="1:9" x14ac:dyDescent="0.2">
      <c r="A3090" s="3">
        <v>42575</v>
      </c>
      <c r="B3090" t="s">
        <v>23</v>
      </c>
      <c r="C3090">
        <v>703</v>
      </c>
      <c r="D3090">
        <v>7</v>
      </c>
      <c r="E3090">
        <v>1</v>
      </c>
      <c r="F3090" t="s">
        <v>24</v>
      </c>
      <c r="G3090" t="s">
        <v>25</v>
      </c>
      <c r="H3090" t="s">
        <v>26</v>
      </c>
      <c r="I3090" t="s">
        <v>57</v>
      </c>
    </row>
    <row r="3091" spans="1:9" x14ac:dyDescent="0.2">
      <c r="A3091" s="3">
        <v>42575</v>
      </c>
      <c r="B3091" t="s">
        <v>23</v>
      </c>
      <c r="C3091">
        <v>703</v>
      </c>
      <c r="D3091">
        <v>8</v>
      </c>
      <c r="E3091">
        <v>1</v>
      </c>
      <c r="F3091" t="s">
        <v>24</v>
      </c>
      <c r="G3091" t="s">
        <v>25</v>
      </c>
      <c r="H3091" t="s">
        <v>26</v>
      </c>
      <c r="I3091" t="s">
        <v>57</v>
      </c>
    </row>
    <row r="3092" spans="1:9" x14ac:dyDescent="0.2">
      <c r="A3092" s="3">
        <v>42575</v>
      </c>
      <c r="B3092" t="s">
        <v>23</v>
      </c>
      <c r="C3092">
        <v>703</v>
      </c>
      <c r="D3092">
        <v>8</v>
      </c>
      <c r="E3092">
        <v>2</v>
      </c>
      <c r="F3092" t="s">
        <v>24</v>
      </c>
      <c r="G3092" t="s">
        <v>25</v>
      </c>
      <c r="H3092" t="s">
        <v>26</v>
      </c>
      <c r="I3092" t="s">
        <v>57</v>
      </c>
    </row>
    <row r="3093" spans="1:9" x14ac:dyDescent="0.2">
      <c r="A3093" s="3">
        <v>42575</v>
      </c>
      <c r="B3093" t="s">
        <v>23</v>
      </c>
      <c r="C3093">
        <v>701</v>
      </c>
      <c r="D3093">
        <v>1</v>
      </c>
      <c r="E3093">
        <v>1</v>
      </c>
      <c r="F3093" t="s">
        <v>24</v>
      </c>
      <c r="G3093" t="s">
        <v>25</v>
      </c>
      <c r="H3093" t="s">
        <v>26</v>
      </c>
      <c r="I3093" t="s">
        <v>57</v>
      </c>
    </row>
    <row r="3094" spans="1:9" x14ac:dyDescent="0.2">
      <c r="A3094" s="3">
        <v>42575</v>
      </c>
      <c r="B3094" t="s">
        <v>23</v>
      </c>
      <c r="C3094">
        <v>701</v>
      </c>
      <c r="D3094">
        <v>1</v>
      </c>
      <c r="E3094">
        <v>2</v>
      </c>
      <c r="F3094" t="s">
        <v>24</v>
      </c>
      <c r="G3094" t="s">
        <v>25</v>
      </c>
      <c r="H3094" t="s">
        <v>26</v>
      </c>
      <c r="I3094" t="s">
        <v>57</v>
      </c>
    </row>
    <row r="3095" spans="1:9" x14ac:dyDescent="0.2">
      <c r="A3095" s="3">
        <v>42575</v>
      </c>
      <c r="B3095" t="s">
        <v>23</v>
      </c>
      <c r="C3095">
        <v>701</v>
      </c>
      <c r="D3095">
        <v>3</v>
      </c>
      <c r="E3095">
        <v>1</v>
      </c>
      <c r="F3095" t="s">
        <v>24</v>
      </c>
      <c r="G3095" t="s">
        <v>25</v>
      </c>
      <c r="H3095" t="s">
        <v>26</v>
      </c>
      <c r="I3095" t="s">
        <v>57</v>
      </c>
    </row>
    <row r="3096" spans="1:9" x14ac:dyDescent="0.2">
      <c r="A3096" s="3">
        <v>42575</v>
      </c>
      <c r="B3096" t="s">
        <v>23</v>
      </c>
      <c r="C3096">
        <v>701</v>
      </c>
      <c r="D3096">
        <v>5</v>
      </c>
      <c r="E3096">
        <v>1</v>
      </c>
      <c r="F3096" t="s">
        <v>24</v>
      </c>
      <c r="G3096" t="s">
        <v>25</v>
      </c>
      <c r="H3096" t="s">
        <v>26</v>
      </c>
      <c r="I3096" t="s">
        <v>57</v>
      </c>
    </row>
    <row r="3097" spans="1:9" x14ac:dyDescent="0.2">
      <c r="A3097" s="3">
        <v>42575</v>
      </c>
      <c r="B3097" t="s">
        <v>23</v>
      </c>
      <c r="C3097">
        <v>701</v>
      </c>
      <c r="D3097">
        <v>7</v>
      </c>
      <c r="E3097">
        <v>1</v>
      </c>
      <c r="F3097" t="s">
        <v>24</v>
      </c>
      <c r="G3097" t="s">
        <v>25</v>
      </c>
      <c r="H3097" t="s">
        <v>26</v>
      </c>
      <c r="I3097" t="s">
        <v>57</v>
      </c>
    </row>
    <row r="3098" spans="1:9" x14ac:dyDescent="0.2">
      <c r="A3098" s="3">
        <v>42575</v>
      </c>
      <c r="B3098" t="s">
        <v>23</v>
      </c>
      <c r="C3098">
        <v>801</v>
      </c>
      <c r="D3098">
        <v>2</v>
      </c>
      <c r="E3098">
        <v>1</v>
      </c>
      <c r="F3098" t="s">
        <v>24</v>
      </c>
      <c r="G3098" t="s">
        <v>25</v>
      </c>
      <c r="H3098" t="s">
        <v>26</v>
      </c>
      <c r="I3098" t="s">
        <v>57</v>
      </c>
    </row>
    <row r="3099" spans="1:9" x14ac:dyDescent="0.2">
      <c r="A3099" s="3">
        <v>42575</v>
      </c>
      <c r="B3099" t="s">
        <v>23</v>
      </c>
      <c r="C3099">
        <v>801</v>
      </c>
      <c r="D3099">
        <v>4</v>
      </c>
      <c r="E3099">
        <v>1</v>
      </c>
      <c r="F3099" t="s">
        <v>24</v>
      </c>
      <c r="G3099" t="s">
        <v>25</v>
      </c>
      <c r="H3099" t="s">
        <v>26</v>
      </c>
      <c r="I3099" t="s">
        <v>57</v>
      </c>
    </row>
    <row r="3100" spans="1:9" x14ac:dyDescent="0.2">
      <c r="A3100" s="3">
        <v>42575</v>
      </c>
      <c r="B3100" t="s">
        <v>23</v>
      </c>
      <c r="C3100">
        <v>801</v>
      </c>
      <c r="D3100">
        <v>4</v>
      </c>
      <c r="E3100">
        <v>2</v>
      </c>
      <c r="F3100" t="s">
        <v>24</v>
      </c>
      <c r="G3100" t="s">
        <v>25</v>
      </c>
      <c r="H3100" t="s">
        <v>26</v>
      </c>
      <c r="I3100" t="s">
        <v>57</v>
      </c>
    </row>
    <row r="3101" spans="1:9" x14ac:dyDescent="0.2">
      <c r="A3101" s="3">
        <v>42575</v>
      </c>
      <c r="B3101" t="s">
        <v>23</v>
      </c>
      <c r="C3101">
        <v>801</v>
      </c>
      <c r="D3101">
        <v>5</v>
      </c>
      <c r="E3101">
        <v>2</v>
      </c>
      <c r="F3101" t="s">
        <v>24</v>
      </c>
      <c r="G3101" t="s">
        <v>25</v>
      </c>
      <c r="H3101" t="s">
        <v>26</v>
      </c>
      <c r="I3101" t="s">
        <v>57</v>
      </c>
    </row>
    <row r="3102" spans="1:9" x14ac:dyDescent="0.2">
      <c r="A3102" s="3">
        <v>42575</v>
      </c>
      <c r="B3102" t="s">
        <v>23</v>
      </c>
      <c r="C3102">
        <v>801</v>
      </c>
      <c r="D3102">
        <v>6</v>
      </c>
      <c r="E3102">
        <v>1</v>
      </c>
      <c r="F3102" t="s">
        <v>24</v>
      </c>
      <c r="G3102" t="s">
        <v>25</v>
      </c>
      <c r="H3102" t="s">
        <v>26</v>
      </c>
      <c r="I3102" t="s">
        <v>57</v>
      </c>
    </row>
    <row r="3103" spans="1:9" x14ac:dyDescent="0.2">
      <c r="A3103" s="3">
        <v>42575</v>
      </c>
      <c r="B3103" t="s">
        <v>23</v>
      </c>
      <c r="C3103">
        <v>801</v>
      </c>
      <c r="D3103">
        <v>7</v>
      </c>
      <c r="E3103">
        <v>1</v>
      </c>
      <c r="F3103" t="s">
        <v>24</v>
      </c>
      <c r="G3103" t="s">
        <v>25</v>
      </c>
      <c r="H3103" t="s">
        <v>26</v>
      </c>
      <c r="I3103" t="s">
        <v>57</v>
      </c>
    </row>
    <row r="3104" spans="1:9" x14ac:dyDescent="0.2">
      <c r="A3104" s="3">
        <v>42575</v>
      </c>
      <c r="B3104" t="s">
        <v>23</v>
      </c>
      <c r="C3104">
        <v>801</v>
      </c>
      <c r="D3104">
        <v>7</v>
      </c>
      <c r="E3104">
        <v>2</v>
      </c>
      <c r="F3104" t="s">
        <v>24</v>
      </c>
      <c r="G3104" t="s">
        <v>25</v>
      </c>
      <c r="H3104" t="s">
        <v>26</v>
      </c>
      <c r="I3104" t="s">
        <v>57</v>
      </c>
    </row>
    <row r="3105" spans="1:9" x14ac:dyDescent="0.2">
      <c r="A3105" s="3">
        <v>42575</v>
      </c>
      <c r="B3105" t="s">
        <v>23</v>
      </c>
      <c r="C3105">
        <v>801</v>
      </c>
      <c r="D3105">
        <v>8</v>
      </c>
      <c r="E3105">
        <v>1</v>
      </c>
      <c r="F3105" t="s">
        <v>24</v>
      </c>
      <c r="G3105" t="s">
        <v>25</v>
      </c>
      <c r="H3105" t="s">
        <v>26</v>
      </c>
      <c r="I3105" t="s">
        <v>57</v>
      </c>
    </row>
    <row r="3106" spans="1:9" x14ac:dyDescent="0.2">
      <c r="A3106" s="3">
        <v>42575</v>
      </c>
      <c r="B3106" t="s">
        <v>23</v>
      </c>
      <c r="C3106">
        <v>801</v>
      </c>
      <c r="D3106">
        <v>9</v>
      </c>
      <c r="E3106">
        <v>1</v>
      </c>
      <c r="F3106" t="s">
        <v>24</v>
      </c>
      <c r="G3106" t="s">
        <v>25</v>
      </c>
      <c r="H3106" t="s">
        <v>26</v>
      </c>
      <c r="I3106" t="s">
        <v>57</v>
      </c>
    </row>
    <row r="3107" spans="1:9" x14ac:dyDescent="0.2">
      <c r="A3107" s="3">
        <v>42575</v>
      </c>
      <c r="B3107" t="s">
        <v>23</v>
      </c>
      <c r="C3107">
        <v>801</v>
      </c>
      <c r="D3107">
        <v>10</v>
      </c>
      <c r="E3107">
        <v>1</v>
      </c>
      <c r="F3107" t="s">
        <v>24</v>
      </c>
      <c r="G3107" t="s">
        <v>25</v>
      </c>
      <c r="H3107" t="s">
        <v>26</v>
      </c>
      <c r="I3107" t="s">
        <v>57</v>
      </c>
    </row>
    <row r="3108" spans="1:9" x14ac:dyDescent="0.2">
      <c r="A3108" s="3">
        <v>42575</v>
      </c>
      <c r="B3108" t="s">
        <v>23</v>
      </c>
      <c r="C3108">
        <v>803</v>
      </c>
      <c r="D3108">
        <v>9</v>
      </c>
      <c r="E3108">
        <v>1</v>
      </c>
      <c r="F3108" t="s">
        <v>24</v>
      </c>
      <c r="G3108" t="s">
        <v>25</v>
      </c>
      <c r="H3108" t="s">
        <v>26</v>
      </c>
      <c r="I3108" t="s">
        <v>57</v>
      </c>
    </row>
    <row r="3109" spans="1:9" x14ac:dyDescent="0.2">
      <c r="A3109" s="3">
        <v>42575</v>
      </c>
      <c r="B3109" t="s">
        <v>23</v>
      </c>
      <c r="C3109">
        <v>901</v>
      </c>
      <c r="D3109">
        <v>1</v>
      </c>
      <c r="E3109">
        <v>1</v>
      </c>
      <c r="F3109" t="s">
        <v>24</v>
      </c>
      <c r="G3109" t="s">
        <v>25</v>
      </c>
      <c r="H3109" t="s">
        <v>26</v>
      </c>
      <c r="I3109" t="s">
        <v>57</v>
      </c>
    </row>
    <row r="3110" spans="1:9" x14ac:dyDescent="0.2">
      <c r="A3110" s="3">
        <v>42576</v>
      </c>
      <c r="B3110" t="s">
        <v>23</v>
      </c>
      <c r="C3110">
        <v>501</v>
      </c>
      <c r="D3110">
        <v>1</v>
      </c>
      <c r="E3110">
        <v>1</v>
      </c>
      <c r="F3110" t="s">
        <v>33</v>
      </c>
      <c r="G3110" t="s">
        <v>25</v>
      </c>
      <c r="H3110" t="s">
        <v>26</v>
      </c>
      <c r="I3110" t="s">
        <v>57</v>
      </c>
    </row>
    <row r="3111" spans="1:9" x14ac:dyDescent="0.2">
      <c r="A3111" s="3">
        <v>42576</v>
      </c>
      <c r="B3111" t="s">
        <v>23</v>
      </c>
      <c r="C3111">
        <v>501</v>
      </c>
      <c r="D3111">
        <v>2</v>
      </c>
      <c r="E3111">
        <v>1</v>
      </c>
      <c r="F3111" t="s">
        <v>33</v>
      </c>
      <c r="G3111" t="s">
        <v>25</v>
      </c>
      <c r="H3111" t="s">
        <v>26</v>
      </c>
      <c r="I3111" t="s">
        <v>57</v>
      </c>
    </row>
    <row r="3112" spans="1:9" x14ac:dyDescent="0.2">
      <c r="A3112" s="3">
        <v>42576</v>
      </c>
      <c r="B3112" t="s">
        <v>23</v>
      </c>
      <c r="C3112">
        <v>501</v>
      </c>
      <c r="D3112">
        <v>3</v>
      </c>
      <c r="E3112">
        <v>1</v>
      </c>
      <c r="F3112" t="s">
        <v>33</v>
      </c>
      <c r="G3112" t="s">
        <v>25</v>
      </c>
      <c r="H3112" t="s">
        <v>26</v>
      </c>
      <c r="I3112" t="s">
        <v>57</v>
      </c>
    </row>
    <row r="3113" spans="1:9" x14ac:dyDescent="0.2">
      <c r="A3113" s="3">
        <v>42576</v>
      </c>
      <c r="B3113" t="s">
        <v>23</v>
      </c>
      <c r="C3113">
        <v>501</v>
      </c>
      <c r="D3113">
        <v>5</v>
      </c>
      <c r="E3113">
        <v>1</v>
      </c>
      <c r="F3113" t="s">
        <v>33</v>
      </c>
      <c r="G3113" t="s">
        <v>25</v>
      </c>
      <c r="H3113" t="s">
        <v>26</v>
      </c>
      <c r="I3113" t="s">
        <v>57</v>
      </c>
    </row>
    <row r="3114" spans="1:9" x14ac:dyDescent="0.2">
      <c r="A3114" s="3">
        <v>42576</v>
      </c>
      <c r="B3114" t="s">
        <v>23</v>
      </c>
      <c r="C3114">
        <v>501</v>
      </c>
      <c r="D3114">
        <v>6</v>
      </c>
      <c r="E3114">
        <v>1</v>
      </c>
      <c r="F3114" t="s">
        <v>33</v>
      </c>
      <c r="G3114" t="s">
        <v>25</v>
      </c>
      <c r="H3114" t="s">
        <v>26</v>
      </c>
      <c r="I3114" t="s">
        <v>57</v>
      </c>
    </row>
    <row r="3115" spans="1:9" x14ac:dyDescent="0.2">
      <c r="A3115" s="3">
        <v>42576</v>
      </c>
      <c r="B3115" t="s">
        <v>23</v>
      </c>
      <c r="C3115">
        <v>501</v>
      </c>
      <c r="D3115">
        <v>7</v>
      </c>
      <c r="E3115">
        <v>1</v>
      </c>
      <c r="F3115" t="s">
        <v>33</v>
      </c>
      <c r="G3115" t="s">
        <v>25</v>
      </c>
      <c r="H3115" t="s">
        <v>26</v>
      </c>
      <c r="I3115" t="s">
        <v>57</v>
      </c>
    </row>
    <row r="3116" spans="1:9" x14ac:dyDescent="0.2">
      <c r="A3116" s="3">
        <v>42576</v>
      </c>
      <c r="B3116" t="s">
        <v>23</v>
      </c>
      <c r="C3116">
        <v>501</v>
      </c>
      <c r="D3116">
        <v>10</v>
      </c>
      <c r="E3116">
        <v>1</v>
      </c>
      <c r="F3116" t="s">
        <v>33</v>
      </c>
      <c r="G3116" t="s">
        <v>25</v>
      </c>
      <c r="H3116" t="s">
        <v>26</v>
      </c>
      <c r="I3116" t="s">
        <v>57</v>
      </c>
    </row>
    <row r="3117" spans="1:9" x14ac:dyDescent="0.2">
      <c r="A3117" s="3">
        <v>42576</v>
      </c>
      <c r="B3117" t="s">
        <v>23</v>
      </c>
      <c r="C3117">
        <v>501</v>
      </c>
      <c r="D3117">
        <v>10</v>
      </c>
      <c r="E3117">
        <v>2</v>
      </c>
      <c r="F3117" t="s">
        <v>33</v>
      </c>
      <c r="G3117" t="s">
        <v>25</v>
      </c>
      <c r="H3117" t="s">
        <v>26</v>
      </c>
      <c r="I3117" t="s">
        <v>57</v>
      </c>
    </row>
    <row r="3118" spans="1:9" x14ac:dyDescent="0.2">
      <c r="A3118" s="3">
        <v>42576</v>
      </c>
      <c r="B3118" t="s">
        <v>23</v>
      </c>
      <c r="C3118">
        <v>503</v>
      </c>
      <c r="D3118">
        <v>1</v>
      </c>
      <c r="E3118">
        <v>1</v>
      </c>
      <c r="F3118" t="s">
        <v>33</v>
      </c>
      <c r="G3118" t="s">
        <v>25</v>
      </c>
      <c r="H3118" t="s">
        <v>26</v>
      </c>
      <c r="I3118" t="s">
        <v>57</v>
      </c>
    </row>
    <row r="3119" spans="1:9" x14ac:dyDescent="0.2">
      <c r="A3119" s="3">
        <v>42576</v>
      </c>
      <c r="B3119" t="s">
        <v>23</v>
      </c>
      <c r="C3119">
        <v>503</v>
      </c>
      <c r="D3119">
        <v>2</v>
      </c>
      <c r="E3119">
        <v>1</v>
      </c>
      <c r="F3119" t="s">
        <v>33</v>
      </c>
      <c r="G3119" t="s">
        <v>25</v>
      </c>
      <c r="H3119" t="s">
        <v>26</v>
      </c>
      <c r="I3119" t="s">
        <v>57</v>
      </c>
    </row>
    <row r="3120" spans="1:9" x14ac:dyDescent="0.2">
      <c r="A3120" s="3">
        <v>42576</v>
      </c>
      <c r="B3120" t="s">
        <v>23</v>
      </c>
      <c r="C3120">
        <v>503</v>
      </c>
      <c r="D3120">
        <v>5</v>
      </c>
      <c r="E3120">
        <v>1</v>
      </c>
      <c r="F3120" t="s">
        <v>33</v>
      </c>
      <c r="G3120" t="s">
        <v>25</v>
      </c>
      <c r="H3120" t="s">
        <v>26</v>
      </c>
      <c r="I3120" t="s">
        <v>57</v>
      </c>
    </row>
    <row r="3121" spans="1:9" x14ac:dyDescent="0.2">
      <c r="A3121" s="3">
        <v>42576</v>
      </c>
      <c r="B3121" t="s">
        <v>23</v>
      </c>
      <c r="C3121">
        <v>503</v>
      </c>
      <c r="D3121">
        <v>6</v>
      </c>
      <c r="E3121">
        <v>1</v>
      </c>
      <c r="F3121" t="s">
        <v>33</v>
      </c>
      <c r="G3121" t="s">
        <v>25</v>
      </c>
      <c r="H3121" t="s">
        <v>26</v>
      </c>
      <c r="I3121" t="s">
        <v>57</v>
      </c>
    </row>
    <row r="3122" spans="1:9" x14ac:dyDescent="0.2">
      <c r="A3122" s="3">
        <v>42576</v>
      </c>
      <c r="B3122" t="s">
        <v>23</v>
      </c>
      <c r="C3122">
        <v>303</v>
      </c>
      <c r="D3122">
        <v>1</v>
      </c>
      <c r="E3122">
        <v>1</v>
      </c>
      <c r="F3122" t="s">
        <v>33</v>
      </c>
      <c r="G3122" t="s">
        <v>25</v>
      </c>
      <c r="H3122" t="s">
        <v>26</v>
      </c>
      <c r="I3122" t="s">
        <v>57</v>
      </c>
    </row>
    <row r="3123" spans="1:9" x14ac:dyDescent="0.2">
      <c r="A3123" s="3">
        <v>42576</v>
      </c>
      <c r="B3123" t="s">
        <v>23</v>
      </c>
      <c r="C3123">
        <v>303</v>
      </c>
      <c r="D3123">
        <v>2</v>
      </c>
      <c r="E3123">
        <v>2</v>
      </c>
      <c r="F3123" t="s">
        <v>33</v>
      </c>
      <c r="G3123" t="s">
        <v>25</v>
      </c>
      <c r="H3123" t="s">
        <v>26</v>
      </c>
      <c r="I3123" t="s">
        <v>57</v>
      </c>
    </row>
    <row r="3124" spans="1:9" x14ac:dyDescent="0.2">
      <c r="A3124" s="3">
        <v>42576</v>
      </c>
      <c r="B3124" t="s">
        <v>23</v>
      </c>
      <c r="C3124">
        <v>303</v>
      </c>
      <c r="D3124">
        <v>3</v>
      </c>
      <c r="E3124">
        <v>1</v>
      </c>
      <c r="F3124" t="s">
        <v>33</v>
      </c>
      <c r="G3124" t="s">
        <v>25</v>
      </c>
      <c r="H3124" t="s">
        <v>26</v>
      </c>
      <c r="I3124" t="s">
        <v>57</v>
      </c>
    </row>
    <row r="3125" spans="1:9" x14ac:dyDescent="0.2">
      <c r="A3125" s="3">
        <v>42576</v>
      </c>
      <c r="B3125" t="s">
        <v>23</v>
      </c>
      <c r="C3125">
        <v>303</v>
      </c>
      <c r="D3125">
        <v>3</v>
      </c>
      <c r="E3125">
        <v>2</v>
      </c>
      <c r="F3125" t="s">
        <v>33</v>
      </c>
      <c r="G3125" t="s">
        <v>25</v>
      </c>
      <c r="H3125" t="s">
        <v>26</v>
      </c>
      <c r="I3125" t="s">
        <v>57</v>
      </c>
    </row>
    <row r="3126" spans="1:9" x14ac:dyDescent="0.2">
      <c r="A3126" s="3">
        <v>42576</v>
      </c>
      <c r="B3126" t="s">
        <v>23</v>
      </c>
      <c r="C3126">
        <v>303</v>
      </c>
      <c r="D3126">
        <v>5</v>
      </c>
      <c r="E3126">
        <v>1</v>
      </c>
      <c r="F3126" t="s">
        <v>33</v>
      </c>
      <c r="G3126" t="s">
        <v>25</v>
      </c>
      <c r="H3126" t="s">
        <v>26</v>
      </c>
      <c r="I3126" t="s">
        <v>57</v>
      </c>
    </row>
    <row r="3127" spans="1:9" x14ac:dyDescent="0.2">
      <c r="A3127" s="3">
        <v>42576</v>
      </c>
      <c r="B3127" t="s">
        <v>23</v>
      </c>
      <c r="C3127">
        <v>303</v>
      </c>
      <c r="D3127">
        <v>5</v>
      </c>
      <c r="E3127">
        <v>2</v>
      </c>
      <c r="F3127" t="s">
        <v>33</v>
      </c>
      <c r="G3127" t="s">
        <v>25</v>
      </c>
      <c r="H3127" t="s">
        <v>26</v>
      </c>
      <c r="I3127" t="s">
        <v>57</v>
      </c>
    </row>
    <row r="3128" spans="1:9" x14ac:dyDescent="0.2">
      <c r="A3128" s="3">
        <v>42576</v>
      </c>
      <c r="B3128" t="s">
        <v>23</v>
      </c>
      <c r="C3128">
        <v>303</v>
      </c>
      <c r="D3128">
        <v>6</v>
      </c>
      <c r="E3128">
        <v>1</v>
      </c>
      <c r="F3128" t="s">
        <v>33</v>
      </c>
      <c r="G3128" t="s">
        <v>25</v>
      </c>
      <c r="H3128" t="s">
        <v>26</v>
      </c>
      <c r="I3128" t="s">
        <v>57</v>
      </c>
    </row>
    <row r="3129" spans="1:9" x14ac:dyDescent="0.2">
      <c r="A3129" s="3">
        <v>42576</v>
      </c>
      <c r="B3129" t="s">
        <v>23</v>
      </c>
      <c r="C3129">
        <v>303</v>
      </c>
      <c r="D3129">
        <v>6</v>
      </c>
      <c r="E3129">
        <v>2</v>
      </c>
      <c r="F3129" t="s">
        <v>33</v>
      </c>
      <c r="G3129" t="s">
        <v>25</v>
      </c>
      <c r="H3129" t="s">
        <v>26</v>
      </c>
      <c r="I3129" t="s">
        <v>57</v>
      </c>
    </row>
    <row r="3130" spans="1:9" x14ac:dyDescent="0.2">
      <c r="A3130" s="3">
        <v>42576</v>
      </c>
      <c r="B3130" t="s">
        <v>23</v>
      </c>
      <c r="C3130">
        <v>303</v>
      </c>
      <c r="D3130">
        <v>8</v>
      </c>
      <c r="E3130">
        <v>1</v>
      </c>
      <c r="F3130" t="s">
        <v>33</v>
      </c>
      <c r="G3130" t="s">
        <v>25</v>
      </c>
      <c r="H3130" t="s">
        <v>26</v>
      </c>
      <c r="I3130" t="s">
        <v>57</v>
      </c>
    </row>
    <row r="3131" spans="1:9" x14ac:dyDescent="0.2">
      <c r="A3131" s="3">
        <v>42576</v>
      </c>
      <c r="B3131" t="s">
        <v>23</v>
      </c>
      <c r="C3131">
        <v>303</v>
      </c>
      <c r="D3131">
        <v>8</v>
      </c>
      <c r="E3131">
        <v>2</v>
      </c>
      <c r="F3131" t="s">
        <v>33</v>
      </c>
      <c r="G3131" t="s">
        <v>25</v>
      </c>
      <c r="H3131" t="s">
        <v>26</v>
      </c>
      <c r="I3131" t="s">
        <v>57</v>
      </c>
    </row>
    <row r="3132" spans="1:9" x14ac:dyDescent="0.2">
      <c r="A3132" s="3">
        <v>42576</v>
      </c>
      <c r="B3132" t="s">
        <v>23</v>
      </c>
      <c r="C3132">
        <v>401</v>
      </c>
      <c r="D3132">
        <v>1</v>
      </c>
      <c r="E3132">
        <v>1</v>
      </c>
      <c r="F3132" t="s">
        <v>33</v>
      </c>
      <c r="G3132" t="s">
        <v>25</v>
      </c>
      <c r="H3132" t="s">
        <v>26</v>
      </c>
      <c r="I3132" t="s">
        <v>57</v>
      </c>
    </row>
    <row r="3133" spans="1:9" x14ac:dyDescent="0.2">
      <c r="A3133" s="3">
        <v>42576</v>
      </c>
      <c r="B3133" t="s">
        <v>23</v>
      </c>
      <c r="C3133">
        <v>401</v>
      </c>
      <c r="D3133">
        <v>4</v>
      </c>
      <c r="E3133">
        <v>1</v>
      </c>
      <c r="F3133" t="s">
        <v>33</v>
      </c>
      <c r="G3133" t="s">
        <v>25</v>
      </c>
      <c r="H3133" t="s">
        <v>26</v>
      </c>
      <c r="I3133" t="s">
        <v>57</v>
      </c>
    </row>
    <row r="3134" spans="1:9" x14ac:dyDescent="0.2">
      <c r="A3134" s="3">
        <v>42576</v>
      </c>
      <c r="B3134" t="s">
        <v>23</v>
      </c>
      <c r="C3134">
        <v>401</v>
      </c>
      <c r="D3134">
        <v>4</v>
      </c>
      <c r="E3134">
        <v>2</v>
      </c>
      <c r="F3134" t="s">
        <v>33</v>
      </c>
      <c r="G3134" t="s">
        <v>25</v>
      </c>
      <c r="H3134" t="s">
        <v>26</v>
      </c>
      <c r="I3134" t="s">
        <v>57</v>
      </c>
    </row>
    <row r="3135" spans="1:9" x14ac:dyDescent="0.2">
      <c r="A3135" s="3">
        <v>42576</v>
      </c>
      <c r="B3135" t="s">
        <v>23</v>
      </c>
      <c r="C3135">
        <v>703</v>
      </c>
      <c r="D3135">
        <v>1</v>
      </c>
      <c r="E3135">
        <v>2</v>
      </c>
      <c r="F3135" t="s">
        <v>66</v>
      </c>
      <c r="G3135" t="s">
        <v>25</v>
      </c>
      <c r="H3135" t="s">
        <v>26</v>
      </c>
      <c r="I3135" t="s">
        <v>57</v>
      </c>
    </row>
    <row r="3136" spans="1:9" x14ac:dyDescent="0.2">
      <c r="A3136" s="3">
        <v>42576</v>
      </c>
      <c r="B3136" t="s">
        <v>23</v>
      </c>
      <c r="C3136">
        <v>701</v>
      </c>
      <c r="D3136">
        <v>8</v>
      </c>
      <c r="E3136">
        <v>1</v>
      </c>
      <c r="F3136" t="s">
        <v>66</v>
      </c>
      <c r="G3136" t="s">
        <v>25</v>
      </c>
      <c r="H3136" t="s">
        <v>26</v>
      </c>
      <c r="I3136" t="s">
        <v>57</v>
      </c>
    </row>
    <row r="3137" spans="1:9" x14ac:dyDescent="0.2">
      <c r="A3137" s="3">
        <v>42576</v>
      </c>
      <c r="B3137" t="s">
        <v>23</v>
      </c>
      <c r="C3137">
        <v>801</v>
      </c>
      <c r="D3137">
        <v>8</v>
      </c>
      <c r="E3137">
        <v>1</v>
      </c>
      <c r="F3137" t="s">
        <v>66</v>
      </c>
      <c r="G3137" t="s">
        <v>25</v>
      </c>
      <c r="H3137" t="s">
        <v>26</v>
      </c>
      <c r="I3137" t="s">
        <v>57</v>
      </c>
    </row>
    <row r="3138" spans="1:9" x14ac:dyDescent="0.2">
      <c r="A3138" s="3">
        <v>42576</v>
      </c>
      <c r="B3138" t="s">
        <v>23</v>
      </c>
      <c r="C3138">
        <v>801</v>
      </c>
      <c r="D3138">
        <v>10</v>
      </c>
      <c r="E3138">
        <v>1</v>
      </c>
      <c r="F3138" t="s">
        <v>66</v>
      </c>
      <c r="G3138" t="s">
        <v>25</v>
      </c>
      <c r="H3138" t="s">
        <v>26</v>
      </c>
      <c r="I3138" t="s">
        <v>57</v>
      </c>
    </row>
    <row r="3139" spans="1:9" x14ac:dyDescent="0.2">
      <c r="A3139" s="3">
        <v>42576</v>
      </c>
      <c r="B3139" t="s">
        <v>23</v>
      </c>
      <c r="C3139">
        <v>803</v>
      </c>
      <c r="D3139">
        <v>6</v>
      </c>
      <c r="E3139">
        <v>1</v>
      </c>
      <c r="F3139" t="s">
        <v>66</v>
      </c>
      <c r="G3139" t="s">
        <v>25</v>
      </c>
      <c r="H3139" t="s">
        <v>26</v>
      </c>
      <c r="I3139" t="s">
        <v>57</v>
      </c>
    </row>
    <row r="3140" spans="1:9" x14ac:dyDescent="0.2">
      <c r="A3140" s="3">
        <v>42576</v>
      </c>
      <c r="B3140" t="s">
        <v>23</v>
      </c>
      <c r="C3140">
        <v>803</v>
      </c>
      <c r="D3140">
        <v>4</v>
      </c>
      <c r="E3140">
        <v>1</v>
      </c>
      <c r="F3140" t="s">
        <v>66</v>
      </c>
      <c r="G3140" t="s">
        <v>25</v>
      </c>
      <c r="H3140" t="s">
        <v>26</v>
      </c>
      <c r="I3140" t="s">
        <v>57</v>
      </c>
    </row>
    <row r="3141" spans="1:9" x14ac:dyDescent="0.2">
      <c r="A3141" s="3">
        <v>42576</v>
      </c>
      <c r="B3141" t="s">
        <v>23</v>
      </c>
      <c r="C3141">
        <v>803</v>
      </c>
      <c r="D3141">
        <v>3</v>
      </c>
      <c r="E3141">
        <v>1</v>
      </c>
      <c r="F3141" t="s">
        <v>66</v>
      </c>
      <c r="G3141" t="s">
        <v>25</v>
      </c>
      <c r="H3141" t="s">
        <v>26</v>
      </c>
      <c r="I3141" t="s">
        <v>57</v>
      </c>
    </row>
    <row r="3142" spans="1:9" x14ac:dyDescent="0.2">
      <c r="A3142" s="3">
        <v>42576</v>
      </c>
      <c r="B3142" t="s">
        <v>23</v>
      </c>
      <c r="C3142">
        <v>803</v>
      </c>
      <c r="D3142">
        <v>2</v>
      </c>
      <c r="E3142">
        <v>1</v>
      </c>
      <c r="F3142" t="s">
        <v>66</v>
      </c>
      <c r="G3142" t="s">
        <v>25</v>
      </c>
      <c r="H3142" t="s">
        <v>26</v>
      </c>
      <c r="I3142" t="s">
        <v>57</v>
      </c>
    </row>
    <row r="3143" spans="1:9" x14ac:dyDescent="0.2">
      <c r="A3143" s="3">
        <v>42576</v>
      </c>
      <c r="B3143" t="s">
        <v>23</v>
      </c>
      <c r="C3143">
        <v>901</v>
      </c>
      <c r="D3143">
        <v>8</v>
      </c>
      <c r="E3143">
        <v>1</v>
      </c>
      <c r="F3143" t="s">
        <v>66</v>
      </c>
      <c r="G3143" t="s">
        <v>25</v>
      </c>
      <c r="H3143" t="s">
        <v>26</v>
      </c>
      <c r="I3143" t="s">
        <v>57</v>
      </c>
    </row>
    <row r="3144" spans="1:9" x14ac:dyDescent="0.2">
      <c r="A3144" s="3">
        <v>42576</v>
      </c>
      <c r="B3144" t="s">
        <v>23</v>
      </c>
      <c r="C3144">
        <v>901</v>
      </c>
      <c r="D3144">
        <v>8</v>
      </c>
      <c r="E3144">
        <v>2</v>
      </c>
      <c r="F3144" t="s">
        <v>66</v>
      </c>
      <c r="G3144" t="s">
        <v>25</v>
      </c>
      <c r="H3144" t="s">
        <v>26</v>
      </c>
      <c r="I3144" t="s">
        <v>57</v>
      </c>
    </row>
    <row r="3145" spans="1:9" x14ac:dyDescent="0.2">
      <c r="A3145" s="3">
        <v>42576</v>
      </c>
      <c r="B3145" t="s">
        <v>23</v>
      </c>
      <c r="C3145">
        <v>803</v>
      </c>
      <c r="D3145">
        <v>7</v>
      </c>
      <c r="E3145">
        <v>1</v>
      </c>
      <c r="F3145" t="s">
        <v>24</v>
      </c>
      <c r="G3145" t="s">
        <v>25</v>
      </c>
      <c r="H3145" t="s">
        <v>26</v>
      </c>
      <c r="I3145" t="s">
        <v>57</v>
      </c>
    </row>
    <row r="3146" spans="1:9" x14ac:dyDescent="0.2">
      <c r="A3146" s="3">
        <v>42576</v>
      </c>
      <c r="B3146" t="s">
        <v>23</v>
      </c>
      <c r="C3146">
        <v>901</v>
      </c>
      <c r="D3146">
        <v>1</v>
      </c>
      <c r="E3146">
        <v>1</v>
      </c>
      <c r="F3146" t="s">
        <v>24</v>
      </c>
      <c r="G3146" t="s">
        <v>25</v>
      </c>
      <c r="H3146" t="s">
        <v>26</v>
      </c>
      <c r="I3146" t="s">
        <v>57</v>
      </c>
    </row>
    <row r="3147" spans="1:9" x14ac:dyDescent="0.2">
      <c r="A3147" s="3">
        <v>42576</v>
      </c>
      <c r="B3147" t="s">
        <v>23</v>
      </c>
      <c r="C3147">
        <v>901</v>
      </c>
      <c r="D3147">
        <v>1</v>
      </c>
      <c r="E3147">
        <v>2</v>
      </c>
      <c r="F3147" t="s">
        <v>24</v>
      </c>
      <c r="G3147" t="s">
        <v>25</v>
      </c>
      <c r="H3147" t="s">
        <v>26</v>
      </c>
      <c r="I3147" t="s">
        <v>57</v>
      </c>
    </row>
    <row r="3148" spans="1:9" x14ac:dyDescent="0.2">
      <c r="A3148" s="3">
        <v>42584</v>
      </c>
      <c r="B3148" t="s">
        <v>23</v>
      </c>
      <c r="C3148">
        <v>111</v>
      </c>
      <c r="D3148">
        <v>6</v>
      </c>
      <c r="E3148">
        <v>1</v>
      </c>
      <c r="F3148" t="s">
        <v>33</v>
      </c>
      <c r="G3148" t="s">
        <v>25</v>
      </c>
      <c r="H3148" t="s">
        <v>26</v>
      </c>
      <c r="I3148" t="s">
        <v>57</v>
      </c>
    </row>
    <row r="3149" spans="1:9" x14ac:dyDescent="0.2">
      <c r="A3149" s="3">
        <v>42584</v>
      </c>
      <c r="B3149" t="s">
        <v>23</v>
      </c>
      <c r="C3149">
        <v>111</v>
      </c>
      <c r="D3149">
        <v>7</v>
      </c>
      <c r="E3149">
        <v>1</v>
      </c>
      <c r="F3149" t="s">
        <v>33</v>
      </c>
      <c r="G3149" t="s">
        <v>25</v>
      </c>
      <c r="H3149" t="s">
        <v>26</v>
      </c>
      <c r="I3149" t="s">
        <v>57</v>
      </c>
    </row>
    <row r="3150" spans="1:9" x14ac:dyDescent="0.2">
      <c r="A3150" s="3">
        <v>42584</v>
      </c>
      <c r="B3150" t="s">
        <v>23</v>
      </c>
      <c r="C3150">
        <v>112</v>
      </c>
      <c r="D3150">
        <v>1</v>
      </c>
      <c r="E3150">
        <v>1</v>
      </c>
      <c r="F3150" t="s">
        <v>33</v>
      </c>
      <c r="G3150" t="s">
        <v>25</v>
      </c>
      <c r="H3150" t="s">
        <v>26</v>
      </c>
      <c r="I3150" t="s">
        <v>57</v>
      </c>
    </row>
    <row r="3151" spans="1:9" x14ac:dyDescent="0.2">
      <c r="A3151" s="3">
        <v>42584</v>
      </c>
      <c r="B3151" t="s">
        <v>23</v>
      </c>
      <c r="C3151">
        <v>112</v>
      </c>
      <c r="D3151">
        <v>1</v>
      </c>
      <c r="E3151">
        <v>2</v>
      </c>
      <c r="F3151" t="s">
        <v>33</v>
      </c>
      <c r="G3151" t="s">
        <v>25</v>
      </c>
      <c r="H3151" t="s">
        <v>26</v>
      </c>
      <c r="I3151" t="s">
        <v>57</v>
      </c>
    </row>
    <row r="3152" spans="1:9" x14ac:dyDescent="0.2">
      <c r="A3152" s="3">
        <v>42584</v>
      </c>
      <c r="B3152" t="s">
        <v>23</v>
      </c>
      <c r="C3152">
        <v>112</v>
      </c>
      <c r="D3152">
        <v>2</v>
      </c>
      <c r="E3152">
        <v>1</v>
      </c>
      <c r="F3152" t="s">
        <v>33</v>
      </c>
      <c r="G3152" t="s">
        <v>25</v>
      </c>
      <c r="H3152" t="s">
        <v>26</v>
      </c>
      <c r="I3152" t="s">
        <v>57</v>
      </c>
    </row>
    <row r="3153" spans="1:9" x14ac:dyDescent="0.2">
      <c r="A3153" s="3">
        <v>42584</v>
      </c>
      <c r="B3153" t="s">
        <v>23</v>
      </c>
      <c r="C3153">
        <v>112</v>
      </c>
      <c r="D3153">
        <v>3</v>
      </c>
      <c r="E3153">
        <v>1</v>
      </c>
      <c r="F3153" t="s">
        <v>33</v>
      </c>
      <c r="G3153" t="s">
        <v>25</v>
      </c>
      <c r="H3153" t="s">
        <v>26</v>
      </c>
      <c r="I3153" t="s">
        <v>57</v>
      </c>
    </row>
    <row r="3154" spans="1:9" x14ac:dyDescent="0.2">
      <c r="A3154" s="3">
        <v>42584</v>
      </c>
      <c r="B3154" t="s">
        <v>23</v>
      </c>
      <c r="C3154">
        <v>112</v>
      </c>
      <c r="D3154">
        <v>5</v>
      </c>
      <c r="E3154">
        <v>1</v>
      </c>
      <c r="F3154" t="s">
        <v>33</v>
      </c>
      <c r="G3154" t="s">
        <v>25</v>
      </c>
      <c r="H3154" t="s">
        <v>26</v>
      </c>
      <c r="I3154" t="s">
        <v>57</v>
      </c>
    </row>
    <row r="3155" spans="1:9" x14ac:dyDescent="0.2">
      <c r="A3155" s="3">
        <v>42584</v>
      </c>
      <c r="B3155" t="s">
        <v>23</v>
      </c>
      <c r="C3155">
        <v>112</v>
      </c>
      <c r="D3155">
        <v>5</v>
      </c>
      <c r="E3155">
        <v>2</v>
      </c>
      <c r="F3155" t="s">
        <v>33</v>
      </c>
      <c r="G3155" t="s">
        <v>25</v>
      </c>
      <c r="H3155" t="s">
        <v>26</v>
      </c>
      <c r="I3155" t="s">
        <v>57</v>
      </c>
    </row>
    <row r="3156" spans="1:9" x14ac:dyDescent="0.2">
      <c r="A3156" s="3">
        <v>42584</v>
      </c>
      <c r="B3156" t="s">
        <v>23</v>
      </c>
      <c r="C3156">
        <v>112</v>
      </c>
      <c r="D3156">
        <v>8</v>
      </c>
      <c r="E3156">
        <v>1</v>
      </c>
      <c r="F3156" t="s">
        <v>33</v>
      </c>
      <c r="G3156" t="s">
        <v>25</v>
      </c>
      <c r="H3156" t="s">
        <v>26</v>
      </c>
      <c r="I3156" t="s">
        <v>57</v>
      </c>
    </row>
    <row r="3157" spans="1:9" x14ac:dyDescent="0.2">
      <c r="A3157" s="3">
        <v>42584</v>
      </c>
      <c r="B3157" t="s">
        <v>23</v>
      </c>
      <c r="C3157">
        <v>112</v>
      </c>
      <c r="D3157">
        <v>8</v>
      </c>
      <c r="E3157">
        <v>2</v>
      </c>
      <c r="F3157" t="s">
        <v>33</v>
      </c>
      <c r="G3157" t="s">
        <v>25</v>
      </c>
      <c r="H3157" t="s">
        <v>26</v>
      </c>
      <c r="I3157" t="s">
        <v>57</v>
      </c>
    </row>
    <row r="3158" spans="1:9" x14ac:dyDescent="0.2">
      <c r="A3158" s="3">
        <v>42584</v>
      </c>
      <c r="B3158" t="s">
        <v>23</v>
      </c>
      <c r="C3158">
        <v>113</v>
      </c>
      <c r="D3158">
        <v>6</v>
      </c>
      <c r="E3158">
        <v>2</v>
      </c>
      <c r="F3158" t="s">
        <v>33</v>
      </c>
      <c r="G3158" t="s">
        <v>25</v>
      </c>
      <c r="H3158" t="s">
        <v>26</v>
      </c>
      <c r="I3158" t="s">
        <v>57</v>
      </c>
    </row>
    <row r="3159" spans="1:9" x14ac:dyDescent="0.2">
      <c r="A3159" s="3">
        <v>42584</v>
      </c>
      <c r="B3159" t="s">
        <v>23</v>
      </c>
      <c r="C3159">
        <v>113</v>
      </c>
      <c r="D3159">
        <v>7</v>
      </c>
      <c r="E3159">
        <v>1</v>
      </c>
      <c r="F3159" t="s">
        <v>33</v>
      </c>
      <c r="G3159" t="s">
        <v>25</v>
      </c>
      <c r="H3159" t="s">
        <v>26</v>
      </c>
      <c r="I3159" t="s">
        <v>57</v>
      </c>
    </row>
    <row r="3160" spans="1:9" x14ac:dyDescent="0.2">
      <c r="A3160" s="3">
        <v>42584</v>
      </c>
      <c r="B3160" t="s">
        <v>23</v>
      </c>
      <c r="C3160">
        <v>113</v>
      </c>
      <c r="D3160">
        <v>8</v>
      </c>
      <c r="E3160">
        <v>1</v>
      </c>
      <c r="F3160" t="s">
        <v>33</v>
      </c>
      <c r="G3160" t="s">
        <v>25</v>
      </c>
      <c r="H3160" t="s">
        <v>26</v>
      </c>
      <c r="I3160" t="s">
        <v>57</v>
      </c>
    </row>
    <row r="3161" spans="1:9" x14ac:dyDescent="0.2">
      <c r="A3161" s="3">
        <v>42584</v>
      </c>
      <c r="B3161" t="s">
        <v>23</v>
      </c>
      <c r="C3161">
        <v>113</v>
      </c>
      <c r="D3161">
        <v>8</v>
      </c>
      <c r="E3161">
        <v>2</v>
      </c>
      <c r="F3161" t="s">
        <v>33</v>
      </c>
      <c r="G3161" t="s">
        <v>25</v>
      </c>
      <c r="H3161" t="s">
        <v>26</v>
      </c>
      <c r="I3161" t="s">
        <v>57</v>
      </c>
    </row>
    <row r="3162" spans="1:9" x14ac:dyDescent="0.2">
      <c r="A3162" s="3">
        <v>42584</v>
      </c>
      <c r="B3162" t="s">
        <v>23</v>
      </c>
      <c r="C3162">
        <v>113</v>
      </c>
      <c r="D3162">
        <v>9</v>
      </c>
      <c r="E3162">
        <v>1</v>
      </c>
      <c r="F3162" t="s">
        <v>33</v>
      </c>
      <c r="G3162" t="s">
        <v>25</v>
      </c>
      <c r="H3162" t="s">
        <v>26</v>
      </c>
      <c r="I3162" t="s">
        <v>57</v>
      </c>
    </row>
    <row r="3163" spans="1:9" x14ac:dyDescent="0.2">
      <c r="A3163" s="3">
        <v>42584</v>
      </c>
      <c r="B3163" t="s">
        <v>23</v>
      </c>
      <c r="C3163">
        <v>113</v>
      </c>
      <c r="D3163">
        <v>9</v>
      </c>
      <c r="E3163">
        <v>2</v>
      </c>
      <c r="F3163" t="s">
        <v>33</v>
      </c>
      <c r="G3163" t="s">
        <v>25</v>
      </c>
      <c r="H3163" t="s">
        <v>26</v>
      </c>
      <c r="I3163" t="s">
        <v>57</v>
      </c>
    </row>
    <row r="3164" spans="1:9" x14ac:dyDescent="0.2">
      <c r="A3164" s="3">
        <v>42584</v>
      </c>
      <c r="B3164" t="s">
        <v>23</v>
      </c>
      <c r="C3164">
        <v>402</v>
      </c>
      <c r="D3164">
        <v>1</v>
      </c>
      <c r="E3164">
        <v>1</v>
      </c>
      <c r="F3164" t="s">
        <v>33</v>
      </c>
      <c r="G3164" t="s">
        <v>25</v>
      </c>
      <c r="H3164" t="s">
        <v>26</v>
      </c>
      <c r="I3164" t="s">
        <v>57</v>
      </c>
    </row>
    <row r="3165" spans="1:9" x14ac:dyDescent="0.2">
      <c r="A3165" s="3">
        <v>42584</v>
      </c>
      <c r="B3165" t="s">
        <v>23</v>
      </c>
      <c r="C3165">
        <v>402</v>
      </c>
      <c r="D3165">
        <v>3</v>
      </c>
      <c r="E3165">
        <v>1</v>
      </c>
      <c r="F3165" t="s">
        <v>33</v>
      </c>
      <c r="G3165" t="s">
        <v>25</v>
      </c>
      <c r="H3165" t="s">
        <v>26</v>
      </c>
      <c r="I3165" t="s">
        <v>57</v>
      </c>
    </row>
    <row r="3166" spans="1:9" x14ac:dyDescent="0.2">
      <c r="A3166" s="3">
        <v>42584</v>
      </c>
      <c r="B3166" t="s">
        <v>23</v>
      </c>
      <c r="C3166">
        <v>402</v>
      </c>
      <c r="D3166">
        <v>8</v>
      </c>
      <c r="E3166">
        <v>1</v>
      </c>
      <c r="F3166" t="s">
        <v>33</v>
      </c>
      <c r="G3166" t="s">
        <v>25</v>
      </c>
      <c r="H3166" t="s">
        <v>26</v>
      </c>
      <c r="I3166" t="s">
        <v>57</v>
      </c>
    </row>
    <row r="3167" spans="1:9" x14ac:dyDescent="0.2">
      <c r="A3167" s="3">
        <v>42584</v>
      </c>
      <c r="B3167" t="s">
        <v>23</v>
      </c>
      <c r="C3167">
        <v>402</v>
      </c>
      <c r="D3167">
        <v>9</v>
      </c>
      <c r="E3167">
        <v>1</v>
      </c>
      <c r="F3167" t="s">
        <v>33</v>
      </c>
      <c r="G3167" t="s">
        <v>25</v>
      </c>
      <c r="H3167" t="s">
        <v>26</v>
      </c>
      <c r="I3167" t="s">
        <v>57</v>
      </c>
    </row>
    <row r="3168" spans="1:9" x14ac:dyDescent="0.2">
      <c r="A3168" s="3">
        <v>42584</v>
      </c>
      <c r="B3168" t="s">
        <v>23</v>
      </c>
      <c r="C3168">
        <v>201</v>
      </c>
      <c r="D3168">
        <v>3</v>
      </c>
      <c r="E3168">
        <v>1</v>
      </c>
      <c r="F3168" t="s">
        <v>24</v>
      </c>
      <c r="G3168" t="s">
        <v>25</v>
      </c>
      <c r="H3168" t="s">
        <v>26</v>
      </c>
      <c r="I3168" t="s">
        <v>57</v>
      </c>
    </row>
    <row r="3169" spans="1:9" x14ac:dyDescent="0.2">
      <c r="A3169" s="3">
        <v>42584</v>
      </c>
      <c r="B3169" t="s">
        <v>23</v>
      </c>
      <c r="C3169">
        <v>201</v>
      </c>
      <c r="D3169">
        <v>3</v>
      </c>
      <c r="E3169">
        <v>2</v>
      </c>
      <c r="F3169" t="s">
        <v>24</v>
      </c>
      <c r="G3169" t="s">
        <v>25</v>
      </c>
      <c r="H3169" t="s">
        <v>26</v>
      </c>
      <c r="I3169" t="s">
        <v>57</v>
      </c>
    </row>
    <row r="3170" spans="1:9" x14ac:dyDescent="0.2">
      <c r="A3170" s="3">
        <v>42584</v>
      </c>
      <c r="B3170" t="s">
        <v>23</v>
      </c>
      <c r="C3170">
        <v>201</v>
      </c>
      <c r="D3170">
        <v>5</v>
      </c>
      <c r="E3170">
        <v>1</v>
      </c>
      <c r="F3170" t="s">
        <v>24</v>
      </c>
      <c r="G3170" t="s">
        <v>25</v>
      </c>
      <c r="H3170" t="s">
        <v>26</v>
      </c>
      <c r="I3170" t="s">
        <v>57</v>
      </c>
    </row>
    <row r="3171" spans="1:9" x14ac:dyDescent="0.2">
      <c r="A3171" s="3">
        <v>42584</v>
      </c>
      <c r="B3171" t="s">
        <v>23</v>
      </c>
      <c r="C3171">
        <v>203</v>
      </c>
      <c r="D3171">
        <v>2</v>
      </c>
      <c r="E3171">
        <v>1</v>
      </c>
      <c r="F3171" t="s">
        <v>24</v>
      </c>
      <c r="G3171" t="s">
        <v>25</v>
      </c>
      <c r="H3171" t="s">
        <v>26</v>
      </c>
      <c r="I3171" t="s">
        <v>57</v>
      </c>
    </row>
    <row r="3172" spans="1:9" x14ac:dyDescent="0.2">
      <c r="A3172" s="3">
        <v>42584</v>
      </c>
      <c r="B3172" t="s">
        <v>23</v>
      </c>
      <c r="C3172">
        <v>203</v>
      </c>
      <c r="D3172">
        <v>3</v>
      </c>
      <c r="E3172">
        <v>1</v>
      </c>
      <c r="F3172" t="s">
        <v>24</v>
      </c>
      <c r="G3172" t="s">
        <v>25</v>
      </c>
      <c r="H3172" t="s">
        <v>26</v>
      </c>
      <c r="I3172" t="s">
        <v>57</v>
      </c>
    </row>
    <row r="3173" spans="1:9" x14ac:dyDescent="0.2">
      <c r="A3173" s="3">
        <v>42584</v>
      </c>
      <c r="B3173" t="s">
        <v>23</v>
      </c>
      <c r="C3173">
        <v>203</v>
      </c>
      <c r="D3173">
        <v>3</v>
      </c>
      <c r="E3173">
        <v>2</v>
      </c>
      <c r="F3173" t="s">
        <v>24</v>
      </c>
      <c r="G3173" t="s">
        <v>25</v>
      </c>
      <c r="H3173" t="s">
        <v>26</v>
      </c>
      <c r="I3173" t="s">
        <v>57</v>
      </c>
    </row>
    <row r="3174" spans="1:9" x14ac:dyDescent="0.2">
      <c r="A3174" s="3">
        <v>42584</v>
      </c>
      <c r="B3174" t="s">
        <v>23</v>
      </c>
      <c r="C3174">
        <v>203</v>
      </c>
      <c r="D3174">
        <v>4</v>
      </c>
      <c r="E3174">
        <v>1</v>
      </c>
      <c r="F3174" t="s">
        <v>24</v>
      </c>
      <c r="G3174" t="s">
        <v>25</v>
      </c>
      <c r="H3174" t="s">
        <v>26</v>
      </c>
      <c r="I3174" t="s">
        <v>57</v>
      </c>
    </row>
    <row r="3175" spans="1:9" x14ac:dyDescent="0.2">
      <c r="A3175" s="3">
        <v>42584</v>
      </c>
      <c r="B3175" t="s">
        <v>23</v>
      </c>
      <c r="C3175">
        <v>203</v>
      </c>
      <c r="D3175">
        <v>5</v>
      </c>
      <c r="E3175">
        <v>1</v>
      </c>
      <c r="F3175" t="s">
        <v>24</v>
      </c>
      <c r="G3175" t="s">
        <v>25</v>
      </c>
      <c r="H3175" t="s">
        <v>26</v>
      </c>
      <c r="I3175" t="s">
        <v>57</v>
      </c>
    </row>
    <row r="3176" spans="1:9" x14ac:dyDescent="0.2">
      <c r="A3176" s="3">
        <v>42584</v>
      </c>
      <c r="B3176" t="s">
        <v>23</v>
      </c>
      <c r="C3176">
        <v>203</v>
      </c>
      <c r="D3176">
        <v>6</v>
      </c>
      <c r="E3176">
        <v>1</v>
      </c>
      <c r="F3176" t="s">
        <v>24</v>
      </c>
      <c r="G3176" t="s">
        <v>25</v>
      </c>
      <c r="H3176" t="s">
        <v>26</v>
      </c>
      <c r="I3176" t="s">
        <v>57</v>
      </c>
    </row>
    <row r="3177" spans="1:9" x14ac:dyDescent="0.2">
      <c r="A3177" s="3">
        <v>42584</v>
      </c>
      <c r="B3177" t="s">
        <v>23</v>
      </c>
      <c r="C3177">
        <v>203</v>
      </c>
      <c r="D3177">
        <v>6</v>
      </c>
      <c r="E3177">
        <v>2</v>
      </c>
      <c r="F3177" t="s">
        <v>24</v>
      </c>
      <c r="G3177" t="s">
        <v>25</v>
      </c>
      <c r="H3177" t="s">
        <v>26</v>
      </c>
      <c r="I3177" t="s">
        <v>57</v>
      </c>
    </row>
    <row r="3178" spans="1:9" x14ac:dyDescent="0.2">
      <c r="A3178" s="3">
        <v>42584</v>
      </c>
      <c r="B3178" t="s">
        <v>23</v>
      </c>
      <c r="C3178">
        <v>203</v>
      </c>
      <c r="D3178">
        <v>8</v>
      </c>
      <c r="E3178">
        <v>1</v>
      </c>
      <c r="F3178" t="s">
        <v>24</v>
      </c>
      <c r="G3178" t="s">
        <v>25</v>
      </c>
      <c r="H3178" t="s">
        <v>26</v>
      </c>
      <c r="I3178" t="s">
        <v>57</v>
      </c>
    </row>
    <row r="3179" spans="1:9" x14ac:dyDescent="0.2">
      <c r="A3179" s="3">
        <v>42584</v>
      </c>
      <c r="B3179" t="s">
        <v>23</v>
      </c>
      <c r="C3179">
        <v>203</v>
      </c>
      <c r="D3179">
        <v>10</v>
      </c>
      <c r="E3179">
        <v>2</v>
      </c>
      <c r="F3179" t="s">
        <v>24</v>
      </c>
      <c r="G3179" t="s">
        <v>25</v>
      </c>
      <c r="H3179" t="s">
        <v>26</v>
      </c>
      <c r="I3179" t="s">
        <v>57</v>
      </c>
    </row>
    <row r="3180" spans="1:9" x14ac:dyDescent="0.2">
      <c r="A3180" s="3">
        <v>42584</v>
      </c>
      <c r="B3180" t="s">
        <v>23</v>
      </c>
      <c r="C3180">
        <v>202</v>
      </c>
      <c r="D3180">
        <v>2</v>
      </c>
      <c r="E3180">
        <v>1</v>
      </c>
      <c r="F3180" t="s">
        <v>24</v>
      </c>
      <c r="G3180" t="s">
        <v>25</v>
      </c>
      <c r="H3180" t="s">
        <v>26</v>
      </c>
      <c r="I3180" t="s">
        <v>57</v>
      </c>
    </row>
    <row r="3181" spans="1:9" x14ac:dyDescent="0.2">
      <c r="A3181" s="3">
        <v>42584</v>
      </c>
      <c r="B3181" t="s">
        <v>23</v>
      </c>
      <c r="C3181">
        <v>202</v>
      </c>
      <c r="D3181">
        <v>3</v>
      </c>
      <c r="E3181">
        <v>1</v>
      </c>
      <c r="F3181" t="s">
        <v>24</v>
      </c>
      <c r="G3181" t="s">
        <v>25</v>
      </c>
      <c r="H3181" t="s">
        <v>26</v>
      </c>
      <c r="I3181" t="s">
        <v>57</v>
      </c>
    </row>
    <row r="3182" spans="1:9" x14ac:dyDescent="0.2">
      <c r="A3182" s="3">
        <v>42584</v>
      </c>
      <c r="B3182" t="s">
        <v>23</v>
      </c>
      <c r="C3182">
        <v>202</v>
      </c>
      <c r="D3182">
        <v>4</v>
      </c>
      <c r="E3182">
        <v>1</v>
      </c>
      <c r="F3182" t="s">
        <v>24</v>
      </c>
      <c r="G3182" t="s">
        <v>25</v>
      </c>
      <c r="H3182" t="s">
        <v>26</v>
      </c>
      <c r="I3182" t="s">
        <v>57</v>
      </c>
    </row>
    <row r="3183" spans="1:9" x14ac:dyDescent="0.2">
      <c r="A3183" s="3">
        <v>42584</v>
      </c>
      <c r="B3183" t="s">
        <v>23</v>
      </c>
      <c r="C3183">
        <v>202</v>
      </c>
      <c r="D3183">
        <v>8</v>
      </c>
      <c r="E3183">
        <v>1</v>
      </c>
      <c r="F3183" t="s">
        <v>24</v>
      </c>
      <c r="G3183" t="s">
        <v>25</v>
      </c>
      <c r="H3183" t="s">
        <v>26</v>
      </c>
      <c r="I3183" t="s">
        <v>57</v>
      </c>
    </row>
    <row r="3184" spans="1:9" x14ac:dyDescent="0.2">
      <c r="A3184" s="3">
        <v>42584</v>
      </c>
      <c r="B3184" t="s">
        <v>23</v>
      </c>
      <c r="C3184">
        <v>202</v>
      </c>
      <c r="D3184">
        <v>9</v>
      </c>
      <c r="E3184">
        <v>1</v>
      </c>
      <c r="F3184" t="s">
        <v>24</v>
      </c>
      <c r="G3184" t="s">
        <v>25</v>
      </c>
      <c r="H3184" t="s">
        <v>26</v>
      </c>
      <c r="I3184" t="s">
        <v>57</v>
      </c>
    </row>
    <row r="3185" spans="1:9" x14ac:dyDescent="0.2">
      <c r="A3185" s="3">
        <v>42584</v>
      </c>
      <c r="B3185" t="s">
        <v>23</v>
      </c>
      <c r="C3185">
        <v>202</v>
      </c>
      <c r="D3185">
        <v>9</v>
      </c>
      <c r="E3185">
        <v>2</v>
      </c>
      <c r="F3185" t="s">
        <v>24</v>
      </c>
      <c r="G3185" t="s">
        <v>25</v>
      </c>
      <c r="H3185" t="s">
        <v>26</v>
      </c>
      <c r="I3185" t="s">
        <v>57</v>
      </c>
    </row>
    <row r="3186" spans="1:9" x14ac:dyDescent="0.2">
      <c r="A3186" s="3">
        <v>42584</v>
      </c>
      <c r="B3186" t="s">
        <v>23</v>
      </c>
      <c r="C3186">
        <v>304</v>
      </c>
      <c r="D3186">
        <v>8</v>
      </c>
      <c r="E3186">
        <v>1</v>
      </c>
      <c r="F3186" t="s">
        <v>24</v>
      </c>
      <c r="G3186" t="s">
        <v>25</v>
      </c>
      <c r="H3186" t="s">
        <v>26</v>
      </c>
      <c r="I3186" t="s">
        <v>57</v>
      </c>
    </row>
    <row r="3187" spans="1:9" x14ac:dyDescent="0.2">
      <c r="A3187" s="3">
        <v>42584</v>
      </c>
      <c r="B3187" t="s">
        <v>23</v>
      </c>
      <c r="C3187">
        <v>304</v>
      </c>
      <c r="D3187">
        <v>7</v>
      </c>
      <c r="E3187">
        <v>1</v>
      </c>
      <c r="F3187" t="s">
        <v>24</v>
      </c>
      <c r="G3187" t="s">
        <v>25</v>
      </c>
      <c r="H3187" t="s">
        <v>26</v>
      </c>
      <c r="I3187" t="s">
        <v>57</v>
      </c>
    </row>
    <row r="3188" spans="1:9" x14ac:dyDescent="0.2">
      <c r="A3188" s="3">
        <v>42584</v>
      </c>
      <c r="B3188" t="s">
        <v>23</v>
      </c>
      <c r="C3188">
        <v>304</v>
      </c>
      <c r="D3188">
        <v>6</v>
      </c>
      <c r="E3188">
        <v>1</v>
      </c>
      <c r="F3188" t="s">
        <v>24</v>
      </c>
      <c r="G3188" t="s">
        <v>25</v>
      </c>
      <c r="H3188" t="s">
        <v>26</v>
      </c>
      <c r="I3188" t="s">
        <v>57</v>
      </c>
    </row>
    <row r="3189" spans="1:9" x14ac:dyDescent="0.2">
      <c r="A3189" s="3">
        <v>42584</v>
      </c>
      <c r="B3189" t="s">
        <v>23</v>
      </c>
      <c r="C3189">
        <v>304</v>
      </c>
      <c r="D3189">
        <v>5</v>
      </c>
      <c r="E3189">
        <v>1</v>
      </c>
      <c r="F3189" t="s">
        <v>24</v>
      </c>
      <c r="G3189" t="s">
        <v>25</v>
      </c>
      <c r="H3189" t="s">
        <v>26</v>
      </c>
      <c r="I3189" t="s">
        <v>57</v>
      </c>
    </row>
    <row r="3190" spans="1:9" x14ac:dyDescent="0.2">
      <c r="A3190" s="3">
        <v>42584</v>
      </c>
      <c r="B3190" t="s">
        <v>23</v>
      </c>
      <c r="C3190">
        <v>304</v>
      </c>
      <c r="D3190">
        <v>4</v>
      </c>
      <c r="E3190">
        <v>1</v>
      </c>
      <c r="F3190" t="s">
        <v>24</v>
      </c>
      <c r="G3190" t="s">
        <v>25</v>
      </c>
      <c r="H3190" t="s">
        <v>26</v>
      </c>
      <c r="I3190" t="s">
        <v>57</v>
      </c>
    </row>
    <row r="3191" spans="1:9" x14ac:dyDescent="0.2">
      <c r="A3191" s="3">
        <v>42584</v>
      </c>
      <c r="B3191" t="s">
        <v>23</v>
      </c>
      <c r="C3191">
        <v>304</v>
      </c>
      <c r="D3191">
        <v>3</v>
      </c>
      <c r="E3191">
        <v>1</v>
      </c>
      <c r="F3191" t="s">
        <v>24</v>
      </c>
      <c r="G3191" t="s">
        <v>25</v>
      </c>
      <c r="H3191" t="s">
        <v>26</v>
      </c>
      <c r="I3191" t="s">
        <v>57</v>
      </c>
    </row>
    <row r="3192" spans="1:9" x14ac:dyDescent="0.2">
      <c r="A3192" s="3">
        <v>42584</v>
      </c>
      <c r="B3192" t="s">
        <v>23</v>
      </c>
      <c r="C3192">
        <v>304</v>
      </c>
      <c r="D3192">
        <v>1</v>
      </c>
      <c r="E3192">
        <v>1</v>
      </c>
      <c r="F3192" t="s">
        <v>24</v>
      </c>
      <c r="G3192" t="s">
        <v>25</v>
      </c>
      <c r="H3192" t="s">
        <v>26</v>
      </c>
      <c r="I3192" t="s">
        <v>57</v>
      </c>
    </row>
    <row r="3193" spans="1:9" x14ac:dyDescent="0.2">
      <c r="A3193" s="3">
        <v>42585</v>
      </c>
      <c r="B3193" t="s">
        <v>23</v>
      </c>
      <c r="C3193">
        <v>201</v>
      </c>
      <c r="D3193">
        <v>6</v>
      </c>
      <c r="E3193">
        <v>1</v>
      </c>
      <c r="F3193" t="s">
        <v>24</v>
      </c>
      <c r="G3193" t="s">
        <v>25</v>
      </c>
      <c r="H3193" t="s">
        <v>26</v>
      </c>
      <c r="I3193" t="s">
        <v>57</v>
      </c>
    </row>
    <row r="3194" spans="1:9" x14ac:dyDescent="0.2">
      <c r="A3194" s="3">
        <v>42585</v>
      </c>
      <c r="B3194" t="s">
        <v>23</v>
      </c>
      <c r="C3194">
        <v>201</v>
      </c>
      <c r="D3194">
        <v>7</v>
      </c>
      <c r="E3194">
        <v>1</v>
      </c>
      <c r="F3194" t="s">
        <v>24</v>
      </c>
      <c r="G3194" t="s">
        <v>25</v>
      </c>
      <c r="H3194" t="s">
        <v>26</v>
      </c>
      <c r="I3194" t="s">
        <v>57</v>
      </c>
    </row>
    <row r="3195" spans="1:9" x14ac:dyDescent="0.2">
      <c r="A3195" s="3">
        <v>42585</v>
      </c>
      <c r="B3195" t="s">
        <v>23</v>
      </c>
      <c r="C3195">
        <v>201</v>
      </c>
      <c r="D3195">
        <v>8</v>
      </c>
      <c r="E3195">
        <v>1</v>
      </c>
      <c r="F3195" t="s">
        <v>24</v>
      </c>
      <c r="G3195" t="s">
        <v>25</v>
      </c>
      <c r="H3195" t="s">
        <v>26</v>
      </c>
      <c r="I3195" t="s">
        <v>57</v>
      </c>
    </row>
    <row r="3196" spans="1:9" x14ac:dyDescent="0.2">
      <c r="A3196" s="3">
        <v>42585</v>
      </c>
      <c r="B3196" t="s">
        <v>23</v>
      </c>
      <c r="C3196">
        <v>201</v>
      </c>
      <c r="D3196">
        <v>10</v>
      </c>
      <c r="E3196">
        <v>1</v>
      </c>
      <c r="F3196" t="s">
        <v>24</v>
      </c>
      <c r="G3196" t="s">
        <v>25</v>
      </c>
      <c r="H3196" t="s">
        <v>26</v>
      </c>
      <c r="I3196" t="s">
        <v>57</v>
      </c>
    </row>
    <row r="3197" spans="1:9" x14ac:dyDescent="0.2">
      <c r="A3197" s="3">
        <v>42585</v>
      </c>
      <c r="B3197" t="s">
        <v>23</v>
      </c>
      <c r="C3197">
        <v>203</v>
      </c>
      <c r="D3197">
        <v>5</v>
      </c>
      <c r="E3197">
        <v>1</v>
      </c>
      <c r="F3197" t="s">
        <v>24</v>
      </c>
      <c r="G3197" t="s">
        <v>25</v>
      </c>
      <c r="H3197" t="s">
        <v>26</v>
      </c>
      <c r="I3197" t="s">
        <v>57</v>
      </c>
    </row>
    <row r="3198" spans="1:9" x14ac:dyDescent="0.2">
      <c r="A3198" s="3">
        <v>42585</v>
      </c>
      <c r="B3198" t="s">
        <v>23</v>
      </c>
      <c r="C3198">
        <v>203</v>
      </c>
      <c r="D3198">
        <v>6</v>
      </c>
      <c r="E3198">
        <v>2</v>
      </c>
      <c r="F3198" t="s">
        <v>24</v>
      </c>
      <c r="G3198" t="s">
        <v>25</v>
      </c>
      <c r="H3198" t="s">
        <v>26</v>
      </c>
      <c r="I3198" t="s">
        <v>57</v>
      </c>
    </row>
    <row r="3199" spans="1:9" x14ac:dyDescent="0.2">
      <c r="A3199" s="3">
        <v>42585</v>
      </c>
      <c r="B3199" t="s">
        <v>23</v>
      </c>
      <c r="C3199">
        <v>202</v>
      </c>
      <c r="D3199">
        <v>3</v>
      </c>
      <c r="E3199">
        <v>1</v>
      </c>
      <c r="F3199" t="s">
        <v>24</v>
      </c>
      <c r="G3199" t="s">
        <v>25</v>
      </c>
      <c r="H3199" t="s">
        <v>26</v>
      </c>
      <c r="I3199" t="s">
        <v>57</v>
      </c>
    </row>
    <row r="3200" spans="1:9" x14ac:dyDescent="0.2">
      <c r="A3200" s="3">
        <v>42585</v>
      </c>
      <c r="B3200" t="s">
        <v>23</v>
      </c>
      <c r="C3200">
        <v>202</v>
      </c>
      <c r="D3200">
        <v>3</v>
      </c>
      <c r="E3200">
        <v>2</v>
      </c>
      <c r="F3200" t="s">
        <v>24</v>
      </c>
      <c r="G3200" t="s">
        <v>25</v>
      </c>
      <c r="H3200" t="s">
        <v>26</v>
      </c>
      <c r="I3200" t="s">
        <v>57</v>
      </c>
    </row>
    <row r="3201" spans="1:9" x14ac:dyDescent="0.2">
      <c r="A3201" s="3">
        <v>42585</v>
      </c>
      <c r="B3201" t="s">
        <v>23</v>
      </c>
      <c r="C3201">
        <v>202</v>
      </c>
      <c r="D3201">
        <v>9</v>
      </c>
      <c r="E3201">
        <v>1</v>
      </c>
      <c r="F3201" t="s">
        <v>24</v>
      </c>
      <c r="G3201" t="s">
        <v>25</v>
      </c>
      <c r="H3201" t="s">
        <v>26</v>
      </c>
      <c r="I3201" t="s">
        <v>57</v>
      </c>
    </row>
    <row r="3202" spans="1:9" x14ac:dyDescent="0.2">
      <c r="A3202" s="3">
        <v>42585</v>
      </c>
      <c r="B3202" t="s">
        <v>23</v>
      </c>
      <c r="C3202">
        <v>202</v>
      </c>
      <c r="D3202">
        <v>9</v>
      </c>
      <c r="E3202">
        <v>2</v>
      </c>
      <c r="F3202" t="s">
        <v>24</v>
      </c>
      <c r="G3202" t="s">
        <v>25</v>
      </c>
      <c r="H3202" t="s">
        <v>26</v>
      </c>
      <c r="I3202" t="s">
        <v>57</v>
      </c>
    </row>
    <row r="3203" spans="1:9" x14ac:dyDescent="0.2">
      <c r="A3203" s="3">
        <v>42585</v>
      </c>
      <c r="B3203" t="s">
        <v>23</v>
      </c>
      <c r="C3203">
        <v>202</v>
      </c>
      <c r="D3203">
        <v>10</v>
      </c>
      <c r="E3203">
        <v>1</v>
      </c>
      <c r="F3203" t="s">
        <v>24</v>
      </c>
      <c r="G3203" t="s">
        <v>25</v>
      </c>
      <c r="H3203" t="s">
        <v>26</v>
      </c>
      <c r="I3203" t="s">
        <v>57</v>
      </c>
    </row>
    <row r="3204" spans="1:9" x14ac:dyDescent="0.2">
      <c r="A3204" s="3">
        <v>42585</v>
      </c>
      <c r="B3204" t="s">
        <v>23</v>
      </c>
      <c r="C3204">
        <v>202</v>
      </c>
      <c r="D3204">
        <v>10</v>
      </c>
      <c r="E3204">
        <v>2</v>
      </c>
      <c r="F3204" t="s">
        <v>24</v>
      </c>
      <c r="G3204" t="s">
        <v>25</v>
      </c>
      <c r="H3204" t="s">
        <v>26</v>
      </c>
      <c r="I3204" t="s">
        <v>57</v>
      </c>
    </row>
    <row r="3205" spans="1:9" x14ac:dyDescent="0.2">
      <c r="A3205" s="3">
        <v>42585</v>
      </c>
      <c r="B3205" t="s">
        <v>23</v>
      </c>
      <c r="C3205">
        <v>111</v>
      </c>
      <c r="D3205">
        <v>3</v>
      </c>
      <c r="E3205">
        <v>1</v>
      </c>
      <c r="F3205" t="s">
        <v>64</v>
      </c>
      <c r="G3205" t="s">
        <v>25</v>
      </c>
      <c r="H3205" t="s">
        <v>26</v>
      </c>
      <c r="I3205" t="s">
        <v>57</v>
      </c>
    </row>
    <row r="3206" spans="1:9" x14ac:dyDescent="0.2">
      <c r="A3206" s="3">
        <v>42585</v>
      </c>
      <c r="B3206" t="s">
        <v>23</v>
      </c>
      <c r="C3206">
        <v>111</v>
      </c>
      <c r="D3206">
        <v>2</v>
      </c>
      <c r="E3206">
        <v>3</v>
      </c>
      <c r="F3206" t="s">
        <v>64</v>
      </c>
      <c r="G3206" t="s">
        <v>25</v>
      </c>
      <c r="H3206" t="s">
        <v>26</v>
      </c>
      <c r="I3206" t="s">
        <v>57</v>
      </c>
    </row>
    <row r="3207" spans="1:9" x14ac:dyDescent="0.2">
      <c r="A3207" s="3">
        <v>42585</v>
      </c>
      <c r="B3207" t="s">
        <v>23</v>
      </c>
      <c r="C3207">
        <v>112</v>
      </c>
      <c r="D3207">
        <v>1</v>
      </c>
      <c r="E3207">
        <v>1</v>
      </c>
      <c r="F3207" t="s">
        <v>64</v>
      </c>
      <c r="G3207" t="s">
        <v>25</v>
      </c>
      <c r="H3207" t="s">
        <v>26</v>
      </c>
      <c r="I3207" t="s">
        <v>57</v>
      </c>
    </row>
    <row r="3208" spans="1:9" x14ac:dyDescent="0.2">
      <c r="A3208" s="3">
        <v>42585</v>
      </c>
      <c r="B3208" t="s">
        <v>23</v>
      </c>
      <c r="C3208">
        <v>112</v>
      </c>
      <c r="D3208">
        <v>3</v>
      </c>
      <c r="E3208">
        <v>1</v>
      </c>
      <c r="F3208" t="s">
        <v>64</v>
      </c>
      <c r="G3208" t="s">
        <v>25</v>
      </c>
      <c r="H3208" t="s">
        <v>26</v>
      </c>
      <c r="I3208" t="s">
        <v>57</v>
      </c>
    </row>
    <row r="3209" spans="1:9" x14ac:dyDescent="0.2">
      <c r="A3209" s="3">
        <v>42585</v>
      </c>
      <c r="B3209" t="s">
        <v>23</v>
      </c>
      <c r="C3209">
        <v>112</v>
      </c>
      <c r="D3209">
        <v>4</v>
      </c>
      <c r="E3209">
        <v>1</v>
      </c>
      <c r="F3209" t="s">
        <v>64</v>
      </c>
      <c r="G3209" t="s">
        <v>25</v>
      </c>
      <c r="H3209" t="s">
        <v>26</v>
      </c>
      <c r="I3209" t="s">
        <v>57</v>
      </c>
    </row>
    <row r="3210" spans="1:9" x14ac:dyDescent="0.2">
      <c r="A3210" s="3">
        <v>42585</v>
      </c>
      <c r="B3210" t="s">
        <v>23</v>
      </c>
      <c r="C3210">
        <v>112</v>
      </c>
      <c r="D3210">
        <v>7</v>
      </c>
      <c r="E3210">
        <v>1</v>
      </c>
      <c r="F3210" t="s">
        <v>64</v>
      </c>
      <c r="G3210" t="s">
        <v>25</v>
      </c>
      <c r="H3210" t="s">
        <v>26</v>
      </c>
      <c r="I3210" t="s">
        <v>57</v>
      </c>
    </row>
    <row r="3211" spans="1:9" x14ac:dyDescent="0.2">
      <c r="A3211" s="3">
        <v>42585</v>
      </c>
      <c r="B3211" t="s">
        <v>23</v>
      </c>
      <c r="C3211">
        <v>112</v>
      </c>
      <c r="D3211">
        <v>8</v>
      </c>
      <c r="E3211">
        <v>1</v>
      </c>
      <c r="F3211" t="s">
        <v>64</v>
      </c>
      <c r="G3211" t="s">
        <v>25</v>
      </c>
      <c r="H3211" t="s">
        <v>26</v>
      </c>
      <c r="I3211" t="s">
        <v>57</v>
      </c>
    </row>
    <row r="3212" spans="1:9" x14ac:dyDescent="0.2">
      <c r="A3212" s="3">
        <v>42585</v>
      </c>
      <c r="B3212" t="s">
        <v>23</v>
      </c>
      <c r="C3212">
        <v>112</v>
      </c>
      <c r="D3212">
        <v>9</v>
      </c>
      <c r="E3212">
        <v>1</v>
      </c>
      <c r="F3212" t="s">
        <v>64</v>
      </c>
      <c r="G3212" t="s">
        <v>25</v>
      </c>
      <c r="H3212" t="s">
        <v>26</v>
      </c>
      <c r="I3212" t="s">
        <v>57</v>
      </c>
    </row>
    <row r="3213" spans="1:9" x14ac:dyDescent="0.2">
      <c r="A3213" s="3">
        <v>42585</v>
      </c>
      <c r="B3213" t="s">
        <v>23</v>
      </c>
      <c r="C3213">
        <v>112</v>
      </c>
      <c r="D3213">
        <v>10</v>
      </c>
      <c r="E3213">
        <v>2</v>
      </c>
      <c r="F3213" t="s">
        <v>64</v>
      </c>
      <c r="G3213" t="s">
        <v>25</v>
      </c>
      <c r="H3213" t="s">
        <v>26</v>
      </c>
      <c r="I3213" t="s">
        <v>57</v>
      </c>
    </row>
    <row r="3214" spans="1:9" x14ac:dyDescent="0.2">
      <c r="A3214" s="3">
        <v>42585</v>
      </c>
      <c r="B3214" t="s">
        <v>23</v>
      </c>
      <c r="C3214">
        <v>113</v>
      </c>
      <c r="D3214">
        <v>3</v>
      </c>
      <c r="E3214">
        <v>1</v>
      </c>
      <c r="F3214" t="s">
        <v>64</v>
      </c>
      <c r="G3214" t="s">
        <v>25</v>
      </c>
      <c r="H3214" t="s">
        <v>26</v>
      </c>
      <c r="I3214" t="s">
        <v>57</v>
      </c>
    </row>
    <row r="3215" spans="1:9" x14ac:dyDescent="0.2">
      <c r="A3215" s="3">
        <v>42585</v>
      </c>
      <c r="B3215" t="s">
        <v>23</v>
      </c>
      <c r="C3215">
        <v>113</v>
      </c>
      <c r="D3215">
        <v>4</v>
      </c>
      <c r="E3215">
        <v>1</v>
      </c>
      <c r="F3215" t="s">
        <v>64</v>
      </c>
      <c r="G3215" t="s">
        <v>25</v>
      </c>
      <c r="H3215" t="s">
        <v>26</v>
      </c>
      <c r="I3215" t="s">
        <v>57</v>
      </c>
    </row>
    <row r="3216" spans="1:9" x14ac:dyDescent="0.2">
      <c r="A3216" s="3">
        <v>42585</v>
      </c>
      <c r="B3216" t="s">
        <v>23</v>
      </c>
      <c r="C3216">
        <v>113</v>
      </c>
      <c r="D3216">
        <v>5</v>
      </c>
      <c r="E3216">
        <v>1</v>
      </c>
      <c r="F3216" t="s">
        <v>64</v>
      </c>
      <c r="G3216" t="s">
        <v>25</v>
      </c>
      <c r="H3216" t="s">
        <v>26</v>
      </c>
      <c r="I3216" t="s">
        <v>57</v>
      </c>
    </row>
    <row r="3217" spans="1:9" x14ac:dyDescent="0.2">
      <c r="A3217" s="3">
        <v>42585</v>
      </c>
      <c r="B3217" t="s">
        <v>23</v>
      </c>
      <c r="C3217">
        <v>113</v>
      </c>
      <c r="D3217">
        <v>5</v>
      </c>
      <c r="E3217">
        <v>2</v>
      </c>
      <c r="F3217" t="s">
        <v>64</v>
      </c>
      <c r="G3217" t="s">
        <v>25</v>
      </c>
      <c r="H3217" t="s">
        <v>26</v>
      </c>
      <c r="I3217" t="s">
        <v>57</v>
      </c>
    </row>
    <row r="3218" spans="1:9" x14ac:dyDescent="0.2">
      <c r="A3218" s="3">
        <v>42585</v>
      </c>
      <c r="B3218" t="s">
        <v>23</v>
      </c>
      <c r="C3218">
        <v>113</v>
      </c>
      <c r="D3218">
        <v>6</v>
      </c>
      <c r="E3218">
        <v>1</v>
      </c>
      <c r="F3218" t="s">
        <v>64</v>
      </c>
      <c r="G3218" t="s">
        <v>25</v>
      </c>
      <c r="H3218" t="s">
        <v>26</v>
      </c>
      <c r="I3218" t="s">
        <v>57</v>
      </c>
    </row>
    <row r="3219" spans="1:9" x14ac:dyDescent="0.2">
      <c r="A3219" s="3">
        <v>42585</v>
      </c>
      <c r="B3219" t="s">
        <v>23</v>
      </c>
      <c r="C3219">
        <v>113</v>
      </c>
      <c r="D3219">
        <v>6</v>
      </c>
      <c r="E3219">
        <v>2</v>
      </c>
      <c r="F3219" t="s">
        <v>64</v>
      </c>
      <c r="G3219" t="s">
        <v>25</v>
      </c>
      <c r="H3219" t="s">
        <v>26</v>
      </c>
      <c r="I3219" t="s">
        <v>57</v>
      </c>
    </row>
    <row r="3220" spans="1:9" x14ac:dyDescent="0.2">
      <c r="A3220" s="3">
        <v>42585</v>
      </c>
      <c r="B3220" t="s">
        <v>23</v>
      </c>
      <c r="C3220">
        <v>113</v>
      </c>
      <c r="D3220">
        <v>7</v>
      </c>
      <c r="E3220">
        <v>1</v>
      </c>
      <c r="F3220" t="s">
        <v>64</v>
      </c>
      <c r="G3220" t="s">
        <v>25</v>
      </c>
      <c r="H3220" t="s">
        <v>26</v>
      </c>
      <c r="I3220" t="s">
        <v>57</v>
      </c>
    </row>
    <row r="3221" spans="1:9" x14ac:dyDescent="0.2">
      <c r="A3221" s="3">
        <v>42585</v>
      </c>
      <c r="B3221" t="s">
        <v>23</v>
      </c>
      <c r="C3221">
        <v>113</v>
      </c>
      <c r="D3221">
        <v>8</v>
      </c>
      <c r="E3221">
        <v>1</v>
      </c>
      <c r="F3221" t="s">
        <v>64</v>
      </c>
      <c r="G3221" t="s">
        <v>25</v>
      </c>
      <c r="H3221" t="s">
        <v>26</v>
      </c>
      <c r="I3221" t="s">
        <v>57</v>
      </c>
    </row>
    <row r="3222" spans="1:9" x14ac:dyDescent="0.2">
      <c r="A3222" s="3">
        <v>42585</v>
      </c>
      <c r="B3222" t="s">
        <v>23</v>
      </c>
      <c r="C3222">
        <v>113</v>
      </c>
      <c r="D3222">
        <v>8</v>
      </c>
      <c r="E3222">
        <v>2</v>
      </c>
      <c r="F3222" t="s">
        <v>64</v>
      </c>
      <c r="G3222" t="s">
        <v>25</v>
      </c>
      <c r="H3222" t="s">
        <v>26</v>
      </c>
      <c r="I3222" t="s">
        <v>57</v>
      </c>
    </row>
    <row r="3223" spans="1:9" x14ac:dyDescent="0.2">
      <c r="A3223" s="3">
        <v>42585</v>
      </c>
      <c r="B3223" t="s">
        <v>23</v>
      </c>
      <c r="C3223">
        <v>113</v>
      </c>
      <c r="D3223">
        <v>9</v>
      </c>
      <c r="E3223">
        <v>1</v>
      </c>
      <c r="F3223" t="s">
        <v>64</v>
      </c>
      <c r="G3223" t="s">
        <v>25</v>
      </c>
      <c r="H3223" t="s">
        <v>26</v>
      </c>
      <c r="I3223" t="s">
        <v>57</v>
      </c>
    </row>
    <row r="3224" spans="1:9" x14ac:dyDescent="0.2">
      <c r="A3224" s="3">
        <v>42585</v>
      </c>
      <c r="B3224" t="s">
        <v>23</v>
      </c>
      <c r="C3224">
        <v>113</v>
      </c>
      <c r="D3224">
        <v>9</v>
      </c>
      <c r="E3224">
        <v>2</v>
      </c>
      <c r="F3224" t="s">
        <v>64</v>
      </c>
      <c r="G3224" t="s">
        <v>25</v>
      </c>
      <c r="H3224" t="s">
        <v>26</v>
      </c>
      <c r="I3224" t="s">
        <v>57</v>
      </c>
    </row>
    <row r="3225" spans="1:9" x14ac:dyDescent="0.2">
      <c r="A3225" s="3">
        <v>42585</v>
      </c>
      <c r="B3225" t="s">
        <v>23</v>
      </c>
      <c r="C3225">
        <v>402</v>
      </c>
      <c r="D3225">
        <v>3</v>
      </c>
      <c r="E3225">
        <v>1</v>
      </c>
      <c r="F3225" t="s">
        <v>64</v>
      </c>
      <c r="G3225" t="s">
        <v>25</v>
      </c>
      <c r="H3225" t="s">
        <v>26</v>
      </c>
      <c r="I3225" t="s">
        <v>57</v>
      </c>
    </row>
    <row r="3226" spans="1:9" x14ac:dyDescent="0.2">
      <c r="A3226" s="3">
        <v>42585</v>
      </c>
      <c r="B3226" t="s">
        <v>23</v>
      </c>
      <c r="C3226">
        <v>402</v>
      </c>
      <c r="D3226">
        <v>3</v>
      </c>
      <c r="E3226">
        <v>2</v>
      </c>
      <c r="F3226" t="s">
        <v>64</v>
      </c>
      <c r="G3226" t="s">
        <v>25</v>
      </c>
      <c r="H3226" t="s">
        <v>26</v>
      </c>
      <c r="I3226" t="s">
        <v>57</v>
      </c>
    </row>
    <row r="3227" spans="1:9" x14ac:dyDescent="0.2">
      <c r="A3227" s="3">
        <v>42585</v>
      </c>
      <c r="B3227" t="s">
        <v>23</v>
      </c>
      <c r="C3227">
        <v>402</v>
      </c>
      <c r="D3227">
        <v>4</v>
      </c>
      <c r="E3227">
        <v>1</v>
      </c>
      <c r="F3227" t="s">
        <v>64</v>
      </c>
      <c r="G3227" t="s">
        <v>25</v>
      </c>
      <c r="H3227" t="s">
        <v>26</v>
      </c>
      <c r="I3227" t="s">
        <v>57</v>
      </c>
    </row>
    <row r="3228" spans="1:9" x14ac:dyDescent="0.2">
      <c r="A3228" s="3">
        <v>42585</v>
      </c>
      <c r="B3228" t="s">
        <v>23</v>
      </c>
      <c r="C3228">
        <v>402</v>
      </c>
      <c r="D3228">
        <v>5</v>
      </c>
      <c r="E3228">
        <v>1</v>
      </c>
      <c r="F3228" t="s">
        <v>64</v>
      </c>
      <c r="G3228" t="s">
        <v>25</v>
      </c>
      <c r="H3228" t="s">
        <v>26</v>
      </c>
      <c r="I3228" t="s">
        <v>57</v>
      </c>
    </row>
    <row r="3229" spans="1:9" x14ac:dyDescent="0.2">
      <c r="A3229" s="3">
        <v>42585</v>
      </c>
      <c r="B3229" t="s">
        <v>23</v>
      </c>
      <c r="C3229">
        <v>402</v>
      </c>
      <c r="D3229">
        <v>5</v>
      </c>
      <c r="E3229">
        <v>2</v>
      </c>
      <c r="F3229" t="s">
        <v>64</v>
      </c>
      <c r="G3229" t="s">
        <v>25</v>
      </c>
      <c r="H3229" t="s">
        <v>26</v>
      </c>
      <c r="I3229" t="s">
        <v>57</v>
      </c>
    </row>
    <row r="3230" spans="1:9" x14ac:dyDescent="0.2">
      <c r="A3230" s="3">
        <v>42585</v>
      </c>
      <c r="B3230" t="s">
        <v>23</v>
      </c>
      <c r="C3230">
        <v>402</v>
      </c>
      <c r="D3230">
        <v>7</v>
      </c>
      <c r="E3230">
        <v>1</v>
      </c>
      <c r="F3230" t="s">
        <v>64</v>
      </c>
      <c r="G3230" t="s">
        <v>25</v>
      </c>
      <c r="H3230" t="s">
        <v>26</v>
      </c>
      <c r="I3230" t="s">
        <v>57</v>
      </c>
    </row>
    <row r="3231" spans="1:9" x14ac:dyDescent="0.2">
      <c r="A3231" s="3">
        <v>42585</v>
      </c>
      <c r="B3231" t="s">
        <v>23</v>
      </c>
      <c r="C3231">
        <v>402</v>
      </c>
      <c r="D3231">
        <v>8</v>
      </c>
      <c r="E3231">
        <v>1</v>
      </c>
      <c r="F3231" t="s">
        <v>64</v>
      </c>
      <c r="G3231" t="s">
        <v>25</v>
      </c>
      <c r="H3231" t="s">
        <v>26</v>
      </c>
      <c r="I3231" t="s">
        <v>57</v>
      </c>
    </row>
    <row r="3232" spans="1:9" x14ac:dyDescent="0.2">
      <c r="A3232" s="3">
        <v>42585</v>
      </c>
      <c r="B3232" t="s">
        <v>23</v>
      </c>
      <c r="C3232">
        <v>304</v>
      </c>
      <c r="D3232">
        <v>10</v>
      </c>
      <c r="E3232">
        <v>1</v>
      </c>
      <c r="F3232" t="s">
        <v>64</v>
      </c>
      <c r="G3232" t="s">
        <v>25</v>
      </c>
      <c r="H3232" t="s">
        <v>26</v>
      </c>
      <c r="I3232" t="s">
        <v>57</v>
      </c>
    </row>
    <row r="3233" spans="1:9" x14ac:dyDescent="0.2">
      <c r="A3233" s="3">
        <v>42585</v>
      </c>
      <c r="B3233" t="s">
        <v>23</v>
      </c>
      <c r="C3233">
        <v>304</v>
      </c>
      <c r="D3233">
        <v>7</v>
      </c>
      <c r="E3233">
        <v>1</v>
      </c>
      <c r="F3233" t="s">
        <v>64</v>
      </c>
      <c r="G3233" t="s">
        <v>25</v>
      </c>
      <c r="H3233" t="s">
        <v>26</v>
      </c>
      <c r="I3233" t="s">
        <v>57</v>
      </c>
    </row>
    <row r="3234" spans="1:9" x14ac:dyDescent="0.2">
      <c r="A3234" s="3">
        <v>42586</v>
      </c>
      <c r="B3234" t="s">
        <v>23</v>
      </c>
      <c r="C3234">
        <v>201</v>
      </c>
      <c r="D3234">
        <v>3</v>
      </c>
      <c r="E3234">
        <v>1</v>
      </c>
      <c r="F3234" t="s">
        <v>24</v>
      </c>
      <c r="G3234" t="s">
        <v>25</v>
      </c>
      <c r="H3234" t="s">
        <v>26</v>
      </c>
      <c r="I3234" t="s">
        <v>57</v>
      </c>
    </row>
    <row r="3235" spans="1:9" x14ac:dyDescent="0.2">
      <c r="A3235" s="3">
        <v>42586</v>
      </c>
      <c r="B3235" t="s">
        <v>23</v>
      </c>
      <c r="C3235">
        <v>201</v>
      </c>
      <c r="D3235">
        <v>3</v>
      </c>
      <c r="E3235">
        <v>2</v>
      </c>
      <c r="F3235" t="s">
        <v>24</v>
      </c>
      <c r="G3235" t="s">
        <v>25</v>
      </c>
      <c r="H3235" t="s">
        <v>26</v>
      </c>
      <c r="I3235" t="s">
        <v>57</v>
      </c>
    </row>
    <row r="3236" spans="1:9" x14ac:dyDescent="0.2">
      <c r="A3236" s="3">
        <v>42586</v>
      </c>
      <c r="B3236" t="s">
        <v>23</v>
      </c>
      <c r="C3236">
        <v>201</v>
      </c>
      <c r="D3236">
        <v>6</v>
      </c>
      <c r="E3236">
        <v>1</v>
      </c>
      <c r="F3236" t="s">
        <v>24</v>
      </c>
      <c r="G3236" t="s">
        <v>25</v>
      </c>
      <c r="H3236" t="s">
        <v>26</v>
      </c>
      <c r="I3236" t="s">
        <v>57</v>
      </c>
    </row>
    <row r="3237" spans="1:9" x14ac:dyDescent="0.2">
      <c r="A3237" s="3">
        <v>42586</v>
      </c>
      <c r="B3237" t="s">
        <v>23</v>
      </c>
      <c r="C3237">
        <v>201</v>
      </c>
      <c r="D3237">
        <v>6</v>
      </c>
      <c r="E3237">
        <v>2</v>
      </c>
      <c r="F3237" t="s">
        <v>24</v>
      </c>
      <c r="G3237" t="s">
        <v>25</v>
      </c>
      <c r="H3237" t="s">
        <v>26</v>
      </c>
      <c r="I3237" t="s">
        <v>57</v>
      </c>
    </row>
    <row r="3238" spans="1:9" x14ac:dyDescent="0.2">
      <c r="A3238" s="3">
        <v>42586</v>
      </c>
      <c r="B3238" t="s">
        <v>23</v>
      </c>
      <c r="C3238">
        <v>203</v>
      </c>
      <c r="D3238">
        <v>1</v>
      </c>
      <c r="E3238">
        <v>1</v>
      </c>
      <c r="F3238" t="s">
        <v>24</v>
      </c>
      <c r="G3238" t="s">
        <v>25</v>
      </c>
      <c r="H3238" t="s">
        <v>26</v>
      </c>
      <c r="I3238" t="s">
        <v>57</v>
      </c>
    </row>
    <row r="3239" spans="1:9" x14ac:dyDescent="0.2">
      <c r="A3239" s="3">
        <v>42586</v>
      </c>
      <c r="B3239" t="s">
        <v>23</v>
      </c>
      <c r="C3239">
        <v>202</v>
      </c>
      <c r="D3239">
        <v>1</v>
      </c>
      <c r="E3239">
        <v>1</v>
      </c>
      <c r="F3239" t="s">
        <v>24</v>
      </c>
      <c r="G3239" t="s">
        <v>25</v>
      </c>
      <c r="H3239" t="s">
        <v>26</v>
      </c>
      <c r="I3239" t="s">
        <v>57</v>
      </c>
    </row>
    <row r="3240" spans="1:9" x14ac:dyDescent="0.2">
      <c r="A3240" s="3">
        <v>42586</v>
      </c>
      <c r="B3240" t="s">
        <v>23</v>
      </c>
      <c r="C3240">
        <v>202</v>
      </c>
      <c r="D3240">
        <v>2</v>
      </c>
      <c r="E3240">
        <v>1</v>
      </c>
      <c r="F3240" t="s">
        <v>24</v>
      </c>
      <c r="G3240" t="s">
        <v>25</v>
      </c>
      <c r="H3240" t="s">
        <v>26</v>
      </c>
      <c r="I3240" t="s">
        <v>57</v>
      </c>
    </row>
    <row r="3241" spans="1:9" x14ac:dyDescent="0.2">
      <c r="A3241" s="3">
        <v>42586</v>
      </c>
      <c r="B3241" t="s">
        <v>23</v>
      </c>
      <c r="C3241">
        <v>202</v>
      </c>
      <c r="D3241">
        <v>4</v>
      </c>
      <c r="E3241">
        <v>1</v>
      </c>
      <c r="F3241" t="s">
        <v>24</v>
      </c>
      <c r="G3241" t="s">
        <v>25</v>
      </c>
      <c r="H3241" t="s">
        <v>26</v>
      </c>
      <c r="I3241" t="s">
        <v>57</v>
      </c>
    </row>
    <row r="3242" spans="1:9" x14ac:dyDescent="0.2">
      <c r="A3242" s="3">
        <v>42586</v>
      </c>
      <c r="B3242" t="s">
        <v>23</v>
      </c>
      <c r="C3242">
        <v>202</v>
      </c>
      <c r="D3242">
        <v>6</v>
      </c>
      <c r="E3242">
        <v>1</v>
      </c>
      <c r="F3242" t="s">
        <v>24</v>
      </c>
      <c r="G3242" t="s">
        <v>25</v>
      </c>
      <c r="H3242" t="s">
        <v>26</v>
      </c>
      <c r="I3242" t="s">
        <v>57</v>
      </c>
    </row>
    <row r="3243" spans="1:9" x14ac:dyDescent="0.2">
      <c r="A3243" s="3">
        <v>42586</v>
      </c>
      <c r="B3243" t="s">
        <v>23</v>
      </c>
      <c r="C3243">
        <v>202</v>
      </c>
      <c r="D3243">
        <v>7</v>
      </c>
      <c r="E3243">
        <v>1</v>
      </c>
      <c r="F3243" t="s">
        <v>24</v>
      </c>
      <c r="G3243" t="s">
        <v>25</v>
      </c>
      <c r="H3243" t="s">
        <v>26</v>
      </c>
      <c r="I3243" t="s">
        <v>57</v>
      </c>
    </row>
    <row r="3244" spans="1:9" x14ac:dyDescent="0.2">
      <c r="A3244" s="3">
        <v>42586</v>
      </c>
      <c r="B3244" t="s">
        <v>23</v>
      </c>
      <c r="C3244">
        <v>202</v>
      </c>
      <c r="D3244">
        <v>8</v>
      </c>
      <c r="E3244">
        <v>1</v>
      </c>
      <c r="F3244" t="s">
        <v>24</v>
      </c>
      <c r="G3244" t="s">
        <v>25</v>
      </c>
      <c r="H3244" t="s">
        <v>26</v>
      </c>
      <c r="I3244" t="s">
        <v>57</v>
      </c>
    </row>
    <row r="3245" spans="1:9" x14ac:dyDescent="0.2">
      <c r="A3245" s="3">
        <v>42586</v>
      </c>
      <c r="B3245" t="s">
        <v>23</v>
      </c>
      <c r="C3245">
        <v>304</v>
      </c>
      <c r="D3245">
        <v>8</v>
      </c>
      <c r="E3245">
        <v>2</v>
      </c>
      <c r="F3245" t="s">
        <v>24</v>
      </c>
      <c r="G3245" t="s">
        <v>25</v>
      </c>
      <c r="H3245" t="s">
        <v>26</v>
      </c>
      <c r="I3245" t="s">
        <v>57</v>
      </c>
    </row>
    <row r="3246" spans="1:9" x14ac:dyDescent="0.2">
      <c r="A3246" s="3">
        <v>42586</v>
      </c>
      <c r="B3246" t="s">
        <v>23</v>
      </c>
      <c r="C3246">
        <v>304</v>
      </c>
      <c r="D3246">
        <v>6</v>
      </c>
      <c r="E3246">
        <v>1</v>
      </c>
      <c r="F3246" t="s">
        <v>24</v>
      </c>
      <c r="G3246" t="s">
        <v>25</v>
      </c>
      <c r="H3246" t="s">
        <v>26</v>
      </c>
      <c r="I3246" t="s">
        <v>57</v>
      </c>
    </row>
    <row r="3247" spans="1:9" x14ac:dyDescent="0.2">
      <c r="A3247" s="3">
        <v>42586</v>
      </c>
      <c r="B3247" t="s">
        <v>23</v>
      </c>
      <c r="C3247">
        <v>111</v>
      </c>
      <c r="D3247">
        <v>1</v>
      </c>
      <c r="E3247">
        <v>1</v>
      </c>
      <c r="F3247" t="s">
        <v>64</v>
      </c>
      <c r="G3247" t="s">
        <v>25</v>
      </c>
      <c r="H3247" t="s">
        <v>26</v>
      </c>
      <c r="I3247" t="s">
        <v>57</v>
      </c>
    </row>
    <row r="3248" spans="1:9" x14ac:dyDescent="0.2">
      <c r="A3248" s="3">
        <v>42586</v>
      </c>
      <c r="B3248" t="s">
        <v>23</v>
      </c>
      <c r="C3248">
        <v>111</v>
      </c>
      <c r="D3248">
        <v>4</v>
      </c>
      <c r="E3248">
        <v>2</v>
      </c>
      <c r="F3248" t="s">
        <v>64</v>
      </c>
      <c r="G3248" t="s">
        <v>25</v>
      </c>
      <c r="H3248" t="s">
        <v>26</v>
      </c>
      <c r="I3248" t="s">
        <v>57</v>
      </c>
    </row>
    <row r="3249" spans="1:9" x14ac:dyDescent="0.2">
      <c r="A3249" s="3">
        <v>42586</v>
      </c>
      <c r="B3249" t="s">
        <v>23</v>
      </c>
      <c r="C3249">
        <v>111</v>
      </c>
      <c r="D3249">
        <v>7</v>
      </c>
      <c r="E3249">
        <v>1</v>
      </c>
      <c r="F3249" t="s">
        <v>64</v>
      </c>
      <c r="G3249" t="s">
        <v>25</v>
      </c>
      <c r="H3249" t="s">
        <v>26</v>
      </c>
      <c r="I3249" t="s">
        <v>57</v>
      </c>
    </row>
    <row r="3250" spans="1:9" x14ac:dyDescent="0.2">
      <c r="A3250" s="3">
        <v>42586</v>
      </c>
      <c r="B3250" t="s">
        <v>23</v>
      </c>
      <c r="C3250">
        <v>111</v>
      </c>
      <c r="D3250">
        <v>9</v>
      </c>
      <c r="E3250">
        <v>1</v>
      </c>
      <c r="F3250" t="s">
        <v>64</v>
      </c>
      <c r="G3250" t="s">
        <v>25</v>
      </c>
      <c r="H3250" t="s">
        <v>26</v>
      </c>
      <c r="I3250" t="s">
        <v>57</v>
      </c>
    </row>
    <row r="3251" spans="1:9" x14ac:dyDescent="0.2">
      <c r="A3251" s="3">
        <v>42586</v>
      </c>
      <c r="B3251" t="s">
        <v>23</v>
      </c>
      <c r="C3251">
        <v>111</v>
      </c>
      <c r="D3251">
        <v>9</v>
      </c>
      <c r="E3251">
        <v>2</v>
      </c>
      <c r="F3251" t="s">
        <v>64</v>
      </c>
      <c r="G3251" t="s">
        <v>25</v>
      </c>
      <c r="H3251" t="s">
        <v>26</v>
      </c>
      <c r="I3251" t="s">
        <v>57</v>
      </c>
    </row>
    <row r="3252" spans="1:9" x14ac:dyDescent="0.2">
      <c r="A3252" s="3">
        <v>42586</v>
      </c>
      <c r="B3252" t="s">
        <v>23</v>
      </c>
      <c r="C3252">
        <v>112</v>
      </c>
      <c r="D3252">
        <v>1</v>
      </c>
      <c r="E3252">
        <v>1</v>
      </c>
      <c r="F3252" t="s">
        <v>64</v>
      </c>
      <c r="G3252" t="s">
        <v>25</v>
      </c>
      <c r="H3252" t="s">
        <v>26</v>
      </c>
      <c r="I3252" t="s">
        <v>57</v>
      </c>
    </row>
    <row r="3253" spans="1:9" x14ac:dyDescent="0.2">
      <c r="A3253" s="3">
        <v>42586</v>
      </c>
      <c r="B3253" t="s">
        <v>23</v>
      </c>
      <c r="C3253">
        <v>112</v>
      </c>
      <c r="D3253">
        <v>2</v>
      </c>
      <c r="E3253">
        <v>1</v>
      </c>
      <c r="F3253" t="s">
        <v>64</v>
      </c>
      <c r="G3253" t="s">
        <v>25</v>
      </c>
      <c r="H3253" t="s">
        <v>26</v>
      </c>
      <c r="I3253" t="s">
        <v>57</v>
      </c>
    </row>
    <row r="3254" spans="1:9" x14ac:dyDescent="0.2">
      <c r="A3254" s="3">
        <v>42586</v>
      </c>
      <c r="B3254" t="s">
        <v>23</v>
      </c>
      <c r="C3254">
        <v>112</v>
      </c>
      <c r="D3254">
        <v>3</v>
      </c>
      <c r="E3254">
        <v>2</v>
      </c>
      <c r="F3254" t="s">
        <v>64</v>
      </c>
      <c r="G3254" t="s">
        <v>25</v>
      </c>
      <c r="H3254" t="s">
        <v>26</v>
      </c>
      <c r="I3254" t="s">
        <v>57</v>
      </c>
    </row>
    <row r="3255" spans="1:9" x14ac:dyDescent="0.2">
      <c r="A3255" s="3">
        <v>42586</v>
      </c>
      <c r="B3255" t="s">
        <v>23</v>
      </c>
      <c r="C3255">
        <v>112</v>
      </c>
      <c r="D3255">
        <v>5</v>
      </c>
      <c r="E3255">
        <v>2</v>
      </c>
      <c r="F3255" t="s">
        <v>64</v>
      </c>
      <c r="G3255" t="s">
        <v>25</v>
      </c>
      <c r="H3255" t="s">
        <v>26</v>
      </c>
      <c r="I3255" t="s">
        <v>57</v>
      </c>
    </row>
    <row r="3256" spans="1:9" x14ac:dyDescent="0.2">
      <c r="A3256" s="3">
        <v>42586</v>
      </c>
      <c r="B3256" t="s">
        <v>23</v>
      </c>
      <c r="C3256">
        <v>112</v>
      </c>
      <c r="D3256">
        <v>8</v>
      </c>
      <c r="E3256">
        <v>2</v>
      </c>
      <c r="F3256" t="s">
        <v>64</v>
      </c>
      <c r="G3256" t="s">
        <v>25</v>
      </c>
      <c r="H3256" t="s">
        <v>26</v>
      </c>
      <c r="I3256" t="s">
        <v>57</v>
      </c>
    </row>
    <row r="3257" spans="1:9" x14ac:dyDescent="0.2">
      <c r="A3257" s="3">
        <v>42586</v>
      </c>
      <c r="B3257" t="s">
        <v>23</v>
      </c>
      <c r="C3257">
        <v>112</v>
      </c>
      <c r="D3257">
        <v>9</v>
      </c>
      <c r="E3257">
        <v>1</v>
      </c>
      <c r="F3257" t="s">
        <v>64</v>
      </c>
      <c r="G3257" t="s">
        <v>25</v>
      </c>
      <c r="H3257" t="s">
        <v>26</v>
      </c>
      <c r="I3257" t="s">
        <v>57</v>
      </c>
    </row>
    <row r="3258" spans="1:9" x14ac:dyDescent="0.2">
      <c r="A3258" s="3">
        <v>42586</v>
      </c>
      <c r="B3258" t="s">
        <v>23</v>
      </c>
      <c r="C3258">
        <v>113</v>
      </c>
      <c r="D3258">
        <v>2</v>
      </c>
      <c r="E3258">
        <v>1</v>
      </c>
      <c r="F3258" t="s">
        <v>64</v>
      </c>
      <c r="G3258" t="s">
        <v>25</v>
      </c>
      <c r="H3258" t="s">
        <v>26</v>
      </c>
      <c r="I3258" t="s">
        <v>57</v>
      </c>
    </row>
    <row r="3259" spans="1:9" x14ac:dyDescent="0.2">
      <c r="A3259" s="3">
        <v>42586</v>
      </c>
      <c r="B3259" t="s">
        <v>23</v>
      </c>
      <c r="C3259">
        <v>113</v>
      </c>
      <c r="D3259">
        <v>2</v>
      </c>
      <c r="E3259">
        <v>2</v>
      </c>
      <c r="F3259" t="s">
        <v>64</v>
      </c>
      <c r="G3259" t="s">
        <v>25</v>
      </c>
      <c r="H3259" t="s">
        <v>26</v>
      </c>
      <c r="I3259" t="s">
        <v>57</v>
      </c>
    </row>
    <row r="3260" spans="1:9" x14ac:dyDescent="0.2">
      <c r="A3260" s="3">
        <v>42586</v>
      </c>
      <c r="B3260" t="s">
        <v>23</v>
      </c>
      <c r="C3260">
        <v>113</v>
      </c>
      <c r="D3260">
        <v>3</v>
      </c>
      <c r="E3260">
        <v>1</v>
      </c>
      <c r="F3260" t="s">
        <v>64</v>
      </c>
      <c r="G3260" t="s">
        <v>25</v>
      </c>
      <c r="H3260" t="s">
        <v>26</v>
      </c>
      <c r="I3260" t="s">
        <v>57</v>
      </c>
    </row>
    <row r="3261" spans="1:9" x14ac:dyDescent="0.2">
      <c r="A3261" s="3">
        <v>42586</v>
      </c>
      <c r="B3261" t="s">
        <v>23</v>
      </c>
      <c r="C3261">
        <v>113</v>
      </c>
      <c r="D3261">
        <v>5</v>
      </c>
      <c r="E3261">
        <v>2</v>
      </c>
      <c r="F3261" t="s">
        <v>64</v>
      </c>
      <c r="G3261" t="s">
        <v>25</v>
      </c>
      <c r="H3261" t="s">
        <v>26</v>
      </c>
      <c r="I3261" t="s">
        <v>57</v>
      </c>
    </row>
    <row r="3262" spans="1:9" x14ac:dyDescent="0.2">
      <c r="A3262" s="3">
        <v>42586</v>
      </c>
      <c r="B3262" t="s">
        <v>23</v>
      </c>
      <c r="C3262">
        <v>113</v>
      </c>
      <c r="D3262">
        <v>6</v>
      </c>
      <c r="E3262">
        <v>1</v>
      </c>
      <c r="F3262" t="s">
        <v>64</v>
      </c>
      <c r="G3262" t="s">
        <v>25</v>
      </c>
      <c r="H3262" t="s">
        <v>26</v>
      </c>
      <c r="I3262" t="s">
        <v>57</v>
      </c>
    </row>
    <row r="3263" spans="1:9" x14ac:dyDescent="0.2">
      <c r="A3263" s="3">
        <v>42586</v>
      </c>
      <c r="B3263" t="s">
        <v>23</v>
      </c>
      <c r="C3263">
        <v>113</v>
      </c>
      <c r="D3263">
        <v>7</v>
      </c>
      <c r="E3263">
        <v>2</v>
      </c>
      <c r="F3263" t="s">
        <v>64</v>
      </c>
      <c r="G3263" t="s">
        <v>25</v>
      </c>
      <c r="H3263" t="s">
        <v>26</v>
      </c>
      <c r="I3263" t="s">
        <v>57</v>
      </c>
    </row>
    <row r="3264" spans="1:9" x14ac:dyDescent="0.2">
      <c r="A3264" s="3">
        <v>42586</v>
      </c>
      <c r="B3264" t="s">
        <v>23</v>
      </c>
      <c r="C3264">
        <v>113</v>
      </c>
      <c r="D3264">
        <v>8</v>
      </c>
      <c r="E3264">
        <v>1</v>
      </c>
      <c r="F3264" t="s">
        <v>64</v>
      </c>
      <c r="G3264" t="s">
        <v>25</v>
      </c>
      <c r="H3264" t="s">
        <v>26</v>
      </c>
      <c r="I3264" t="s">
        <v>57</v>
      </c>
    </row>
    <row r="3265" spans="1:9" x14ac:dyDescent="0.2">
      <c r="A3265" s="3">
        <v>42586</v>
      </c>
      <c r="B3265" t="s">
        <v>23</v>
      </c>
      <c r="C3265">
        <v>113</v>
      </c>
      <c r="D3265">
        <v>9</v>
      </c>
      <c r="E3265">
        <v>1</v>
      </c>
      <c r="F3265" t="s">
        <v>64</v>
      </c>
      <c r="G3265" t="s">
        <v>25</v>
      </c>
      <c r="H3265" t="s">
        <v>26</v>
      </c>
      <c r="I3265" t="s">
        <v>57</v>
      </c>
    </row>
    <row r="3266" spans="1:9" x14ac:dyDescent="0.2">
      <c r="A3266" s="3">
        <v>42586</v>
      </c>
      <c r="B3266" t="s">
        <v>23</v>
      </c>
      <c r="C3266">
        <v>113</v>
      </c>
      <c r="D3266">
        <v>9</v>
      </c>
      <c r="E3266">
        <v>2</v>
      </c>
      <c r="F3266" t="s">
        <v>64</v>
      </c>
      <c r="G3266" t="s">
        <v>25</v>
      </c>
      <c r="H3266" t="s">
        <v>26</v>
      </c>
      <c r="I3266" t="s">
        <v>57</v>
      </c>
    </row>
    <row r="3267" spans="1:9" x14ac:dyDescent="0.2">
      <c r="A3267" s="3">
        <v>42586</v>
      </c>
      <c r="B3267" t="s">
        <v>23</v>
      </c>
      <c r="C3267">
        <v>402</v>
      </c>
      <c r="D3267">
        <v>1</v>
      </c>
      <c r="E3267">
        <v>1</v>
      </c>
      <c r="F3267" t="s">
        <v>64</v>
      </c>
      <c r="G3267" t="s">
        <v>25</v>
      </c>
      <c r="H3267" t="s">
        <v>26</v>
      </c>
      <c r="I3267" t="s">
        <v>57</v>
      </c>
    </row>
    <row r="3268" spans="1:9" x14ac:dyDescent="0.2">
      <c r="A3268" s="3">
        <v>42586</v>
      </c>
      <c r="B3268" t="s">
        <v>23</v>
      </c>
      <c r="C3268">
        <v>402</v>
      </c>
      <c r="D3268">
        <v>3</v>
      </c>
      <c r="E3268">
        <v>1</v>
      </c>
      <c r="F3268" t="s">
        <v>64</v>
      </c>
      <c r="G3268" t="s">
        <v>25</v>
      </c>
      <c r="H3268" t="s">
        <v>26</v>
      </c>
      <c r="I3268" t="s">
        <v>57</v>
      </c>
    </row>
    <row r="3269" spans="1:9" x14ac:dyDescent="0.2">
      <c r="A3269" s="3">
        <v>42586</v>
      </c>
      <c r="B3269" t="s">
        <v>23</v>
      </c>
      <c r="C3269">
        <v>402</v>
      </c>
      <c r="D3269">
        <v>3</v>
      </c>
      <c r="E3269">
        <v>2</v>
      </c>
      <c r="F3269" t="s">
        <v>64</v>
      </c>
      <c r="G3269" t="s">
        <v>25</v>
      </c>
      <c r="H3269" t="s">
        <v>26</v>
      </c>
      <c r="I3269" t="s">
        <v>57</v>
      </c>
    </row>
    <row r="3270" spans="1:9" x14ac:dyDescent="0.2">
      <c r="A3270" s="3">
        <v>42586</v>
      </c>
      <c r="B3270" t="s">
        <v>23</v>
      </c>
      <c r="C3270">
        <v>402</v>
      </c>
      <c r="D3270">
        <v>4</v>
      </c>
      <c r="E3270">
        <v>1</v>
      </c>
      <c r="F3270" t="s">
        <v>64</v>
      </c>
      <c r="G3270" t="s">
        <v>25</v>
      </c>
      <c r="H3270" t="s">
        <v>26</v>
      </c>
      <c r="I3270" t="s">
        <v>57</v>
      </c>
    </row>
    <row r="3271" spans="1:9" x14ac:dyDescent="0.2">
      <c r="A3271" s="3">
        <v>42586</v>
      </c>
      <c r="B3271" t="s">
        <v>23</v>
      </c>
      <c r="C3271">
        <v>402</v>
      </c>
      <c r="D3271">
        <v>6</v>
      </c>
      <c r="E3271">
        <v>1</v>
      </c>
      <c r="F3271" t="s">
        <v>64</v>
      </c>
      <c r="G3271" t="s">
        <v>25</v>
      </c>
      <c r="H3271" t="s">
        <v>26</v>
      </c>
      <c r="I3271" t="s">
        <v>57</v>
      </c>
    </row>
    <row r="3272" spans="1:9" x14ac:dyDescent="0.2">
      <c r="A3272" s="3">
        <v>42586</v>
      </c>
      <c r="B3272" t="s">
        <v>23</v>
      </c>
      <c r="C3272">
        <v>402</v>
      </c>
      <c r="D3272">
        <v>7</v>
      </c>
      <c r="E3272">
        <v>1</v>
      </c>
      <c r="F3272" t="s">
        <v>64</v>
      </c>
      <c r="G3272" t="s">
        <v>25</v>
      </c>
      <c r="H3272" t="s">
        <v>26</v>
      </c>
      <c r="I3272" t="s">
        <v>57</v>
      </c>
    </row>
    <row r="3273" spans="1:9" x14ac:dyDescent="0.2">
      <c r="A3273" s="3">
        <v>42586</v>
      </c>
      <c r="B3273" t="s">
        <v>23</v>
      </c>
      <c r="C3273">
        <v>304</v>
      </c>
      <c r="D3273">
        <v>1</v>
      </c>
      <c r="E3273">
        <v>2</v>
      </c>
      <c r="F3273" t="s">
        <v>64</v>
      </c>
      <c r="G3273" t="s">
        <v>25</v>
      </c>
      <c r="H3273" t="s">
        <v>26</v>
      </c>
      <c r="I3273" t="s">
        <v>57</v>
      </c>
    </row>
    <row r="3274" spans="1:9" x14ac:dyDescent="0.2">
      <c r="A3274" s="3">
        <v>42587</v>
      </c>
      <c r="B3274" t="s">
        <v>23</v>
      </c>
      <c r="C3274">
        <v>111</v>
      </c>
      <c r="D3274">
        <v>3</v>
      </c>
      <c r="E3274">
        <v>1</v>
      </c>
      <c r="F3274" t="s">
        <v>64</v>
      </c>
      <c r="G3274" t="s">
        <v>25</v>
      </c>
      <c r="H3274" t="s">
        <v>26</v>
      </c>
      <c r="I3274" t="s">
        <v>57</v>
      </c>
    </row>
    <row r="3275" spans="1:9" x14ac:dyDescent="0.2">
      <c r="A3275" s="3">
        <v>42587</v>
      </c>
      <c r="B3275" t="s">
        <v>23</v>
      </c>
      <c r="C3275">
        <v>111</v>
      </c>
      <c r="D3275">
        <v>5</v>
      </c>
      <c r="E3275">
        <v>1</v>
      </c>
      <c r="F3275" t="s">
        <v>64</v>
      </c>
      <c r="G3275" t="s">
        <v>25</v>
      </c>
      <c r="H3275" t="s">
        <v>26</v>
      </c>
      <c r="I3275" t="s">
        <v>57</v>
      </c>
    </row>
    <row r="3276" spans="1:9" x14ac:dyDescent="0.2">
      <c r="A3276" s="3">
        <v>42587</v>
      </c>
      <c r="B3276" t="s">
        <v>23</v>
      </c>
      <c r="C3276">
        <v>111</v>
      </c>
      <c r="D3276">
        <v>9</v>
      </c>
      <c r="E3276">
        <v>1</v>
      </c>
      <c r="F3276" t="s">
        <v>64</v>
      </c>
      <c r="G3276" t="s">
        <v>25</v>
      </c>
      <c r="H3276" t="s">
        <v>26</v>
      </c>
      <c r="I3276" t="s">
        <v>57</v>
      </c>
    </row>
    <row r="3277" spans="1:9" x14ac:dyDescent="0.2">
      <c r="A3277" s="3">
        <v>42587</v>
      </c>
      <c r="B3277" t="s">
        <v>23</v>
      </c>
      <c r="C3277">
        <v>112</v>
      </c>
      <c r="D3277">
        <v>1</v>
      </c>
      <c r="E3277">
        <v>2</v>
      </c>
      <c r="F3277" t="s">
        <v>64</v>
      </c>
      <c r="G3277" t="s">
        <v>25</v>
      </c>
      <c r="H3277" t="s">
        <v>26</v>
      </c>
      <c r="I3277" t="s">
        <v>57</v>
      </c>
    </row>
    <row r="3278" spans="1:9" x14ac:dyDescent="0.2">
      <c r="A3278" s="3">
        <v>42587</v>
      </c>
      <c r="B3278" t="s">
        <v>23</v>
      </c>
      <c r="C3278">
        <v>112</v>
      </c>
      <c r="D3278">
        <v>3</v>
      </c>
      <c r="E3278">
        <v>2</v>
      </c>
      <c r="F3278" t="s">
        <v>64</v>
      </c>
      <c r="G3278" t="s">
        <v>25</v>
      </c>
      <c r="H3278" t="s">
        <v>26</v>
      </c>
      <c r="I3278" t="s">
        <v>57</v>
      </c>
    </row>
    <row r="3279" spans="1:9" x14ac:dyDescent="0.2">
      <c r="A3279" s="3">
        <v>42587</v>
      </c>
      <c r="B3279" t="s">
        <v>23</v>
      </c>
      <c r="C3279">
        <v>112</v>
      </c>
      <c r="D3279">
        <v>5</v>
      </c>
      <c r="E3279">
        <v>1</v>
      </c>
      <c r="F3279" t="s">
        <v>64</v>
      </c>
      <c r="G3279" t="s">
        <v>25</v>
      </c>
      <c r="H3279" t="s">
        <v>26</v>
      </c>
      <c r="I3279" t="s">
        <v>57</v>
      </c>
    </row>
    <row r="3280" spans="1:9" x14ac:dyDescent="0.2">
      <c r="A3280" s="3">
        <v>42587</v>
      </c>
      <c r="B3280" t="s">
        <v>23</v>
      </c>
      <c r="C3280">
        <v>112</v>
      </c>
      <c r="D3280">
        <v>7</v>
      </c>
      <c r="E3280">
        <v>2</v>
      </c>
      <c r="F3280" t="s">
        <v>64</v>
      </c>
      <c r="G3280" t="s">
        <v>25</v>
      </c>
      <c r="H3280" t="s">
        <v>26</v>
      </c>
      <c r="I3280" t="s">
        <v>57</v>
      </c>
    </row>
    <row r="3281" spans="1:9" x14ac:dyDescent="0.2">
      <c r="A3281" s="3">
        <v>42587</v>
      </c>
      <c r="B3281" t="s">
        <v>23</v>
      </c>
      <c r="C3281">
        <v>112</v>
      </c>
      <c r="D3281">
        <v>8</v>
      </c>
      <c r="E3281">
        <v>1</v>
      </c>
      <c r="F3281" t="s">
        <v>64</v>
      </c>
      <c r="G3281" t="s">
        <v>25</v>
      </c>
      <c r="H3281" t="s">
        <v>26</v>
      </c>
      <c r="I3281" t="s">
        <v>57</v>
      </c>
    </row>
    <row r="3282" spans="1:9" x14ac:dyDescent="0.2">
      <c r="A3282" s="3">
        <v>42587</v>
      </c>
      <c r="B3282" t="s">
        <v>23</v>
      </c>
      <c r="C3282">
        <v>112</v>
      </c>
      <c r="D3282">
        <v>10</v>
      </c>
      <c r="E3282">
        <v>1</v>
      </c>
      <c r="F3282" t="s">
        <v>64</v>
      </c>
      <c r="G3282" t="s">
        <v>25</v>
      </c>
      <c r="H3282" t="s">
        <v>26</v>
      </c>
      <c r="I3282" t="s">
        <v>57</v>
      </c>
    </row>
    <row r="3283" spans="1:9" x14ac:dyDescent="0.2">
      <c r="A3283" s="3">
        <v>42587</v>
      </c>
      <c r="B3283" t="s">
        <v>23</v>
      </c>
      <c r="C3283">
        <v>113</v>
      </c>
      <c r="D3283">
        <v>1</v>
      </c>
      <c r="E3283">
        <v>1</v>
      </c>
      <c r="F3283" t="s">
        <v>64</v>
      </c>
      <c r="G3283" t="s">
        <v>25</v>
      </c>
      <c r="H3283" t="s">
        <v>26</v>
      </c>
      <c r="I3283" t="s">
        <v>57</v>
      </c>
    </row>
    <row r="3284" spans="1:9" x14ac:dyDescent="0.2">
      <c r="A3284" s="3">
        <v>42587</v>
      </c>
      <c r="B3284" t="s">
        <v>23</v>
      </c>
      <c r="C3284">
        <v>113</v>
      </c>
      <c r="D3284">
        <v>3</v>
      </c>
      <c r="E3284">
        <v>2</v>
      </c>
      <c r="F3284" t="s">
        <v>64</v>
      </c>
      <c r="G3284" t="s">
        <v>25</v>
      </c>
      <c r="H3284" t="s">
        <v>26</v>
      </c>
      <c r="I3284" t="s">
        <v>57</v>
      </c>
    </row>
    <row r="3285" spans="1:9" x14ac:dyDescent="0.2">
      <c r="A3285" s="3">
        <v>42587</v>
      </c>
      <c r="B3285" t="s">
        <v>23</v>
      </c>
      <c r="C3285">
        <v>113</v>
      </c>
      <c r="D3285">
        <v>5</v>
      </c>
      <c r="E3285">
        <v>2</v>
      </c>
      <c r="F3285" t="s">
        <v>64</v>
      </c>
      <c r="G3285" t="s">
        <v>25</v>
      </c>
      <c r="H3285" t="s">
        <v>26</v>
      </c>
      <c r="I3285" t="s">
        <v>57</v>
      </c>
    </row>
    <row r="3286" spans="1:9" x14ac:dyDescent="0.2">
      <c r="A3286" s="3">
        <v>42587</v>
      </c>
      <c r="B3286" t="s">
        <v>23</v>
      </c>
      <c r="C3286">
        <v>113</v>
      </c>
      <c r="D3286">
        <v>6</v>
      </c>
      <c r="E3286">
        <v>1</v>
      </c>
      <c r="F3286" t="s">
        <v>64</v>
      </c>
      <c r="G3286" t="s">
        <v>25</v>
      </c>
      <c r="H3286" t="s">
        <v>26</v>
      </c>
      <c r="I3286" t="s">
        <v>57</v>
      </c>
    </row>
    <row r="3287" spans="1:9" x14ac:dyDescent="0.2">
      <c r="A3287" s="3">
        <v>42587</v>
      </c>
      <c r="B3287" t="s">
        <v>23</v>
      </c>
      <c r="C3287">
        <v>113</v>
      </c>
      <c r="D3287">
        <v>7</v>
      </c>
      <c r="E3287">
        <v>1</v>
      </c>
      <c r="F3287" t="s">
        <v>64</v>
      </c>
      <c r="G3287" t="s">
        <v>25</v>
      </c>
      <c r="H3287" t="s">
        <v>26</v>
      </c>
      <c r="I3287" t="s">
        <v>57</v>
      </c>
    </row>
    <row r="3288" spans="1:9" x14ac:dyDescent="0.2">
      <c r="A3288" s="3">
        <v>42587</v>
      </c>
      <c r="B3288" t="s">
        <v>23</v>
      </c>
      <c r="C3288">
        <v>113</v>
      </c>
      <c r="D3288">
        <v>7</v>
      </c>
      <c r="E3288">
        <v>2</v>
      </c>
      <c r="F3288" t="s">
        <v>64</v>
      </c>
      <c r="G3288" t="s">
        <v>25</v>
      </c>
      <c r="H3288" t="s">
        <v>26</v>
      </c>
      <c r="I3288" t="s">
        <v>57</v>
      </c>
    </row>
    <row r="3289" spans="1:9" x14ac:dyDescent="0.2">
      <c r="A3289" s="3">
        <v>42587</v>
      </c>
      <c r="B3289" t="s">
        <v>23</v>
      </c>
      <c r="C3289">
        <v>113</v>
      </c>
      <c r="D3289">
        <v>8</v>
      </c>
      <c r="E3289">
        <v>1</v>
      </c>
      <c r="F3289" t="s">
        <v>64</v>
      </c>
      <c r="G3289" t="s">
        <v>25</v>
      </c>
      <c r="H3289" t="s">
        <v>26</v>
      </c>
      <c r="I3289" t="s">
        <v>57</v>
      </c>
    </row>
    <row r="3290" spans="1:9" x14ac:dyDescent="0.2">
      <c r="A3290" s="3">
        <v>42587</v>
      </c>
      <c r="B3290" t="s">
        <v>23</v>
      </c>
      <c r="C3290">
        <v>113</v>
      </c>
      <c r="D3290">
        <v>10</v>
      </c>
      <c r="E3290">
        <v>2</v>
      </c>
      <c r="F3290" t="s">
        <v>64</v>
      </c>
      <c r="G3290" t="s">
        <v>25</v>
      </c>
      <c r="H3290" t="s">
        <v>26</v>
      </c>
      <c r="I3290" t="s">
        <v>57</v>
      </c>
    </row>
    <row r="3291" spans="1:9" x14ac:dyDescent="0.2">
      <c r="A3291" s="3">
        <v>42587</v>
      </c>
      <c r="B3291" t="s">
        <v>23</v>
      </c>
      <c r="C3291">
        <v>402</v>
      </c>
      <c r="D3291">
        <v>2</v>
      </c>
      <c r="E3291">
        <v>2</v>
      </c>
      <c r="F3291" t="s">
        <v>64</v>
      </c>
      <c r="G3291" t="s">
        <v>25</v>
      </c>
      <c r="H3291" t="s">
        <v>26</v>
      </c>
      <c r="I3291" t="s">
        <v>57</v>
      </c>
    </row>
    <row r="3292" spans="1:9" x14ac:dyDescent="0.2">
      <c r="A3292" s="3">
        <v>42587</v>
      </c>
      <c r="B3292" t="s">
        <v>23</v>
      </c>
      <c r="C3292">
        <v>402</v>
      </c>
      <c r="D3292">
        <v>3</v>
      </c>
      <c r="E3292">
        <v>1</v>
      </c>
      <c r="F3292" t="s">
        <v>64</v>
      </c>
      <c r="G3292" t="s">
        <v>25</v>
      </c>
      <c r="H3292" t="s">
        <v>26</v>
      </c>
      <c r="I3292" t="s">
        <v>57</v>
      </c>
    </row>
    <row r="3293" spans="1:9" x14ac:dyDescent="0.2">
      <c r="A3293" s="3">
        <v>42587</v>
      </c>
      <c r="B3293" t="s">
        <v>23</v>
      </c>
      <c r="C3293">
        <v>402</v>
      </c>
      <c r="D3293">
        <v>3</v>
      </c>
      <c r="E3293">
        <v>2</v>
      </c>
      <c r="F3293" t="s">
        <v>64</v>
      </c>
      <c r="G3293" t="s">
        <v>25</v>
      </c>
      <c r="H3293" t="s">
        <v>26</v>
      </c>
      <c r="I3293" t="s">
        <v>57</v>
      </c>
    </row>
    <row r="3294" spans="1:9" x14ac:dyDescent="0.2">
      <c r="A3294" s="3">
        <v>42587</v>
      </c>
      <c r="B3294" t="s">
        <v>23</v>
      </c>
      <c r="C3294">
        <v>402</v>
      </c>
      <c r="D3294">
        <v>4</v>
      </c>
      <c r="E3294">
        <v>1</v>
      </c>
      <c r="F3294" t="s">
        <v>64</v>
      </c>
      <c r="G3294" t="s">
        <v>25</v>
      </c>
      <c r="H3294" t="s">
        <v>26</v>
      </c>
      <c r="I3294" t="s">
        <v>57</v>
      </c>
    </row>
    <row r="3295" spans="1:9" x14ac:dyDescent="0.2">
      <c r="A3295" s="3">
        <v>42587</v>
      </c>
      <c r="B3295" t="s">
        <v>23</v>
      </c>
      <c r="C3295">
        <v>402</v>
      </c>
      <c r="D3295">
        <v>7</v>
      </c>
      <c r="E3295">
        <v>2</v>
      </c>
      <c r="F3295" t="s">
        <v>64</v>
      </c>
      <c r="G3295" t="s">
        <v>25</v>
      </c>
      <c r="H3295" t="s">
        <v>26</v>
      </c>
      <c r="I3295" t="s">
        <v>57</v>
      </c>
    </row>
    <row r="3296" spans="1:9" x14ac:dyDescent="0.2">
      <c r="A3296" s="3">
        <v>42588</v>
      </c>
      <c r="B3296" t="s">
        <v>23</v>
      </c>
      <c r="C3296">
        <v>112</v>
      </c>
      <c r="D3296">
        <v>7</v>
      </c>
      <c r="E3296">
        <v>1</v>
      </c>
      <c r="F3296" t="s">
        <v>24</v>
      </c>
      <c r="G3296" t="s">
        <v>25</v>
      </c>
      <c r="H3296" t="s">
        <v>26</v>
      </c>
      <c r="I3296" t="s">
        <v>57</v>
      </c>
    </row>
    <row r="3297" spans="1:9" x14ac:dyDescent="0.2">
      <c r="A3297" s="3">
        <v>42588</v>
      </c>
      <c r="B3297" t="s">
        <v>23</v>
      </c>
      <c r="C3297">
        <v>113</v>
      </c>
      <c r="D3297">
        <v>6</v>
      </c>
      <c r="E3297">
        <v>1</v>
      </c>
      <c r="F3297" t="s">
        <v>24</v>
      </c>
      <c r="G3297" t="s">
        <v>25</v>
      </c>
      <c r="H3297" t="s">
        <v>26</v>
      </c>
      <c r="I3297" t="s">
        <v>57</v>
      </c>
    </row>
    <row r="3298" spans="1:9" x14ac:dyDescent="0.2">
      <c r="A3298" s="3">
        <v>42588</v>
      </c>
      <c r="B3298" t="s">
        <v>23</v>
      </c>
      <c r="C3298">
        <v>402</v>
      </c>
      <c r="D3298">
        <v>3</v>
      </c>
      <c r="E3298">
        <v>1</v>
      </c>
      <c r="F3298" t="s">
        <v>24</v>
      </c>
      <c r="G3298" t="s">
        <v>25</v>
      </c>
      <c r="H3298" t="s">
        <v>26</v>
      </c>
      <c r="I3298" t="s">
        <v>57</v>
      </c>
    </row>
    <row r="3299" spans="1:9" x14ac:dyDescent="0.2">
      <c r="A3299" s="3">
        <v>42588</v>
      </c>
      <c r="B3299" t="s">
        <v>23</v>
      </c>
      <c r="C3299">
        <v>112</v>
      </c>
      <c r="D3299">
        <v>1</v>
      </c>
      <c r="E3299">
        <v>1</v>
      </c>
      <c r="F3299" t="s">
        <v>64</v>
      </c>
      <c r="G3299" t="s">
        <v>25</v>
      </c>
      <c r="H3299" t="s">
        <v>26</v>
      </c>
      <c r="I3299" t="s">
        <v>57</v>
      </c>
    </row>
    <row r="3300" spans="1:9" x14ac:dyDescent="0.2">
      <c r="A3300" s="3">
        <v>42588</v>
      </c>
      <c r="B3300" t="s">
        <v>23</v>
      </c>
      <c r="C3300">
        <v>112</v>
      </c>
      <c r="D3300">
        <v>4</v>
      </c>
      <c r="E3300">
        <v>1</v>
      </c>
      <c r="F3300" t="s">
        <v>64</v>
      </c>
      <c r="G3300" t="s">
        <v>25</v>
      </c>
      <c r="H3300" t="s">
        <v>26</v>
      </c>
      <c r="I3300" t="s">
        <v>57</v>
      </c>
    </row>
    <row r="3301" spans="1:9" x14ac:dyDescent="0.2">
      <c r="A3301" s="3">
        <v>42588</v>
      </c>
      <c r="B3301" t="s">
        <v>23</v>
      </c>
      <c r="C3301">
        <v>113</v>
      </c>
      <c r="D3301">
        <v>5</v>
      </c>
      <c r="E3301">
        <v>2</v>
      </c>
      <c r="F3301" t="s">
        <v>64</v>
      </c>
      <c r="G3301" t="s">
        <v>25</v>
      </c>
      <c r="H3301" t="s">
        <v>26</v>
      </c>
      <c r="I3301" t="s">
        <v>57</v>
      </c>
    </row>
    <row r="3302" spans="1:9" x14ac:dyDescent="0.2">
      <c r="A3302" s="3">
        <v>42588</v>
      </c>
      <c r="B3302" t="s">
        <v>23</v>
      </c>
      <c r="C3302">
        <v>113</v>
      </c>
      <c r="D3302">
        <v>7</v>
      </c>
      <c r="E3302">
        <v>2</v>
      </c>
      <c r="F3302" t="s">
        <v>64</v>
      </c>
      <c r="G3302" t="s">
        <v>25</v>
      </c>
      <c r="H3302" t="s">
        <v>26</v>
      </c>
      <c r="I3302" t="s">
        <v>57</v>
      </c>
    </row>
    <row r="3303" spans="1:9" x14ac:dyDescent="0.2">
      <c r="A3303" s="3">
        <v>42588</v>
      </c>
      <c r="B3303" t="s">
        <v>23</v>
      </c>
      <c r="C3303">
        <v>113</v>
      </c>
      <c r="D3303">
        <v>9</v>
      </c>
      <c r="E3303">
        <v>1</v>
      </c>
      <c r="F3303" t="s">
        <v>64</v>
      </c>
      <c r="G3303" t="s">
        <v>25</v>
      </c>
      <c r="H3303" t="s">
        <v>26</v>
      </c>
      <c r="I3303" t="s">
        <v>57</v>
      </c>
    </row>
    <row r="3304" spans="1:9" x14ac:dyDescent="0.2">
      <c r="A3304" s="3">
        <v>42588</v>
      </c>
      <c r="B3304" t="s">
        <v>23</v>
      </c>
      <c r="C3304">
        <v>304</v>
      </c>
      <c r="D3304">
        <v>6</v>
      </c>
      <c r="E3304">
        <v>1</v>
      </c>
      <c r="F3304" t="s">
        <v>64</v>
      </c>
      <c r="G3304" t="s">
        <v>25</v>
      </c>
      <c r="H3304" t="s">
        <v>26</v>
      </c>
      <c r="I3304" t="s">
        <v>57</v>
      </c>
    </row>
    <row r="3305" spans="1:9" x14ac:dyDescent="0.2">
      <c r="A3305" s="3">
        <v>42588</v>
      </c>
      <c r="B3305" t="s">
        <v>23</v>
      </c>
      <c r="C3305">
        <v>304</v>
      </c>
      <c r="D3305">
        <v>7</v>
      </c>
      <c r="E3305">
        <v>1</v>
      </c>
      <c r="F3305" t="s">
        <v>64</v>
      </c>
      <c r="G3305" t="s">
        <v>25</v>
      </c>
      <c r="H3305" t="s">
        <v>26</v>
      </c>
      <c r="I3305" t="s">
        <v>57</v>
      </c>
    </row>
    <row r="3306" spans="1:9" x14ac:dyDescent="0.2">
      <c r="A3306" s="3">
        <v>42589</v>
      </c>
      <c r="B3306" t="s">
        <v>23</v>
      </c>
      <c r="C3306">
        <v>111</v>
      </c>
      <c r="D3306">
        <v>10</v>
      </c>
      <c r="E3306">
        <v>1</v>
      </c>
      <c r="F3306" t="s">
        <v>64</v>
      </c>
      <c r="G3306" t="s">
        <v>25</v>
      </c>
      <c r="H3306" t="s">
        <v>26</v>
      </c>
      <c r="I3306" t="s">
        <v>57</v>
      </c>
    </row>
    <row r="3307" spans="1:9" x14ac:dyDescent="0.2">
      <c r="A3307" s="3">
        <v>42589</v>
      </c>
      <c r="B3307" t="s">
        <v>23</v>
      </c>
      <c r="C3307">
        <v>112</v>
      </c>
      <c r="D3307">
        <v>3</v>
      </c>
      <c r="E3307">
        <v>1</v>
      </c>
      <c r="F3307" t="s">
        <v>64</v>
      </c>
      <c r="G3307" t="s">
        <v>25</v>
      </c>
      <c r="H3307" t="s">
        <v>26</v>
      </c>
      <c r="I3307" t="s">
        <v>57</v>
      </c>
    </row>
    <row r="3308" spans="1:9" x14ac:dyDescent="0.2">
      <c r="A3308" s="3">
        <v>42589</v>
      </c>
      <c r="B3308" t="s">
        <v>23</v>
      </c>
      <c r="C3308">
        <v>113</v>
      </c>
      <c r="D3308">
        <v>1</v>
      </c>
      <c r="E3308">
        <v>1</v>
      </c>
      <c r="F3308" t="s">
        <v>64</v>
      </c>
      <c r="G3308" t="s">
        <v>25</v>
      </c>
      <c r="H3308" t="s">
        <v>26</v>
      </c>
      <c r="I3308" t="s">
        <v>57</v>
      </c>
    </row>
    <row r="3309" spans="1:9" x14ac:dyDescent="0.2">
      <c r="A3309" s="3">
        <v>42589</v>
      </c>
      <c r="B3309" t="s">
        <v>23</v>
      </c>
      <c r="C3309">
        <v>113</v>
      </c>
      <c r="D3309">
        <v>1</v>
      </c>
      <c r="E3309">
        <v>2</v>
      </c>
      <c r="F3309" t="s">
        <v>64</v>
      </c>
      <c r="G3309" t="s">
        <v>25</v>
      </c>
      <c r="H3309" t="s">
        <v>26</v>
      </c>
      <c r="I3309" t="s">
        <v>57</v>
      </c>
    </row>
    <row r="3310" spans="1:9" x14ac:dyDescent="0.2">
      <c r="A3310" s="3">
        <v>42589</v>
      </c>
      <c r="B3310" t="s">
        <v>23</v>
      </c>
      <c r="C3310">
        <v>113</v>
      </c>
      <c r="D3310">
        <v>5</v>
      </c>
      <c r="E3310">
        <v>1</v>
      </c>
      <c r="F3310" t="s">
        <v>64</v>
      </c>
      <c r="G3310" t="s">
        <v>25</v>
      </c>
      <c r="H3310" t="s">
        <v>26</v>
      </c>
      <c r="I3310" t="s">
        <v>57</v>
      </c>
    </row>
    <row r="3311" spans="1:9" x14ac:dyDescent="0.2">
      <c r="A3311" s="3">
        <v>42589</v>
      </c>
      <c r="B3311" t="s">
        <v>23</v>
      </c>
      <c r="C3311">
        <v>113</v>
      </c>
      <c r="D3311">
        <v>5</v>
      </c>
      <c r="E3311">
        <v>2</v>
      </c>
      <c r="F3311" t="s">
        <v>64</v>
      </c>
      <c r="G3311" t="s">
        <v>25</v>
      </c>
      <c r="H3311" t="s">
        <v>26</v>
      </c>
      <c r="I3311" t="s">
        <v>57</v>
      </c>
    </row>
    <row r="3312" spans="1:9" x14ac:dyDescent="0.2">
      <c r="A3312" s="3">
        <v>42589</v>
      </c>
      <c r="B3312" t="s">
        <v>23</v>
      </c>
      <c r="C3312">
        <v>113</v>
      </c>
      <c r="D3312">
        <v>6</v>
      </c>
      <c r="E3312">
        <v>2</v>
      </c>
      <c r="F3312" t="s">
        <v>64</v>
      </c>
      <c r="G3312" t="s">
        <v>25</v>
      </c>
      <c r="H3312" t="s">
        <v>26</v>
      </c>
      <c r="I3312" t="s">
        <v>57</v>
      </c>
    </row>
    <row r="3313" spans="1:9" x14ac:dyDescent="0.2">
      <c r="A3313" s="3">
        <v>42589</v>
      </c>
      <c r="B3313" t="s">
        <v>23</v>
      </c>
      <c r="C3313">
        <v>113</v>
      </c>
      <c r="D3313">
        <v>8</v>
      </c>
      <c r="E3313">
        <v>1</v>
      </c>
      <c r="F3313" t="s">
        <v>64</v>
      </c>
      <c r="G3313" t="s">
        <v>25</v>
      </c>
      <c r="H3313" t="s">
        <v>26</v>
      </c>
      <c r="I3313" t="s">
        <v>57</v>
      </c>
    </row>
    <row r="3314" spans="1:9" x14ac:dyDescent="0.2">
      <c r="A3314" s="3">
        <v>42589</v>
      </c>
      <c r="B3314" t="s">
        <v>23</v>
      </c>
      <c r="C3314">
        <v>402</v>
      </c>
      <c r="D3314">
        <v>2</v>
      </c>
      <c r="E3314">
        <v>1</v>
      </c>
      <c r="F3314" t="s">
        <v>64</v>
      </c>
      <c r="G3314" t="s">
        <v>25</v>
      </c>
      <c r="H3314" t="s">
        <v>26</v>
      </c>
      <c r="I3314" t="s">
        <v>57</v>
      </c>
    </row>
    <row r="3315" spans="1:9" x14ac:dyDescent="0.2">
      <c r="A3315" s="3">
        <v>42589</v>
      </c>
      <c r="B3315" t="s">
        <v>23</v>
      </c>
      <c r="C3315">
        <v>402</v>
      </c>
      <c r="D3315">
        <v>2</v>
      </c>
      <c r="E3315">
        <v>2</v>
      </c>
      <c r="F3315" t="s">
        <v>64</v>
      </c>
      <c r="G3315" t="s">
        <v>25</v>
      </c>
      <c r="H3315" t="s">
        <v>26</v>
      </c>
      <c r="I3315" t="s">
        <v>57</v>
      </c>
    </row>
    <row r="3316" spans="1:9" x14ac:dyDescent="0.2">
      <c r="A3316" s="3">
        <v>42589</v>
      </c>
      <c r="B3316" t="s">
        <v>23</v>
      </c>
      <c r="C3316">
        <v>402</v>
      </c>
      <c r="D3316">
        <v>3</v>
      </c>
      <c r="E3316">
        <v>1</v>
      </c>
      <c r="F3316" t="s">
        <v>64</v>
      </c>
      <c r="G3316" t="s">
        <v>25</v>
      </c>
      <c r="H3316" t="s">
        <v>26</v>
      </c>
      <c r="I3316" t="s">
        <v>57</v>
      </c>
    </row>
    <row r="3317" spans="1:9" x14ac:dyDescent="0.2">
      <c r="A3317" s="3">
        <v>42589</v>
      </c>
      <c r="B3317" t="s">
        <v>23</v>
      </c>
      <c r="C3317">
        <v>402</v>
      </c>
      <c r="D3317">
        <v>3</v>
      </c>
      <c r="E3317">
        <v>2</v>
      </c>
      <c r="F3317" t="s">
        <v>64</v>
      </c>
      <c r="G3317" t="s">
        <v>25</v>
      </c>
      <c r="H3317" t="s">
        <v>26</v>
      </c>
      <c r="I3317" t="s">
        <v>57</v>
      </c>
    </row>
    <row r="3318" spans="1:9" x14ac:dyDescent="0.2">
      <c r="A3318" s="3">
        <v>42589</v>
      </c>
      <c r="B3318" t="s">
        <v>23</v>
      </c>
      <c r="C3318">
        <v>111</v>
      </c>
      <c r="D3318">
        <v>5</v>
      </c>
      <c r="E3318">
        <v>1</v>
      </c>
      <c r="F3318" t="s">
        <v>24</v>
      </c>
      <c r="G3318" t="s">
        <v>25</v>
      </c>
      <c r="H3318" t="s">
        <v>26</v>
      </c>
      <c r="I3318" t="s">
        <v>57</v>
      </c>
    </row>
    <row r="3319" spans="1:9" x14ac:dyDescent="0.2">
      <c r="A3319" s="3">
        <v>42589</v>
      </c>
      <c r="B3319" t="s">
        <v>23</v>
      </c>
      <c r="C3319">
        <v>112</v>
      </c>
      <c r="D3319">
        <v>1</v>
      </c>
      <c r="E3319">
        <v>1</v>
      </c>
      <c r="F3319" t="s">
        <v>24</v>
      </c>
      <c r="G3319" t="s">
        <v>25</v>
      </c>
      <c r="H3319" t="s">
        <v>26</v>
      </c>
      <c r="I3319" t="s">
        <v>57</v>
      </c>
    </row>
    <row r="3320" spans="1:9" x14ac:dyDescent="0.2">
      <c r="A3320" s="3">
        <v>42589</v>
      </c>
      <c r="B3320" t="s">
        <v>23</v>
      </c>
      <c r="C3320">
        <v>112</v>
      </c>
      <c r="D3320">
        <v>2</v>
      </c>
      <c r="E3320">
        <v>1</v>
      </c>
      <c r="F3320" t="s">
        <v>24</v>
      </c>
      <c r="G3320" t="s">
        <v>25</v>
      </c>
      <c r="H3320" t="s">
        <v>26</v>
      </c>
      <c r="I3320" t="s">
        <v>57</v>
      </c>
    </row>
    <row r="3321" spans="1:9" x14ac:dyDescent="0.2">
      <c r="A3321" s="3">
        <v>42589</v>
      </c>
      <c r="B3321" t="s">
        <v>23</v>
      </c>
      <c r="C3321">
        <v>113</v>
      </c>
      <c r="D3321">
        <v>2</v>
      </c>
      <c r="E3321">
        <v>1</v>
      </c>
      <c r="F3321" t="s">
        <v>24</v>
      </c>
      <c r="G3321" t="s">
        <v>25</v>
      </c>
      <c r="H3321" t="s">
        <v>26</v>
      </c>
      <c r="I3321" t="s">
        <v>57</v>
      </c>
    </row>
    <row r="3322" spans="1:9" x14ac:dyDescent="0.2">
      <c r="A3322" s="3">
        <v>42589</v>
      </c>
      <c r="B3322" t="s">
        <v>23</v>
      </c>
      <c r="C3322">
        <v>113</v>
      </c>
      <c r="D3322">
        <v>2</v>
      </c>
      <c r="E3322">
        <v>2</v>
      </c>
      <c r="F3322" t="s">
        <v>24</v>
      </c>
      <c r="G3322" t="s">
        <v>25</v>
      </c>
      <c r="H3322" t="s">
        <v>26</v>
      </c>
      <c r="I3322" t="s">
        <v>57</v>
      </c>
    </row>
    <row r="3323" spans="1:9" x14ac:dyDescent="0.2">
      <c r="A3323" s="3">
        <v>42589</v>
      </c>
      <c r="B3323" t="s">
        <v>23</v>
      </c>
      <c r="C3323">
        <v>113</v>
      </c>
      <c r="D3323">
        <v>7</v>
      </c>
      <c r="E3323">
        <v>1</v>
      </c>
      <c r="F3323" t="s">
        <v>24</v>
      </c>
      <c r="G3323" t="s">
        <v>25</v>
      </c>
      <c r="H3323" t="s">
        <v>26</v>
      </c>
      <c r="I3323" t="s">
        <v>57</v>
      </c>
    </row>
    <row r="3324" spans="1:9" x14ac:dyDescent="0.2">
      <c r="A3324" s="3">
        <v>42589</v>
      </c>
      <c r="B3324" t="s">
        <v>23</v>
      </c>
      <c r="C3324">
        <v>113</v>
      </c>
      <c r="D3324">
        <v>7</v>
      </c>
      <c r="E3324">
        <v>2</v>
      </c>
      <c r="F3324" t="s">
        <v>24</v>
      </c>
      <c r="G3324" t="s">
        <v>25</v>
      </c>
      <c r="H3324" t="s">
        <v>26</v>
      </c>
      <c r="I3324" t="s">
        <v>57</v>
      </c>
    </row>
    <row r="3325" spans="1:9" x14ac:dyDescent="0.2">
      <c r="A3325" s="3">
        <v>42589</v>
      </c>
      <c r="B3325" t="s">
        <v>23</v>
      </c>
      <c r="C3325">
        <v>113</v>
      </c>
      <c r="D3325">
        <v>9</v>
      </c>
      <c r="E3325">
        <v>1</v>
      </c>
      <c r="F3325" t="s">
        <v>24</v>
      </c>
      <c r="G3325" t="s">
        <v>25</v>
      </c>
      <c r="H3325" t="s">
        <v>26</v>
      </c>
      <c r="I3325" t="s">
        <v>57</v>
      </c>
    </row>
    <row r="3326" spans="1:9" x14ac:dyDescent="0.2">
      <c r="A3326" s="3">
        <v>42589</v>
      </c>
      <c r="B3326" t="s">
        <v>23</v>
      </c>
      <c r="C3326">
        <v>402</v>
      </c>
      <c r="D3326">
        <v>1</v>
      </c>
      <c r="E3326">
        <v>2</v>
      </c>
      <c r="F3326" t="s">
        <v>24</v>
      </c>
      <c r="G3326" t="s">
        <v>25</v>
      </c>
      <c r="H3326" t="s">
        <v>26</v>
      </c>
      <c r="I3326" t="s">
        <v>57</v>
      </c>
    </row>
    <row r="3327" spans="1:9" x14ac:dyDescent="0.2">
      <c r="A3327" s="3">
        <v>42591</v>
      </c>
      <c r="B3327" t="s">
        <v>23</v>
      </c>
      <c r="C3327">
        <v>501</v>
      </c>
      <c r="D3327">
        <v>2</v>
      </c>
      <c r="E3327">
        <v>1</v>
      </c>
      <c r="F3327" t="s">
        <v>24</v>
      </c>
      <c r="G3327" t="s">
        <v>25</v>
      </c>
      <c r="H3327" t="s">
        <v>26</v>
      </c>
      <c r="I3327" t="s">
        <v>57</v>
      </c>
    </row>
    <row r="3328" spans="1:9" x14ac:dyDescent="0.2">
      <c r="A3328" s="3">
        <v>42591</v>
      </c>
      <c r="B3328" t="s">
        <v>23</v>
      </c>
      <c r="C3328">
        <v>501</v>
      </c>
      <c r="D3328">
        <v>3</v>
      </c>
      <c r="E3328">
        <v>1</v>
      </c>
      <c r="F3328" t="s">
        <v>24</v>
      </c>
      <c r="G3328" t="s">
        <v>25</v>
      </c>
      <c r="H3328" t="s">
        <v>26</v>
      </c>
      <c r="I3328" t="s">
        <v>57</v>
      </c>
    </row>
    <row r="3329" spans="1:9" x14ac:dyDescent="0.2">
      <c r="A3329" s="3">
        <v>42591</v>
      </c>
      <c r="B3329" t="s">
        <v>23</v>
      </c>
      <c r="C3329">
        <v>501</v>
      </c>
      <c r="D3329">
        <v>3</v>
      </c>
      <c r="E3329">
        <v>2</v>
      </c>
      <c r="F3329" t="s">
        <v>24</v>
      </c>
      <c r="G3329" t="s">
        <v>25</v>
      </c>
      <c r="H3329" t="s">
        <v>26</v>
      </c>
      <c r="I3329" t="s">
        <v>57</v>
      </c>
    </row>
    <row r="3330" spans="1:9" x14ac:dyDescent="0.2">
      <c r="A3330" s="3">
        <v>42591</v>
      </c>
      <c r="B3330" t="s">
        <v>23</v>
      </c>
      <c r="C3330">
        <v>501</v>
      </c>
      <c r="D3330">
        <v>5</v>
      </c>
      <c r="E3330">
        <v>1</v>
      </c>
      <c r="F3330" t="s">
        <v>24</v>
      </c>
      <c r="G3330" t="s">
        <v>25</v>
      </c>
      <c r="H3330" t="s">
        <v>26</v>
      </c>
      <c r="I3330" t="s">
        <v>57</v>
      </c>
    </row>
    <row r="3331" spans="1:9" x14ac:dyDescent="0.2">
      <c r="A3331" s="3">
        <v>42591</v>
      </c>
      <c r="B3331" t="s">
        <v>23</v>
      </c>
      <c r="C3331">
        <v>501</v>
      </c>
      <c r="D3331">
        <v>5</v>
      </c>
      <c r="E3331">
        <v>2</v>
      </c>
      <c r="F3331" t="s">
        <v>24</v>
      </c>
      <c r="G3331" t="s">
        <v>25</v>
      </c>
      <c r="H3331" t="s">
        <v>26</v>
      </c>
      <c r="I3331" t="s">
        <v>57</v>
      </c>
    </row>
    <row r="3332" spans="1:9" x14ac:dyDescent="0.2">
      <c r="A3332" s="3">
        <v>42591</v>
      </c>
      <c r="B3332" t="s">
        <v>23</v>
      </c>
      <c r="C3332">
        <v>501</v>
      </c>
      <c r="D3332">
        <v>6</v>
      </c>
      <c r="E3332">
        <v>1</v>
      </c>
      <c r="F3332" t="s">
        <v>24</v>
      </c>
      <c r="G3332" t="s">
        <v>25</v>
      </c>
      <c r="H3332" t="s">
        <v>26</v>
      </c>
      <c r="I3332" t="s">
        <v>57</v>
      </c>
    </row>
    <row r="3333" spans="1:9" x14ac:dyDescent="0.2">
      <c r="A3333" s="3">
        <v>42591</v>
      </c>
      <c r="B3333" t="s">
        <v>23</v>
      </c>
      <c r="C3333">
        <v>501</v>
      </c>
      <c r="D3333">
        <v>7</v>
      </c>
      <c r="E3333">
        <v>1</v>
      </c>
      <c r="F3333" t="s">
        <v>24</v>
      </c>
      <c r="G3333" t="s">
        <v>25</v>
      </c>
      <c r="H3333" t="s">
        <v>26</v>
      </c>
      <c r="I3333" t="s">
        <v>57</v>
      </c>
    </row>
    <row r="3334" spans="1:9" x14ac:dyDescent="0.2">
      <c r="A3334" s="3">
        <v>42591</v>
      </c>
      <c r="B3334" t="s">
        <v>23</v>
      </c>
      <c r="C3334">
        <v>501</v>
      </c>
      <c r="D3334">
        <v>7</v>
      </c>
      <c r="E3334">
        <v>2</v>
      </c>
      <c r="F3334" t="s">
        <v>24</v>
      </c>
      <c r="G3334" t="s">
        <v>25</v>
      </c>
      <c r="H3334" t="s">
        <v>26</v>
      </c>
      <c r="I3334" t="s">
        <v>57</v>
      </c>
    </row>
    <row r="3335" spans="1:9" x14ac:dyDescent="0.2">
      <c r="A3335" s="3">
        <v>42591</v>
      </c>
      <c r="B3335" t="s">
        <v>23</v>
      </c>
      <c r="C3335">
        <v>501</v>
      </c>
      <c r="D3335">
        <v>8</v>
      </c>
      <c r="E3335">
        <v>1</v>
      </c>
      <c r="F3335" t="s">
        <v>24</v>
      </c>
      <c r="G3335" t="s">
        <v>25</v>
      </c>
      <c r="H3335" t="s">
        <v>26</v>
      </c>
      <c r="I3335" t="s">
        <v>57</v>
      </c>
    </row>
    <row r="3336" spans="1:9" x14ac:dyDescent="0.2">
      <c r="A3336" s="3">
        <v>42591</v>
      </c>
      <c r="B3336" t="s">
        <v>23</v>
      </c>
      <c r="C3336">
        <v>503</v>
      </c>
      <c r="D3336">
        <v>1</v>
      </c>
      <c r="E3336">
        <v>1</v>
      </c>
      <c r="F3336" t="s">
        <v>24</v>
      </c>
      <c r="G3336" t="s">
        <v>25</v>
      </c>
      <c r="H3336" t="s">
        <v>26</v>
      </c>
      <c r="I3336" t="s">
        <v>57</v>
      </c>
    </row>
    <row r="3337" spans="1:9" x14ac:dyDescent="0.2">
      <c r="A3337" s="3">
        <v>42591</v>
      </c>
      <c r="B3337" t="s">
        <v>23</v>
      </c>
      <c r="C3337">
        <v>503</v>
      </c>
      <c r="D3337">
        <v>1</v>
      </c>
      <c r="E3337">
        <v>2</v>
      </c>
      <c r="F3337" t="s">
        <v>24</v>
      </c>
      <c r="G3337" t="s">
        <v>25</v>
      </c>
      <c r="H3337" t="s">
        <v>26</v>
      </c>
      <c r="I3337" t="s">
        <v>57</v>
      </c>
    </row>
    <row r="3338" spans="1:9" x14ac:dyDescent="0.2">
      <c r="A3338" s="3">
        <v>42591</v>
      </c>
      <c r="B3338" t="s">
        <v>23</v>
      </c>
      <c r="C3338">
        <v>503</v>
      </c>
      <c r="D3338">
        <v>2</v>
      </c>
      <c r="E3338">
        <v>1</v>
      </c>
      <c r="F3338" t="s">
        <v>24</v>
      </c>
      <c r="G3338" t="s">
        <v>25</v>
      </c>
      <c r="H3338" t="s">
        <v>26</v>
      </c>
      <c r="I3338" t="s">
        <v>57</v>
      </c>
    </row>
    <row r="3339" spans="1:9" x14ac:dyDescent="0.2">
      <c r="A3339" s="3">
        <v>42591</v>
      </c>
      <c r="B3339" t="s">
        <v>23</v>
      </c>
      <c r="C3339">
        <v>503</v>
      </c>
      <c r="D3339">
        <v>2</v>
      </c>
      <c r="E3339">
        <v>2</v>
      </c>
      <c r="F3339" t="s">
        <v>24</v>
      </c>
      <c r="G3339" t="s">
        <v>25</v>
      </c>
      <c r="H3339" t="s">
        <v>26</v>
      </c>
      <c r="I3339" t="s">
        <v>57</v>
      </c>
    </row>
    <row r="3340" spans="1:9" x14ac:dyDescent="0.2">
      <c r="A3340" s="3">
        <v>42591</v>
      </c>
      <c r="B3340" t="s">
        <v>23</v>
      </c>
      <c r="C3340">
        <v>503</v>
      </c>
      <c r="D3340">
        <v>3</v>
      </c>
      <c r="E3340">
        <v>1</v>
      </c>
      <c r="F3340" t="s">
        <v>24</v>
      </c>
      <c r="G3340" t="s">
        <v>25</v>
      </c>
      <c r="H3340" t="s">
        <v>26</v>
      </c>
      <c r="I3340" t="s">
        <v>57</v>
      </c>
    </row>
    <row r="3341" spans="1:9" x14ac:dyDescent="0.2">
      <c r="A3341" s="3">
        <v>42591</v>
      </c>
      <c r="B3341" t="s">
        <v>23</v>
      </c>
      <c r="C3341">
        <v>503</v>
      </c>
      <c r="D3341">
        <v>3</v>
      </c>
      <c r="E3341">
        <v>2</v>
      </c>
      <c r="F3341" t="s">
        <v>24</v>
      </c>
      <c r="G3341" t="s">
        <v>25</v>
      </c>
      <c r="H3341" t="s">
        <v>26</v>
      </c>
      <c r="I3341" t="s">
        <v>57</v>
      </c>
    </row>
    <row r="3342" spans="1:9" x14ac:dyDescent="0.2">
      <c r="A3342" s="3">
        <v>42591</v>
      </c>
      <c r="B3342" t="s">
        <v>23</v>
      </c>
      <c r="C3342">
        <v>503</v>
      </c>
      <c r="D3342">
        <v>4</v>
      </c>
      <c r="E3342">
        <v>1</v>
      </c>
      <c r="F3342" t="s">
        <v>24</v>
      </c>
      <c r="G3342" t="s">
        <v>25</v>
      </c>
      <c r="H3342" t="s">
        <v>26</v>
      </c>
      <c r="I3342" t="s">
        <v>57</v>
      </c>
    </row>
    <row r="3343" spans="1:9" x14ac:dyDescent="0.2">
      <c r="A3343" s="3">
        <v>42591</v>
      </c>
      <c r="B3343" t="s">
        <v>23</v>
      </c>
      <c r="C3343">
        <v>503</v>
      </c>
      <c r="D3343">
        <v>7</v>
      </c>
      <c r="E3343">
        <v>1</v>
      </c>
      <c r="F3343" t="s">
        <v>24</v>
      </c>
      <c r="G3343" t="s">
        <v>25</v>
      </c>
      <c r="H3343" t="s">
        <v>26</v>
      </c>
      <c r="I3343" t="s">
        <v>57</v>
      </c>
    </row>
    <row r="3344" spans="1:9" x14ac:dyDescent="0.2">
      <c r="A3344" s="3">
        <v>42591</v>
      </c>
      <c r="B3344" t="s">
        <v>23</v>
      </c>
      <c r="C3344">
        <v>503</v>
      </c>
      <c r="D3344">
        <v>8</v>
      </c>
      <c r="E3344">
        <v>2</v>
      </c>
      <c r="F3344" t="s">
        <v>24</v>
      </c>
      <c r="G3344" t="s">
        <v>25</v>
      </c>
      <c r="H3344" t="s">
        <v>26</v>
      </c>
      <c r="I3344" t="s">
        <v>57</v>
      </c>
    </row>
    <row r="3345" spans="1:9" x14ac:dyDescent="0.2">
      <c r="A3345" s="3">
        <v>42591</v>
      </c>
      <c r="B3345" t="s">
        <v>23</v>
      </c>
      <c r="C3345">
        <v>503</v>
      </c>
      <c r="D3345">
        <v>9</v>
      </c>
      <c r="E3345">
        <v>1</v>
      </c>
      <c r="F3345" t="s">
        <v>24</v>
      </c>
      <c r="G3345" t="s">
        <v>25</v>
      </c>
      <c r="H3345" t="s">
        <v>26</v>
      </c>
      <c r="I3345" t="s">
        <v>57</v>
      </c>
    </row>
    <row r="3346" spans="1:9" x14ac:dyDescent="0.2">
      <c r="A3346" s="3">
        <v>42591</v>
      </c>
      <c r="B3346" t="s">
        <v>23</v>
      </c>
      <c r="C3346">
        <v>503</v>
      </c>
      <c r="D3346">
        <v>10</v>
      </c>
      <c r="E3346">
        <v>1</v>
      </c>
      <c r="F3346" t="s">
        <v>24</v>
      </c>
      <c r="G3346" t="s">
        <v>25</v>
      </c>
      <c r="H3346" t="s">
        <v>26</v>
      </c>
      <c r="I3346" t="s">
        <v>57</v>
      </c>
    </row>
    <row r="3347" spans="1:9" x14ac:dyDescent="0.2">
      <c r="A3347" s="3">
        <v>42591</v>
      </c>
      <c r="B3347" t="s">
        <v>23</v>
      </c>
      <c r="C3347">
        <v>303</v>
      </c>
      <c r="D3347">
        <v>2</v>
      </c>
      <c r="E3347">
        <v>1</v>
      </c>
      <c r="F3347" t="s">
        <v>24</v>
      </c>
      <c r="G3347" t="s">
        <v>25</v>
      </c>
      <c r="H3347" t="s">
        <v>26</v>
      </c>
      <c r="I3347" t="s">
        <v>57</v>
      </c>
    </row>
    <row r="3348" spans="1:9" x14ac:dyDescent="0.2">
      <c r="A3348" s="3">
        <v>42591</v>
      </c>
      <c r="B3348" t="s">
        <v>23</v>
      </c>
      <c r="C3348">
        <v>303</v>
      </c>
      <c r="D3348">
        <v>3</v>
      </c>
      <c r="E3348">
        <v>1</v>
      </c>
      <c r="F3348" t="s">
        <v>24</v>
      </c>
      <c r="G3348" t="s">
        <v>25</v>
      </c>
      <c r="H3348" t="s">
        <v>26</v>
      </c>
      <c r="I3348" t="s">
        <v>57</v>
      </c>
    </row>
    <row r="3349" spans="1:9" x14ac:dyDescent="0.2">
      <c r="A3349" s="3">
        <v>42591</v>
      </c>
      <c r="B3349" t="s">
        <v>23</v>
      </c>
      <c r="C3349">
        <v>303</v>
      </c>
      <c r="D3349">
        <v>5</v>
      </c>
      <c r="E3349">
        <v>1</v>
      </c>
      <c r="F3349" t="s">
        <v>24</v>
      </c>
      <c r="G3349" t="s">
        <v>25</v>
      </c>
      <c r="H3349" t="s">
        <v>26</v>
      </c>
      <c r="I3349" t="s">
        <v>57</v>
      </c>
    </row>
    <row r="3350" spans="1:9" x14ac:dyDescent="0.2">
      <c r="A3350" s="3">
        <v>42591</v>
      </c>
      <c r="B3350" t="s">
        <v>23</v>
      </c>
      <c r="C3350">
        <v>303</v>
      </c>
      <c r="D3350">
        <v>5</v>
      </c>
      <c r="E3350">
        <v>2</v>
      </c>
      <c r="F3350" t="s">
        <v>24</v>
      </c>
      <c r="G3350" t="s">
        <v>25</v>
      </c>
      <c r="H3350" t="s">
        <v>26</v>
      </c>
      <c r="I3350" t="s">
        <v>57</v>
      </c>
    </row>
    <row r="3351" spans="1:9" x14ac:dyDescent="0.2">
      <c r="A3351" s="3">
        <v>42591</v>
      </c>
      <c r="B3351" t="s">
        <v>23</v>
      </c>
      <c r="C3351">
        <v>303</v>
      </c>
      <c r="D3351">
        <v>8</v>
      </c>
      <c r="E3351">
        <v>1</v>
      </c>
      <c r="F3351" t="s">
        <v>24</v>
      </c>
      <c r="G3351" t="s">
        <v>25</v>
      </c>
      <c r="H3351" t="s">
        <v>26</v>
      </c>
      <c r="I3351" t="s">
        <v>57</v>
      </c>
    </row>
    <row r="3352" spans="1:9" x14ac:dyDescent="0.2">
      <c r="A3352" s="3">
        <v>42591</v>
      </c>
      <c r="B3352" t="s">
        <v>23</v>
      </c>
      <c r="C3352">
        <v>303</v>
      </c>
      <c r="D3352">
        <v>8</v>
      </c>
      <c r="E3352">
        <v>2</v>
      </c>
      <c r="F3352" t="s">
        <v>24</v>
      </c>
      <c r="G3352" t="s">
        <v>25</v>
      </c>
      <c r="H3352" t="s">
        <v>26</v>
      </c>
      <c r="I3352" t="s">
        <v>57</v>
      </c>
    </row>
    <row r="3353" spans="1:9" x14ac:dyDescent="0.2">
      <c r="A3353" s="3">
        <v>42591</v>
      </c>
      <c r="B3353" t="s">
        <v>23</v>
      </c>
      <c r="C3353">
        <v>303</v>
      </c>
      <c r="D3353">
        <v>10</v>
      </c>
      <c r="E3353">
        <v>1</v>
      </c>
      <c r="F3353" t="s">
        <v>24</v>
      </c>
      <c r="G3353" t="s">
        <v>25</v>
      </c>
      <c r="H3353" t="s">
        <v>26</v>
      </c>
      <c r="I3353" t="s">
        <v>57</v>
      </c>
    </row>
    <row r="3354" spans="1:9" x14ac:dyDescent="0.2">
      <c r="A3354" s="3">
        <v>42591</v>
      </c>
      <c r="B3354" t="s">
        <v>23</v>
      </c>
      <c r="C3354">
        <v>401</v>
      </c>
      <c r="D3354">
        <v>1</v>
      </c>
      <c r="E3354">
        <v>1</v>
      </c>
      <c r="F3354" t="s">
        <v>24</v>
      </c>
      <c r="G3354" t="s">
        <v>25</v>
      </c>
      <c r="H3354" t="s">
        <v>26</v>
      </c>
      <c r="I3354" t="s">
        <v>57</v>
      </c>
    </row>
    <row r="3355" spans="1:9" x14ac:dyDescent="0.2">
      <c r="A3355" s="3">
        <v>42591</v>
      </c>
      <c r="B3355" t="s">
        <v>23</v>
      </c>
      <c r="C3355">
        <v>401</v>
      </c>
      <c r="D3355">
        <v>3</v>
      </c>
      <c r="E3355">
        <v>1</v>
      </c>
      <c r="F3355" t="s">
        <v>24</v>
      </c>
      <c r="G3355" t="s">
        <v>25</v>
      </c>
      <c r="H3355" t="s">
        <v>26</v>
      </c>
      <c r="I3355" t="s">
        <v>57</v>
      </c>
    </row>
    <row r="3356" spans="1:9" x14ac:dyDescent="0.2">
      <c r="A3356" s="3">
        <v>42591</v>
      </c>
      <c r="B3356" t="s">
        <v>23</v>
      </c>
      <c r="C3356">
        <v>401</v>
      </c>
      <c r="D3356">
        <v>4</v>
      </c>
      <c r="E3356">
        <v>1</v>
      </c>
      <c r="F3356" t="s">
        <v>24</v>
      </c>
      <c r="G3356" t="s">
        <v>25</v>
      </c>
      <c r="H3356" t="s">
        <v>26</v>
      </c>
      <c r="I3356" t="s">
        <v>57</v>
      </c>
    </row>
    <row r="3357" spans="1:9" x14ac:dyDescent="0.2">
      <c r="A3357" s="3">
        <v>42591</v>
      </c>
      <c r="B3357" t="s">
        <v>23</v>
      </c>
      <c r="C3357">
        <v>401</v>
      </c>
      <c r="D3357">
        <v>4</v>
      </c>
      <c r="E3357">
        <v>2</v>
      </c>
      <c r="F3357" t="s">
        <v>24</v>
      </c>
      <c r="G3357" t="s">
        <v>25</v>
      </c>
      <c r="H3357" t="s">
        <v>26</v>
      </c>
      <c r="I3357" t="s">
        <v>57</v>
      </c>
    </row>
    <row r="3358" spans="1:9" x14ac:dyDescent="0.2">
      <c r="A3358" s="3">
        <v>42591</v>
      </c>
      <c r="B3358" t="s">
        <v>23</v>
      </c>
      <c r="C3358">
        <v>401</v>
      </c>
      <c r="D3358">
        <v>9</v>
      </c>
      <c r="E3358">
        <v>1</v>
      </c>
      <c r="F3358" t="s">
        <v>24</v>
      </c>
      <c r="G3358" t="s">
        <v>25</v>
      </c>
      <c r="H3358" t="s">
        <v>26</v>
      </c>
      <c r="I3358" t="s">
        <v>57</v>
      </c>
    </row>
    <row r="3359" spans="1:9" x14ac:dyDescent="0.2">
      <c r="A3359" s="3">
        <v>42591</v>
      </c>
      <c r="B3359" t="s">
        <v>23</v>
      </c>
      <c r="C3359">
        <v>703</v>
      </c>
      <c r="D3359">
        <v>2</v>
      </c>
      <c r="E3359">
        <v>2</v>
      </c>
      <c r="F3359" t="s">
        <v>64</v>
      </c>
      <c r="G3359" t="s">
        <v>25</v>
      </c>
      <c r="H3359" t="s">
        <v>26</v>
      </c>
      <c r="I3359" t="s">
        <v>57</v>
      </c>
    </row>
    <row r="3360" spans="1:9" x14ac:dyDescent="0.2">
      <c r="A3360" s="3">
        <v>42591</v>
      </c>
      <c r="B3360" t="s">
        <v>23</v>
      </c>
      <c r="C3360">
        <v>703</v>
      </c>
      <c r="D3360">
        <v>4</v>
      </c>
      <c r="E3360">
        <v>1</v>
      </c>
      <c r="F3360" t="s">
        <v>64</v>
      </c>
      <c r="G3360" t="s">
        <v>25</v>
      </c>
      <c r="H3360" t="s">
        <v>26</v>
      </c>
      <c r="I3360" t="s">
        <v>57</v>
      </c>
    </row>
    <row r="3361" spans="1:9" x14ac:dyDescent="0.2">
      <c r="A3361" s="3">
        <v>42591</v>
      </c>
      <c r="B3361" t="s">
        <v>23</v>
      </c>
      <c r="C3361">
        <v>703</v>
      </c>
      <c r="D3361">
        <v>4</v>
      </c>
      <c r="E3361">
        <v>2</v>
      </c>
      <c r="F3361" t="s">
        <v>64</v>
      </c>
      <c r="G3361" t="s">
        <v>25</v>
      </c>
      <c r="H3361" t="s">
        <v>26</v>
      </c>
      <c r="I3361" t="s">
        <v>57</v>
      </c>
    </row>
    <row r="3362" spans="1:9" x14ac:dyDescent="0.2">
      <c r="A3362" s="3">
        <v>42591</v>
      </c>
      <c r="B3362" t="s">
        <v>23</v>
      </c>
      <c r="C3362">
        <v>703</v>
      </c>
      <c r="D3362">
        <v>5</v>
      </c>
      <c r="E3362">
        <v>1</v>
      </c>
      <c r="F3362" t="s">
        <v>64</v>
      </c>
      <c r="G3362" t="s">
        <v>25</v>
      </c>
      <c r="H3362" t="s">
        <v>26</v>
      </c>
      <c r="I3362" t="s">
        <v>57</v>
      </c>
    </row>
    <row r="3363" spans="1:9" x14ac:dyDescent="0.2">
      <c r="A3363" s="3">
        <v>42591</v>
      </c>
      <c r="B3363" t="s">
        <v>23</v>
      </c>
      <c r="C3363">
        <v>703</v>
      </c>
      <c r="D3363">
        <v>5</v>
      </c>
      <c r="E3363">
        <v>2</v>
      </c>
      <c r="F3363" t="s">
        <v>64</v>
      </c>
      <c r="G3363" t="s">
        <v>25</v>
      </c>
      <c r="H3363" t="s">
        <v>26</v>
      </c>
      <c r="I3363" t="s">
        <v>57</v>
      </c>
    </row>
    <row r="3364" spans="1:9" x14ac:dyDescent="0.2">
      <c r="A3364" s="3">
        <v>42591</v>
      </c>
      <c r="B3364" t="s">
        <v>23</v>
      </c>
      <c r="C3364">
        <v>703</v>
      </c>
      <c r="D3364">
        <v>6</v>
      </c>
      <c r="E3364">
        <v>1</v>
      </c>
      <c r="F3364" t="s">
        <v>64</v>
      </c>
      <c r="G3364" t="s">
        <v>25</v>
      </c>
      <c r="H3364" t="s">
        <v>26</v>
      </c>
      <c r="I3364" t="s">
        <v>57</v>
      </c>
    </row>
    <row r="3365" spans="1:9" x14ac:dyDescent="0.2">
      <c r="A3365" s="3">
        <v>42591</v>
      </c>
      <c r="B3365" t="s">
        <v>23</v>
      </c>
      <c r="C3365">
        <v>703</v>
      </c>
      <c r="D3365">
        <v>7</v>
      </c>
      <c r="E3365">
        <v>2</v>
      </c>
      <c r="F3365" t="s">
        <v>64</v>
      </c>
      <c r="G3365" t="s">
        <v>25</v>
      </c>
      <c r="H3365" t="s">
        <v>26</v>
      </c>
      <c r="I3365" t="s">
        <v>57</v>
      </c>
    </row>
    <row r="3366" spans="1:9" x14ac:dyDescent="0.2">
      <c r="A3366" s="3">
        <v>42591</v>
      </c>
      <c r="B3366" t="s">
        <v>23</v>
      </c>
      <c r="C3366">
        <v>703</v>
      </c>
      <c r="D3366">
        <v>8</v>
      </c>
      <c r="E3366">
        <v>1</v>
      </c>
      <c r="F3366" t="s">
        <v>64</v>
      </c>
      <c r="G3366" t="s">
        <v>25</v>
      </c>
      <c r="H3366" t="s">
        <v>26</v>
      </c>
      <c r="I3366" t="s">
        <v>57</v>
      </c>
    </row>
    <row r="3367" spans="1:9" x14ac:dyDescent="0.2">
      <c r="A3367" s="3">
        <v>42591</v>
      </c>
      <c r="B3367" t="s">
        <v>23</v>
      </c>
      <c r="C3367">
        <v>703</v>
      </c>
      <c r="D3367">
        <v>10</v>
      </c>
      <c r="E3367">
        <v>1</v>
      </c>
      <c r="F3367" t="s">
        <v>64</v>
      </c>
      <c r="G3367" t="s">
        <v>25</v>
      </c>
      <c r="H3367" t="s">
        <v>26</v>
      </c>
      <c r="I3367" t="s">
        <v>57</v>
      </c>
    </row>
    <row r="3368" spans="1:9" x14ac:dyDescent="0.2">
      <c r="A3368" s="3">
        <v>42591</v>
      </c>
      <c r="B3368" t="s">
        <v>23</v>
      </c>
      <c r="C3368">
        <v>703</v>
      </c>
      <c r="D3368">
        <v>10</v>
      </c>
      <c r="E3368">
        <v>2</v>
      </c>
      <c r="F3368" t="s">
        <v>64</v>
      </c>
      <c r="G3368" t="s">
        <v>25</v>
      </c>
      <c r="H3368" t="s">
        <v>26</v>
      </c>
      <c r="I3368" t="s">
        <v>57</v>
      </c>
    </row>
    <row r="3369" spans="1:9" x14ac:dyDescent="0.2">
      <c r="A3369" s="3">
        <v>42591</v>
      </c>
      <c r="B3369" t="s">
        <v>23</v>
      </c>
      <c r="C3369">
        <v>701</v>
      </c>
      <c r="D3369">
        <v>2</v>
      </c>
      <c r="E3369">
        <v>1</v>
      </c>
      <c r="F3369" t="s">
        <v>64</v>
      </c>
      <c r="G3369" t="s">
        <v>25</v>
      </c>
      <c r="H3369" t="s">
        <v>26</v>
      </c>
      <c r="I3369" t="s">
        <v>57</v>
      </c>
    </row>
    <row r="3370" spans="1:9" x14ac:dyDescent="0.2">
      <c r="A3370" s="3">
        <v>42591</v>
      </c>
      <c r="B3370" t="s">
        <v>23</v>
      </c>
      <c r="C3370">
        <v>701</v>
      </c>
      <c r="D3370">
        <v>2</v>
      </c>
      <c r="E3370">
        <v>2</v>
      </c>
      <c r="F3370" t="s">
        <v>64</v>
      </c>
      <c r="G3370" t="s">
        <v>25</v>
      </c>
      <c r="H3370" t="s">
        <v>26</v>
      </c>
      <c r="I3370" t="s">
        <v>57</v>
      </c>
    </row>
    <row r="3371" spans="1:9" x14ac:dyDescent="0.2">
      <c r="A3371" s="3">
        <v>42591</v>
      </c>
      <c r="B3371" t="s">
        <v>23</v>
      </c>
      <c r="C3371">
        <v>701</v>
      </c>
      <c r="D3371">
        <v>3</v>
      </c>
      <c r="E3371">
        <v>1</v>
      </c>
      <c r="F3371" t="s">
        <v>64</v>
      </c>
      <c r="G3371" t="s">
        <v>25</v>
      </c>
      <c r="H3371" t="s">
        <v>26</v>
      </c>
      <c r="I3371" t="s">
        <v>57</v>
      </c>
    </row>
    <row r="3372" spans="1:9" x14ac:dyDescent="0.2">
      <c r="A3372" s="3">
        <v>42591</v>
      </c>
      <c r="B3372" t="s">
        <v>23</v>
      </c>
      <c r="C3372">
        <v>701</v>
      </c>
      <c r="D3372">
        <v>4</v>
      </c>
      <c r="E3372">
        <v>2</v>
      </c>
      <c r="F3372" t="s">
        <v>64</v>
      </c>
      <c r="G3372" t="s">
        <v>25</v>
      </c>
      <c r="H3372" t="s">
        <v>26</v>
      </c>
      <c r="I3372" t="s">
        <v>57</v>
      </c>
    </row>
    <row r="3373" spans="1:9" x14ac:dyDescent="0.2">
      <c r="A3373" s="3">
        <v>42591</v>
      </c>
      <c r="B3373" t="s">
        <v>23</v>
      </c>
      <c r="C3373">
        <v>701</v>
      </c>
      <c r="D3373">
        <v>7</v>
      </c>
      <c r="E3373">
        <v>1</v>
      </c>
      <c r="F3373" t="s">
        <v>64</v>
      </c>
      <c r="G3373" t="s">
        <v>25</v>
      </c>
      <c r="H3373" t="s">
        <v>26</v>
      </c>
      <c r="I3373" t="s">
        <v>57</v>
      </c>
    </row>
    <row r="3374" spans="1:9" x14ac:dyDescent="0.2">
      <c r="A3374" s="3">
        <v>42591</v>
      </c>
      <c r="B3374" t="s">
        <v>23</v>
      </c>
      <c r="C3374">
        <v>701</v>
      </c>
      <c r="D3374">
        <v>7</v>
      </c>
      <c r="E3374">
        <v>2</v>
      </c>
      <c r="F3374" t="s">
        <v>64</v>
      </c>
      <c r="G3374" t="s">
        <v>25</v>
      </c>
      <c r="H3374" t="s">
        <v>26</v>
      </c>
      <c r="I3374" t="s">
        <v>57</v>
      </c>
    </row>
    <row r="3375" spans="1:9" x14ac:dyDescent="0.2">
      <c r="A3375" s="3">
        <v>42591</v>
      </c>
      <c r="B3375" t="s">
        <v>23</v>
      </c>
      <c r="C3375">
        <v>701</v>
      </c>
      <c r="D3375">
        <v>10</v>
      </c>
      <c r="E3375">
        <v>1</v>
      </c>
      <c r="F3375" t="s">
        <v>64</v>
      </c>
      <c r="G3375" t="s">
        <v>25</v>
      </c>
      <c r="H3375" t="s">
        <v>26</v>
      </c>
      <c r="I3375" t="s">
        <v>57</v>
      </c>
    </row>
    <row r="3376" spans="1:9" x14ac:dyDescent="0.2">
      <c r="A3376" s="3">
        <v>42591</v>
      </c>
      <c r="B3376" t="s">
        <v>23</v>
      </c>
      <c r="C3376">
        <v>801</v>
      </c>
      <c r="D3376">
        <v>8</v>
      </c>
      <c r="E3376">
        <v>1</v>
      </c>
      <c r="F3376" t="s">
        <v>64</v>
      </c>
      <c r="G3376" t="s">
        <v>25</v>
      </c>
      <c r="H3376" t="s">
        <v>26</v>
      </c>
      <c r="I3376" t="s">
        <v>57</v>
      </c>
    </row>
    <row r="3377" spans="1:9" x14ac:dyDescent="0.2">
      <c r="A3377" s="3">
        <v>42591</v>
      </c>
      <c r="B3377" t="s">
        <v>23</v>
      </c>
      <c r="C3377">
        <v>801</v>
      </c>
      <c r="D3377">
        <v>9</v>
      </c>
      <c r="E3377">
        <v>1</v>
      </c>
      <c r="F3377" t="s">
        <v>64</v>
      </c>
      <c r="G3377" t="s">
        <v>25</v>
      </c>
      <c r="H3377" t="s">
        <v>26</v>
      </c>
      <c r="I3377" t="s">
        <v>57</v>
      </c>
    </row>
    <row r="3378" spans="1:9" x14ac:dyDescent="0.2">
      <c r="A3378" s="3">
        <v>42591</v>
      </c>
      <c r="B3378" t="s">
        <v>23</v>
      </c>
      <c r="C3378">
        <v>803</v>
      </c>
      <c r="D3378">
        <v>8</v>
      </c>
      <c r="E3378">
        <v>1</v>
      </c>
      <c r="F3378" t="s">
        <v>64</v>
      </c>
      <c r="G3378" t="s">
        <v>25</v>
      </c>
      <c r="H3378" t="s">
        <v>26</v>
      </c>
      <c r="I3378" t="s">
        <v>57</v>
      </c>
    </row>
    <row r="3379" spans="1:9" x14ac:dyDescent="0.2">
      <c r="A3379" s="3">
        <v>42591</v>
      </c>
      <c r="B3379" t="s">
        <v>23</v>
      </c>
      <c r="C3379">
        <v>803</v>
      </c>
      <c r="D3379">
        <v>8</v>
      </c>
      <c r="E3379">
        <v>2</v>
      </c>
      <c r="F3379" t="s">
        <v>64</v>
      </c>
      <c r="G3379" t="s">
        <v>25</v>
      </c>
      <c r="H3379" t="s">
        <v>26</v>
      </c>
      <c r="I3379" t="s">
        <v>57</v>
      </c>
    </row>
    <row r="3380" spans="1:9" x14ac:dyDescent="0.2">
      <c r="A3380" s="3">
        <v>42591</v>
      </c>
      <c r="B3380" t="s">
        <v>23</v>
      </c>
      <c r="C3380">
        <v>803</v>
      </c>
      <c r="D3380">
        <v>7</v>
      </c>
      <c r="E3380">
        <v>1</v>
      </c>
      <c r="F3380" t="s">
        <v>64</v>
      </c>
      <c r="G3380" t="s">
        <v>25</v>
      </c>
      <c r="H3380" t="s">
        <v>26</v>
      </c>
      <c r="I3380" t="s">
        <v>57</v>
      </c>
    </row>
    <row r="3381" spans="1:9" x14ac:dyDescent="0.2">
      <c r="A3381" s="3">
        <v>42591</v>
      </c>
      <c r="B3381" t="s">
        <v>23</v>
      </c>
      <c r="C3381">
        <v>803</v>
      </c>
      <c r="D3381">
        <v>6</v>
      </c>
      <c r="E3381">
        <v>1</v>
      </c>
      <c r="F3381" t="s">
        <v>64</v>
      </c>
      <c r="G3381" t="s">
        <v>25</v>
      </c>
      <c r="H3381" t="s">
        <v>26</v>
      </c>
      <c r="I3381" t="s">
        <v>57</v>
      </c>
    </row>
    <row r="3382" spans="1:9" x14ac:dyDescent="0.2">
      <c r="A3382" s="3">
        <v>42591</v>
      </c>
      <c r="B3382" t="s">
        <v>23</v>
      </c>
      <c r="C3382">
        <v>803</v>
      </c>
      <c r="D3382">
        <v>5</v>
      </c>
      <c r="E3382">
        <v>1</v>
      </c>
      <c r="F3382" t="s">
        <v>64</v>
      </c>
      <c r="G3382" t="s">
        <v>25</v>
      </c>
      <c r="H3382" t="s">
        <v>26</v>
      </c>
      <c r="I3382" t="s">
        <v>57</v>
      </c>
    </row>
    <row r="3383" spans="1:9" x14ac:dyDescent="0.2">
      <c r="A3383" s="3">
        <v>42591</v>
      </c>
      <c r="B3383" t="s">
        <v>23</v>
      </c>
      <c r="C3383">
        <v>803</v>
      </c>
      <c r="D3383">
        <v>2</v>
      </c>
      <c r="E3383">
        <v>2</v>
      </c>
      <c r="F3383" t="s">
        <v>64</v>
      </c>
      <c r="G3383" t="s">
        <v>25</v>
      </c>
      <c r="H3383" t="s">
        <v>26</v>
      </c>
      <c r="I3383" t="s">
        <v>57</v>
      </c>
    </row>
    <row r="3384" spans="1:9" x14ac:dyDescent="0.2">
      <c r="A3384" s="3">
        <v>42591</v>
      </c>
      <c r="B3384" t="s">
        <v>23</v>
      </c>
      <c r="C3384">
        <v>803</v>
      </c>
      <c r="D3384">
        <v>1</v>
      </c>
      <c r="E3384">
        <v>1</v>
      </c>
      <c r="F3384" t="s">
        <v>64</v>
      </c>
      <c r="G3384" t="s">
        <v>25</v>
      </c>
      <c r="H3384" t="s">
        <v>26</v>
      </c>
      <c r="I3384" t="s">
        <v>57</v>
      </c>
    </row>
    <row r="3385" spans="1:9" x14ac:dyDescent="0.2">
      <c r="A3385" s="3">
        <v>42592</v>
      </c>
      <c r="B3385" t="s">
        <v>23</v>
      </c>
      <c r="C3385">
        <v>703</v>
      </c>
      <c r="D3385">
        <v>1</v>
      </c>
      <c r="E3385">
        <v>2</v>
      </c>
      <c r="F3385" t="s">
        <v>64</v>
      </c>
      <c r="G3385" t="s">
        <v>25</v>
      </c>
      <c r="H3385" t="s">
        <v>26</v>
      </c>
      <c r="I3385" t="s">
        <v>57</v>
      </c>
    </row>
    <row r="3386" spans="1:9" x14ac:dyDescent="0.2">
      <c r="A3386" s="3">
        <v>42592</v>
      </c>
      <c r="B3386" t="s">
        <v>23</v>
      </c>
      <c r="C3386">
        <v>703</v>
      </c>
      <c r="D3386">
        <v>2</v>
      </c>
      <c r="E3386">
        <v>1</v>
      </c>
      <c r="F3386" t="s">
        <v>64</v>
      </c>
      <c r="G3386" t="s">
        <v>25</v>
      </c>
      <c r="H3386" t="s">
        <v>26</v>
      </c>
      <c r="I3386" t="s">
        <v>57</v>
      </c>
    </row>
    <row r="3387" spans="1:9" x14ac:dyDescent="0.2">
      <c r="A3387" s="3">
        <v>42592</v>
      </c>
      <c r="B3387" t="s">
        <v>23</v>
      </c>
      <c r="C3387">
        <v>703</v>
      </c>
      <c r="D3387">
        <v>2</v>
      </c>
      <c r="E3387">
        <v>2</v>
      </c>
      <c r="F3387" t="s">
        <v>64</v>
      </c>
      <c r="G3387" t="s">
        <v>25</v>
      </c>
      <c r="H3387" t="s">
        <v>26</v>
      </c>
      <c r="I3387" t="s">
        <v>57</v>
      </c>
    </row>
    <row r="3388" spans="1:9" x14ac:dyDescent="0.2">
      <c r="A3388" s="3">
        <v>42592</v>
      </c>
      <c r="B3388" t="s">
        <v>23</v>
      </c>
      <c r="C3388">
        <v>703</v>
      </c>
      <c r="D3388">
        <v>4</v>
      </c>
      <c r="E3388">
        <v>1</v>
      </c>
      <c r="F3388" t="s">
        <v>64</v>
      </c>
      <c r="G3388" t="s">
        <v>25</v>
      </c>
      <c r="H3388" t="s">
        <v>26</v>
      </c>
      <c r="I3388" t="s">
        <v>57</v>
      </c>
    </row>
    <row r="3389" spans="1:9" x14ac:dyDescent="0.2">
      <c r="A3389" s="3">
        <v>42592</v>
      </c>
      <c r="B3389" t="s">
        <v>23</v>
      </c>
      <c r="C3389">
        <v>703</v>
      </c>
      <c r="D3389">
        <v>4</v>
      </c>
      <c r="E3389">
        <v>2</v>
      </c>
      <c r="F3389" t="s">
        <v>64</v>
      </c>
      <c r="G3389" t="s">
        <v>25</v>
      </c>
      <c r="H3389" t="s">
        <v>26</v>
      </c>
      <c r="I3389" t="s">
        <v>57</v>
      </c>
    </row>
    <row r="3390" spans="1:9" x14ac:dyDescent="0.2">
      <c r="A3390" s="3">
        <v>42592</v>
      </c>
      <c r="B3390" t="s">
        <v>23</v>
      </c>
      <c r="C3390">
        <v>703</v>
      </c>
      <c r="D3390">
        <v>7</v>
      </c>
      <c r="E3390">
        <v>2</v>
      </c>
      <c r="F3390" t="s">
        <v>64</v>
      </c>
      <c r="G3390" t="s">
        <v>25</v>
      </c>
      <c r="H3390" t="s">
        <v>26</v>
      </c>
      <c r="I3390" t="s">
        <v>57</v>
      </c>
    </row>
    <row r="3391" spans="1:9" x14ac:dyDescent="0.2">
      <c r="A3391" s="3">
        <v>42592</v>
      </c>
      <c r="B3391" t="s">
        <v>23</v>
      </c>
      <c r="C3391">
        <v>703</v>
      </c>
      <c r="D3391">
        <v>8</v>
      </c>
      <c r="E3391">
        <v>1</v>
      </c>
      <c r="F3391" t="s">
        <v>64</v>
      </c>
      <c r="G3391" t="s">
        <v>25</v>
      </c>
      <c r="H3391" t="s">
        <v>26</v>
      </c>
      <c r="I3391" t="s">
        <v>57</v>
      </c>
    </row>
    <row r="3392" spans="1:9" x14ac:dyDescent="0.2">
      <c r="A3392" s="3">
        <v>42592</v>
      </c>
      <c r="B3392" t="s">
        <v>23</v>
      </c>
      <c r="C3392">
        <v>703</v>
      </c>
      <c r="D3392">
        <v>9</v>
      </c>
      <c r="E3392">
        <v>2</v>
      </c>
      <c r="F3392" t="s">
        <v>64</v>
      </c>
      <c r="G3392" t="s">
        <v>25</v>
      </c>
      <c r="H3392" t="s">
        <v>26</v>
      </c>
      <c r="I3392" t="s">
        <v>57</v>
      </c>
    </row>
    <row r="3393" spans="1:9" x14ac:dyDescent="0.2">
      <c r="A3393" s="3">
        <v>42592</v>
      </c>
      <c r="B3393" t="s">
        <v>23</v>
      </c>
      <c r="C3393">
        <v>703</v>
      </c>
      <c r="D3393">
        <v>10</v>
      </c>
      <c r="E3393">
        <v>1</v>
      </c>
      <c r="F3393" t="s">
        <v>64</v>
      </c>
      <c r="G3393" t="s">
        <v>25</v>
      </c>
      <c r="H3393" t="s">
        <v>26</v>
      </c>
      <c r="I3393" t="s">
        <v>57</v>
      </c>
    </row>
    <row r="3394" spans="1:9" x14ac:dyDescent="0.2">
      <c r="A3394" s="3">
        <v>42592</v>
      </c>
      <c r="B3394" t="s">
        <v>23</v>
      </c>
      <c r="C3394">
        <v>701</v>
      </c>
      <c r="D3394">
        <v>2</v>
      </c>
      <c r="E3394">
        <v>2</v>
      </c>
      <c r="F3394" t="s">
        <v>64</v>
      </c>
      <c r="G3394" t="s">
        <v>25</v>
      </c>
      <c r="H3394" t="s">
        <v>26</v>
      </c>
      <c r="I3394" t="s">
        <v>57</v>
      </c>
    </row>
    <row r="3395" spans="1:9" x14ac:dyDescent="0.2">
      <c r="A3395" s="3">
        <v>42592</v>
      </c>
      <c r="B3395" t="s">
        <v>23</v>
      </c>
      <c r="C3395">
        <v>701</v>
      </c>
      <c r="D3395">
        <v>3</v>
      </c>
      <c r="E3395">
        <v>1</v>
      </c>
      <c r="F3395" t="s">
        <v>64</v>
      </c>
      <c r="G3395" t="s">
        <v>25</v>
      </c>
      <c r="H3395" t="s">
        <v>26</v>
      </c>
      <c r="I3395" t="s">
        <v>57</v>
      </c>
    </row>
    <row r="3396" spans="1:9" x14ac:dyDescent="0.2">
      <c r="A3396" s="3">
        <v>42592</v>
      </c>
      <c r="B3396" t="s">
        <v>23</v>
      </c>
      <c r="C3396">
        <v>701</v>
      </c>
      <c r="D3396">
        <v>4</v>
      </c>
      <c r="E3396">
        <v>2</v>
      </c>
      <c r="F3396" t="s">
        <v>64</v>
      </c>
      <c r="G3396" t="s">
        <v>25</v>
      </c>
      <c r="H3396" t="s">
        <v>26</v>
      </c>
      <c r="I3396" t="s">
        <v>57</v>
      </c>
    </row>
    <row r="3397" spans="1:9" x14ac:dyDescent="0.2">
      <c r="A3397" s="3">
        <v>42592</v>
      </c>
      <c r="B3397" t="s">
        <v>23</v>
      </c>
      <c r="C3397">
        <v>701</v>
      </c>
      <c r="D3397">
        <v>6</v>
      </c>
      <c r="E3397">
        <v>2</v>
      </c>
      <c r="F3397" t="s">
        <v>64</v>
      </c>
      <c r="G3397" t="s">
        <v>25</v>
      </c>
      <c r="H3397" t="s">
        <v>26</v>
      </c>
      <c r="I3397" t="s">
        <v>57</v>
      </c>
    </row>
    <row r="3398" spans="1:9" x14ac:dyDescent="0.2">
      <c r="A3398" s="3">
        <v>42592</v>
      </c>
      <c r="B3398" t="s">
        <v>23</v>
      </c>
      <c r="C3398">
        <v>701</v>
      </c>
      <c r="D3398">
        <v>9</v>
      </c>
      <c r="E3398">
        <v>1</v>
      </c>
      <c r="F3398" t="s">
        <v>64</v>
      </c>
      <c r="G3398" t="s">
        <v>25</v>
      </c>
      <c r="H3398" t="s">
        <v>26</v>
      </c>
      <c r="I3398" t="s">
        <v>57</v>
      </c>
    </row>
    <row r="3399" spans="1:9" x14ac:dyDescent="0.2">
      <c r="A3399" s="3">
        <v>42592</v>
      </c>
      <c r="B3399" t="s">
        <v>23</v>
      </c>
      <c r="C3399">
        <v>801</v>
      </c>
      <c r="D3399">
        <v>2</v>
      </c>
      <c r="E3399">
        <v>2</v>
      </c>
      <c r="F3399" t="s">
        <v>64</v>
      </c>
      <c r="G3399" t="s">
        <v>25</v>
      </c>
      <c r="H3399" t="s">
        <v>26</v>
      </c>
      <c r="I3399" t="s">
        <v>57</v>
      </c>
    </row>
    <row r="3400" spans="1:9" x14ac:dyDescent="0.2">
      <c r="A3400" s="3">
        <v>42592</v>
      </c>
      <c r="B3400" t="s">
        <v>23</v>
      </c>
      <c r="C3400">
        <v>801</v>
      </c>
      <c r="D3400">
        <v>3</v>
      </c>
      <c r="E3400">
        <v>1</v>
      </c>
      <c r="F3400" t="s">
        <v>64</v>
      </c>
      <c r="G3400" t="s">
        <v>25</v>
      </c>
      <c r="H3400" t="s">
        <v>26</v>
      </c>
      <c r="I3400" t="s">
        <v>57</v>
      </c>
    </row>
    <row r="3401" spans="1:9" x14ac:dyDescent="0.2">
      <c r="A3401" s="3">
        <v>42592</v>
      </c>
      <c r="B3401" t="s">
        <v>23</v>
      </c>
      <c r="C3401">
        <v>801</v>
      </c>
      <c r="D3401">
        <v>3</v>
      </c>
      <c r="E3401">
        <v>2</v>
      </c>
      <c r="F3401" t="s">
        <v>64</v>
      </c>
      <c r="G3401" t="s">
        <v>25</v>
      </c>
      <c r="H3401" t="s">
        <v>26</v>
      </c>
      <c r="I3401" t="s">
        <v>57</v>
      </c>
    </row>
    <row r="3402" spans="1:9" x14ac:dyDescent="0.2">
      <c r="A3402" s="3">
        <v>42592</v>
      </c>
      <c r="B3402" t="s">
        <v>23</v>
      </c>
      <c r="C3402">
        <v>801</v>
      </c>
      <c r="D3402">
        <v>8</v>
      </c>
      <c r="E3402">
        <v>1</v>
      </c>
      <c r="F3402" t="s">
        <v>64</v>
      </c>
      <c r="G3402" t="s">
        <v>25</v>
      </c>
      <c r="H3402" t="s">
        <v>26</v>
      </c>
      <c r="I3402" t="s">
        <v>57</v>
      </c>
    </row>
    <row r="3403" spans="1:9" x14ac:dyDescent="0.2">
      <c r="A3403" s="3">
        <v>42592</v>
      </c>
      <c r="B3403" t="s">
        <v>23</v>
      </c>
      <c r="C3403">
        <v>803</v>
      </c>
      <c r="D3403">
        <v>8</v>
      </c>
      <c r="E3403">
        <v>2</v>
      </c>
      <c r="F3403" t="s">
        <v>64</v>
      </c>
      <c r="G3403" t="s">
        <v>25</v>
      </c>
      <c r="H3403" t="s">
        <v>26</v>
      </c>
      <c r="I3403" t="s">
        <v>57</v>
      </c>
    </row>
    <row r="3404" spans="1:9" x14ac:dyDescent="0.2">
      <c r="A3404" s="3">
        <v>42592</v>
      </c>
      <c r="B3404" t="s">
        <v>23</v>
      </c>
      <c r="C3404">
        <v>803</v>
      </c>
      <c r="D3404">
        <v>5</v>
      </c>
      <c r="E3404">
        <v>2</v>
      </c>
      <c r="F3404" t="s">
        <v>64</v>
      </c>
      <c r="G3404" t="s">
        <v>25</v>
      </c>
      <c r="H3404" t="s">
        <v>26</v>
      </c>
      <c r="I3404" t="s">
        <v>57</v>
      </c>
    </row>
    <row r="3405" spans="1:9" x14ac:dyDescent="0.2">
      <c r="A3405" s="3">
        <v>42592</v>
      </c>
      <c r="B3405" t="s">
        <v>23</v>
      </c>
      <c r="C3405">
        <v>803</v>
      </c>
      <c r="D3405">
        <v>4</v>
      </c>
      <c r="E3405">
        <v>1</v>
      </c>
      <c r="F3405" t="s">
        <v>64</v>
      </c>
      <c r="G3405" t="s">
        <v>25</v>
      </c>
      <c r="H3405" t="s">
        <v>26</v>
      </c>
      <c r="I3405" t="s">
        <v>57</v>
      </c>
    </row>
    <row r="3406" spans="1:9" x14ac:dyDescent="0.2">
      <c r="A3406" s="3">
        <v>42592</v>
      </c>
      <c r="B3406" t="s">
        <v>23</v>
      </c>
      <c r="C3406">
        <v>803</v>
      </c>
      <c r="D3406">
        <v>2</v>
      </c>
      <c r="E3406">
        <v>2</v>
      </c>
      <c r="F3406" t="s">
        <v>64</v>
      </c>
      <c r="G3406" t="s">
        <v>25</v>
      </c>
      <c r="H3406" t="s">
        <v>26</v>
      </c>
      <c r="I3406" t="s">
        <v>57</v>
      </c>
    </row>
    <row r="3407" spans="1:9" x14ac:dyDescent="0.2">
      <c r="A3407" s="3">
        <v>42592</v>
      </c>
      <c r="B3407" t="s">
        <v>23</v>
      </c>
      <c r="C3407">
        <v>803</v>
      </c>
      <c r="D3407">
        <v>1</v>
      </c>
      <c r="E3407">
        <v>1</v>
      </c>
      <c r="F3407" t="s">
        <v>64</v>
      </c>
      <c r="G3407" t="s">
        <v>25</v>
      </c>
      <c r="H3407" t="s">
        <v>26</v>
      </c>
      <c r="I3407" t="s">
        <v>57</v>
      </c>
    </row>
    <row r="3408" spans="1:9" x14ac:dyDescent="0.2">
      <c r="A3408" s="3">
        <v>42592</v>
      </c>
      <c r="B3408" t="s">
        <v>23</v>
      </c>
      <c r="C3408">
        <v>501</v>
      </c>
      <c r="D3408">
        <v>1</v>
      </c>
      <c r="E3408">
        <v>1</v>
      </c>
      <c r="F3408" t="s">
        <v>24</v>
      </c>
      <c r="G3408" t="s">
        <v>25</v>
      </c>
      <c r="H3408" t="s">
        <v>26</v>
      </c>
      <c r="I3408" t="s">
        <v>57</v>
      </c>
    </row>
    <row r="3409" spans="1:9" x14ac:dyDescent="0.2">
      <c r="A3409" s="3">
        <v>42592</v>
      </c>
      <c r="B3409" t="s">
        <v>23</v>
      </c>
      <c r="C3409">
        <v>501</v>
      </c>
      <c r="D3409">
        <v>2</v>
      </c>
      <c r="E3409">
        <v>1</v>
      </c>
      <c r="F3409" t="s">
        <v>24</v>
      </c>
      <c r="G3409" t="s">
        <v>25</v>
      </c>
      <c r="H3409" t="s">
        <v>26</v>
      </c>
      <c r="I3409" t="s">
        <v>57</v>
      </c>
    </row>
    <row r="3410" spans="1:9" x14ac:dyDescent="0.2">
      <c r="A3410" s="3">
        <v>42592</v>
      </c>
      <c r="B3410" t="s">
        <v>23</v>
      </c>
      <c r="C3410">
        <v>501</v>
      </c>
      <c r="D3410">
        <v>3</v>
      </c>
      <c r="E3410">
        <v>1</v>
      </c>
      <c r="F3410" t="s">
        <v>24</v>
      </c>
      <c r="G3410" t="s">
        <v>25</v>
      </c>
      <c r="H3410" t="s">
        <v>26</v>
      </c>
      <c r="I3410" t="s">
        <v>57</v>
      </c>
    </row>
    <row r="3411" spans="1:9" x14ac:dyDescent="0.2">
      <c r="A3411" s="3">
        <v>42592</v>
      </c>
      <c r="B3411" t="s">
        <v>23</v>
      </c>
      <c r="C3411">
        <v>501</v>
      </c>
      <c r="D3411">
        <v>4</v>
      </c>
      <c r="E3411">
        <v>1</v>
      </c>
      <c r="F3411" t="s">
        <v>24</v>
      </c>
      <c r="G3411" t="s">
        <v>25</v>
      </c>
      <c r="H3411" t="s">
        <v>26</v>
      </c>
      <c r="I3411" t="s">
        <v>57</v>
      </c>
    </row>
    <row r="3412" spans="1:9" x14ac:dyDescent="0.2">
      <c r="A3412" s="3">
        <v>42592</v>
      </c>
      <c r="B3412" t="s">
        <v>23</v>
      </c>
      <c r="C3412">
        <v>501</v>
      </c>
      <c r="D3412">
        <v>5</v>
      </c>
      <c r="E3412">
        <v>2</v>
      </c>
      <c r="F3412" t="s">
        <v>24</v>
      </c>
      <c r="G3412" t="s">
        <v>25</v>
      </c>
      <c r="H3412" t="s">
        <v>26</v>
      </c>
      <c r="I3412" t="s">
        <v>57</v>
      </c>
    </row>
    <row r="3413" spans="1:9" x14ac:dyDescent="0.2">
      <c r="A3413" s="3">
        <v>42592</v>
      </c>
      <c r="B3413" t="s">
        <v>23</v>
      </c>
      <c r="C3413">
        <v>501</v>
      </c>
      <c r="D3413">
        <v>6</v>
      </c>
      <c r="E3413">
        <v>1</v>
      </c>
      <c r="F3413" t="s">
        <v>24</v>
      </c>
      <c r="G3413" t="s">
        <v>25</v>
      </c>
      <c r="H3413" t="s">
        <v>26</v>
      </c>
      <c r="I3413" t="s">
        <v>57</v>
      </c>
    </row>
    <row r="3414" spans="1:9" x14ac:dyDescent="0.2">
      <c r="A3414" s="3">
        <v>42592</v>
      </c>
      <c r="B3414" t="s">
        <v>23</v>
      </c>
      <c r="C3414">
        <v>501</v>
      </c>
      <c r="D3414">
        <v>7</v>
      </c>
      <c r="E3414">
        <v>1</v>
      </c>
      <c r="F3414" t="s">
        <v>24</v>
      </c>
      <c r="G3414" t="s">
        <v>25</v>
      </c>
      <c r="H3414" t="s">
        <v>26</v>
      </c>
      <c r="I3414" t="s">
        <v>57</v>
      </c>
    </row>
    <row r="3415" spans="1:9" x14ac:dyDescent="0.2">
      <c r="A3415" s="3">
        <v>42592</v>
      </c>
      <c r="B3415" t="s">
        <v>23</v>
      </c>
      <c r="C3415">
        <v>501</v>
      </c>
      <c r="D3415">
        <v>10</v>
      </c>
      <c r="E3415">
        <v>1</v>
      </c>
      <c r="F3415" t="s">
        <v>24</v>
      </c>
      <c r="G3415" t="s">
        <v>25</v>
      </c>
      <c r="H3415" t="s">
        <v>26</v>
      </c>
      <c r="I3415" t="s">
        <v>57</v>
      </c>
    </row>
    <row r="3416" spans="1:9" x14ac:dyDescent="0.2">
      <c r="A3416" s="3">
        <v>42592</v>
      </c>
      <c r="B3416" t="s">
        <v>23</v>
      </c>
      <c r="C3416">
        <v>503</v>
      </c>
      <c r="D3416">
        <v>1</v>
      </c>
      <c r="E3416">
        <v>2</v>
      </c>
      <c r="F3416" t="s">
        <v>24</v>
      </c>
      <c r="G3416" t="s">
        <v>25</v>
      </c>
      <c r="H3416" t="s">
        <v>26</v>
      </c>
      <c r="I3416" t="s">
        <v>57</v>
      </c>
    </row>
    <row r="3417" spans="1:9" x14ac:dyDescent="0.2">
      <c r="A3417" s="3">
        <v>42592</v>
      </c>
      <c r="B3417" t="s">
        <v>23</v>
      </c>
      <c r="C3417">
        <v>503</v>
      </c>
      <c r="D3417">
        <v>3</v>
      </c>
      <c r="E3417">
        <v>1</v>
      </c>
      <c r="F3417" t="s">
        <v>24</v>
      </c>
      <c r="G3417" t="s">
        <v>25</v>
      </c>
      <c r="H3417" t="s">
        <v>26</v>
      </c>
      <c r="I3417" t="s">
        <v>57</v>
      </c>
    </row>
    <row r="3418" spans="1:9" x14ac:dyDescent="0.2">
      <c r="A3418" s="3">
        <v>42592</v>
      </c>
      <c r="B3418" t="s">
        <v>23</v>
      </c>
      <c r="C3418">
        <v>503</v>
      </c>
      <c r="D3418">
        <v>3</v>
      </c>
      <c r="E3418">
        <v>2</v>
      </c>
      <c r="F3418" t="s">
        <v>24</v>
      </c>
      <c r="G3418" t="s">
        <v>25</v>
      </c>
      <c r="H3418" t="s">
        <v>26</v>
      </c>
      <c r="I3418" t="s">
        <v>57</v>
      </c>
    </row>
    <row r="3419" spans="1:9" x14ac:dyDescent="0.2">
      <c r="A3419" s="3">
        <v>42592</v>
      </c>
      <c r="B3419" t="s">
        <v>23</v>
      </c>
      <c r="C3419">
        <v>503</v>
      </c>
      <c r="D3419">
        <v>6</v>
      </c>
      <c r="E3419">
        <v>1</v>
      </c>
      <c r="F3419" t="s">
        <v>24</v>
      </c>
      <c r="G3419" t="s">
        <v>25</v>
      </c>
      <c r="H3419" t="s">
        <v>26</v>
      </c>
      <c r="I3419" t="s">
        <v>57</v>
      </c>
    </row>
    <row r="3420" spans="1:9" x14ac:dyDescent="0.2">
      <c r="A3420" s="3">
        <v>42592</v>
      </c>
      <c r="B3420" t="s">
        <v>23</v>
      </c>
      <c r="C3420">
        <v>503</v>
      </c>
      <c r="D3420">
        <v>6</v>
      </c>
      <c r="E3420">
        <v>2</v>
      </c>
      <c r="F3420" t="s">
        <v>24</v>
      </c>
      <c r="G3420" t="s">
        <v>25</v>
      </c>
      <c r="H3420" t="s">
        <v>26</v>
      </c>
      <c r="I3420" t="s">
        <v>57</v>
      </c>
    </row>
    <row r="3421" spans="1:9" x14ac:dyDescent="0.2">
      <c r="A3421" s="3">
        <v>42592</v>
      </c>
      <c r="B3421" t="s">
        <v>23</v>
      </c>
      <c r="C3421">
        <v>503</v>
      </c>
      <c r="D3421">
        <v>7</v>
      </c>
      <c r="E3421">
        <v>1</v>
      </c>
      <c r="F3421" t="s">
        <v>24</v>
      </c>
      <c r="G3421" t="s">
        <v>25</v>
      </c>
      <c r="H3421" t="s">
        <v>26</v>
      </c>
      <c r="I3421" t="s">
        <v>57</v>
      </c>
    </row>
    <row r="3422" spans="1:9" x14ac:dyDescent="0.2">
      <c r="A3422" s="3">
        <v>42592</v>
      </c>
      <c r="B3422" t="s">
        <v>23</v>
      </c>
      <c r="C3422">
        <v>503</v>
      </c>
      <c r="D3422">
        <v>8</v>
      </c>
      <c r="E3422">
        <v>1</v>
      </c>
      <c r="F3422" t="s">
        <v>24</v>
      </c>
      <c r="G3422" t="s">
        <v>25</v>
      </c>
      <c r="H3422" t="s">
        <v>26</v>
      </c>
      <c r="I3422" t="s">
        <v>57</v>
      </c>
    </row>
    <row r="3423" spans="1:9" x14ac:dyDescent="0.2">
      <c r="A3423" s="3">
        <v>42592</v>
      </c>
      <c r="B3423" t="s">
        <v>23</v>
      </c>
      <c r="C3423">
        <v>503</v>
      </c>
      <c r="D3423">
        <v>10</v>
      </c>
      <c r="E3423">
        <v>1</v>
      </c>
      <c r="F3423" t="s">
        <v>24</v>
      </c>
      <c r="G3423" t="s">
        <v>25</v>
      </c>
      <c r="H3423" t="s">
        <v>26</v>
      </c>
      <c r="I3423" t="s">
        <v>57</v>
      </c>
    </row>
    <row r="3424" spans="1:9" x14ac:dyDescent="0.2">
      <c r="A3424" s="3">
        <v>42592</v>
      </c>
      <c r="B3424" t="s">
        <v>23</v>
      </c>
      <c r="C3424">
        <v>303</v>
      </c>
      <c r="D3424">
        <v>2</v>
      </c>
      <c r="E3424">
        <v>2</v>
      </c>
      <c r="F3424" t="s">
        <v>24</v>
      </c>
      <c r="G3424" t="s">
        <v>25</v>
      </c>
      <c r="H3424" t="s">
        <v>26</v>
      </c>
      <c r="I3424" t="s">
        <v>57</v>
      </c>
    </row>
    <row r="3425" spans="1:9" x14ac:dyDescent="0.2">
      <c r="A3425" s="3">
        <v>42592</v>
      </c>
      <c r="B3425" t="s">
        <v>23</v>
      </c>
      <c r="C3425">
        <v>303</v>
      </c>
      <c r="D3425">
        <v>3</v>
      </c>
      <c r="E3425">
        <v>1</v>
      </c>
      <c r="F3425" t="s">
        <v>24</v>
      </c>
      <c r="G3425" t="s">
        <v>25</v>
      </c>
      <c r="H3425" t="s">
        <v>26</v>
      </c>
      <c r="I3425" t="s">
        <v>57</v>
      </c>
    </row>
    <row r="3426" spans="1:9" x14ac:dyDescent="0.2">
      <c r="A3426" s="3">
        <v>42592</v>
      </c>
      <c r="B3426" t="s">
        <v>23</v>
      </c>
      <c r="C3426">
        <v>303</v>
      </c>
      <c r="D3426">
        <v>5</v>
      </c>
      <c r="E3426">
        <v>2</v>
      </c>
      <c r="F3426" t="s">
        <v>24</v>
      </c>
      <c r="G3426" t="s">
        <v>25</v>
      </c>
      <c r="H3426" t="s">
        <v>26</v>
      </c>
      <c r="I3426" t="s">
        <v>57</v>
      </c>
    </row>
    <row r="3427" spans="1:9" x14ac:dyDescent="0.2">
      <c r="A3427" s="3">
        <v>42592</v>
      </c>
      <c r="B3427" t="s">
        <v>23</v>
      </c>
      <c r="C3427">
        <v>303</v>
      </c>
      <c r="D3427">
        <v>6</v>
      </c>
      <c r="E3427">
        <v>1</v>
      </c>
      <c r="F3427" t="s">
        <v>24</v>
      </c>
      <c r="G3427" t="s">
        <v>25</v>
      </c>
      <c r="H3427" t="s">
        <v>26</v>
      </c>
      <c r="I3427" t="s">
        <v>57</v>
      </c>
    </row>
    <row r="3428" spans="1:9" x14ac:dyDescent="0.2">
      <c r="A3428" s="3">
        <v>42592</v>
      </c>
      <c r="B3428" t="s">
        <v>23</v>
      </c>
      <c r="C3428">
        <v>303</v>
      </c>
      <c r="D3428">
        <v>6</v>
      </c>
      <c r="E3428">
        <v>2</v>
      </c>
      <c r="F3428" t="s">
        <v>24</v>
      </c>
      <c r="G3428" t="s">
        <v>25</v>
      </c>
      <c r="H3428" t="s">
        <v>26</v>
      </c>
      <c r="I3428" t="s">
        <v>57</v>
      </c>
    </row>
    <row r="3429" spans="1:9" x14ac:dyDescent="0.2">
      <c r="A3429" s="3">
        <v>42592</v>
      </c>
      <c r="B3429" t="s">
        <v>23</v>
      </c>
      <c r="C3429">
        <v>303</v>
      </c>
      <c r="D3429">
        <v>9</v>
      </c>
      <c r="E3429">
        <v>1</v>
      </c>
      <c r="F3429" t="s">
        <v>24</v>
      </c>
      <c r="G3429" t="s">
        <v>25</v>
      </c>
      <c r="H3429" t="s">
        <v>26</v>
      </c>
      <c r="I3429" t="s">
        <v>57</v>
      </c>
    </row>
    <row r="3430" spans="1:9" x14ac:dyDescent="0.2">
      <c r="A3430" s="3">
        <v>42592</v>
      </c>
      <c r="B3430" t="s">
        <v>23</v>
      </c>
      <c r="C3430">
        <v>401</v>
      </c>
      <c r="D3430">
        <v>7</v>
      </c>
      <c r="E3430">
        <v>1</v>
      </c>
      <c r="F3430" t="s">
        <v>24</v>
      </c>
      <c r="G3430" t="s">
        <v>25</v>
      </c>
      <c r="H3430" t="s">
        <v>26</v>
      </c>
      <c r="I3430" t="s">
        <v>57</v>
      </c>
    </row>
    <row r="3431" spans="1:9" x14ac:dyDescent="0.2">
      <c r="A3431" s="3">
        <v>42592</v>
      </c>
      <c r="B3431" t="s">
        <v>23</v>
      </c>
      <c r="C3431">
        <v>401</v>
      </c>
      <c r="D3431">
        <v>8</v>
      </c>
      <c r="E3431">
        <v>1</v>
      </c>
      <c r="F3431" t="s">
        <v>24</v>
      </c>
      <c r="G3431" t="s">
        <v>25</v>
      </c>
      <c r="H3431" t="s">
        <v>26</v>
      </c>
      <c r="I3431" t="s">
        <v>57</v>
      </c>
    </row>
    <row r="3432" spans="1:9" x14ac:dyDescent="0.2">
      <c r="A3432" s="3">
        <v>42592</v>
      </c>
      <c r="B3432" t="s">
        <v>23</v>
      </c>
      <c r="C3432">
        <v>401</v>
      </c>
      <c r="D3432">
        <v>8</v>
      </c>
      <c r="E3432">
        <v>2</v>
      </c>
      <c r="F3432" t="s">
        <v>24</v>
      </c>
      <c r="G3432" t="s">
        <v>25</v>
      </c>
      <c r="H3432" t="s">
        <v>26</v>
      </c>
      <c r="I3432" t="s">
        <v>57</v>
      </c>
    </row>
    <row r="3433" spans="1:9" x14ac:dyDescent="0.2">
      <c r="A3433" s="3">
        <v>42593</v>
      </c>
      <c r="B3433" t="s">
        <v>23</v>
      </c>
      <c r="C3433">
        <v>501</v>
      </c>
      <c r="D3433">
        <v>1</v>
      </c>
      <c r="E3433">
        <v>1</v>
      </c>
      <c r="F3433" t="s">
        <v>24</v>
      </c>
      <c r="G3433" t="s">
        <v>25</v>
      </c>
      <c r="H3433" t="s">
        <v>26</v>
      </c>
      <c r="I3433" t="s">
        <v>57</v>
      </c>
    </row>
    <row r="3434" spans="1:9" x14ac:dyDescent="0.2">
      <c r="A3434" s="3">
        <v>42593</v>
      </c>
      <c r="B3434" t="s">
        <v>23</v>
      </c>
      <c r="C3434">
        <v>501</v>
      </c>
      <c r="D3434">
        <v>2</v>
      </c>
      <c r="E3434">
        <v>1</v>
      </c>
      <c r="F3434" t="s">
        <v>24</v>
      </c>
      <c r="G3434" t="s">
        <v>25</v>
      </c>
      <c r="H3434" t="s">
        <v>26</v>
      </c>
      <c r="I3434" t="s">
        <v>57</v>
      </c>
    </row>
    <row r="3435" spans="1:9" x14ac:dyDescent="0.2">
      <c r="A3435" s="3">
        <v>42593</v>
      </c>
      <c r="B3435" t="s">
        <v>23</v>
      </c>
      <c r="C3435">
        <v>501</v>
      </c>
      <c r="D3435">
        <v>2</v>
      </c>
      <c r="E3435">
        <v>2</v>
      </c>
      <c r="F3435" t="s">
        <v>24</v>
      </c>
      <c r="G3435" t="s">
        <v>25</v>
      </c>
      <c r="H3435" t="s">
        <v>26</v>
      </c>
      <c r="I3435" t="s">
        <v>57</v>
      </c>
    </row>
    <row r="3436" spans="1:9" x14ac:dyDescent="0.2">
      <c r="A3436" s="3">
        <v>42593</v>
      </c>
      <c r="B3436" t="s">
        <v>23</v>
      </c>
      <c r="C3436">
        <v>501</v>
      </c>
      <c r="D3436">
        <v>4</v>
      </c>
      <c r="E3436">
        <v>1</v>
      </c>
      <c r="F3436" t="s">
        <v>24</v>
      </c>
      <c r="G3436" t="s">
        <v>25</v>
      </c>
      <c r="H3436" t="s">
        <v>26</v>
      </c>
      <c r="I3436" t="s">
        <v>57</v>
      </c>
    </row>
    <row r="3437" spans="1:9" x14ac:dyDescent="0.2">
      <c r="A3437" s="3">
        <v>42593</v>
      </c>
      <c r="B3437" t="s">
        <v>23</v>
      </c>
      <c r="C3437">
        <v>501</v>
      </c>
      <c r="D3437">
        <v>6</v>
      </c>
      <c r="E3437">
        <v>1</v>
      </c>
      <c r="F3437" t="s">
        <v>24</v>
      </c>
      <c r="G3437" t="s">
        <v>25</v>
      </c>
      <c r="H3437" t="s">
        <v>26</v>
      </c>
      <c r="I3437" t="s">
        <v>57</v>
      </c>
    </row>
    <row r="3438" spans="1:9" x14ac:dyDescent="0.2">
      <c r="A3438" s="3">
        <v>42593</v>
      </c>
      <c r="B3438" t="s">
        <v>23</v>
      </c>
      <c r="C3438">
        <v>501</v>
      </c>
      <c r="D3438">
        <v>10</v>
      </c>
      <c r="E3438">
        <v>1</v>
      </c>
      <c r="F3438" t="s">
        <v>24</v>
      </c>
      <c r="G3438" t="s">
        <v>25</v>
      </c>
      <c r="H3438" t="s">
        <v>26</v>
      </c>
      <c r="I3438" t="s">
        <v>57</v>
      </c>
    </row>
    <row r="3439" spans="1:9" x14ac:dyDescent="0.2">
      <c r="A3439" s="3">
        <v>42593</v>
      </c>
      <c r="B3439" t="s">
        <v>23</v>
      </c>
      <c r="C3439">
        <v>503</v>
      </c>
      <c r="D3439">
        <v>3</v>
      </c>
      <c r="E3439">
        <v>1</v>
      </c>
      <c r="F3439" t="s">
        <v>24</v>
      </c>
      <c r="G3439" t="s">
        <v>25</v>
      </c>
      <c r="H3439" t="s">
        <v>26</v>
      </c>
      <c r="I3439" t="s">
        <v>57</v>
      </c>
    </row>
    <row r="3440" spans="1:9" x14ac:dyDescent="0.2">
      <c r="A3440" s="3">
        <v>42593</v>
      </c>
      <c r="B3440" t="s">
        <v>23</v>
      </c>
      <c r="C3440">
        <v>503</v>
      </c>
      <c r="D3440">
        <v>5</v>
      </c>
      <c r="E3440">
        <v>1</v>
      </c>
      <c r="F3440" t="s">
        <v>24</v>
      </c>
      <c r="G3440" t="s">
        <v>25</v>
      </c>
      <c r="H3440" t="s">
        <v>26</v>
      </c>
      <c r="I3440" t="s">
        <v>57</v>
      </c>
    </row>
    <row r="3441" spans="1:9" x14ac:dyDescent="0.2">
      <c r="A3441" s="3">
        <v>42593</v>
      </c>
      <c r="B3441" t="s">
        <v>23</v>
      </c>
      <c r="C3441">
        <v>503</v>
      </c>
      <c r="D3441">
        <v>5</v>
      </c>
      <c r="E3441">
        <v>2</v>
      </c>
      <c r="F3441" t="s">
        <v>24</v>
      </c>
      <c r="G3441" t="s">
        <v>25</v>
      </c>
      <c r="H3441" t="s">
        <v>26</v>
      </c>
      <c r="I3441" t="s">
        <v>57</v>
      </c>
    </row>
    <row r="3442" spans="1:9" x14ac:dyDescent="0.2">
      <c r="A3442" s="3">
        <v>42593</v>
      </c>
      <c r="B3442" t="s">
        <v>23</v>
      </c>
      <c r="C3442">
        <v>503</v>
      </c>
      <c r="D3442">
        <v>6</v>
      </c>
      <c r="E3442">
        <v>1</v>
      </c>
      <c r="F3442" t="s">
        <v>24</v>
      </c>
      <c r="G3442" t="s">
        <v>25</v>
      </c>
      <c r="H3442" t="s">
        <v>26</v>
      </c>
      <c r="I3442" t="s">
        <v>57</v>
      </c>
    </row>
    <row r="3443" spans="1:9" x14ac:dyDescent="0.2">
      <c r="A3443" s="3">
        <v>42593</v>
      </c>
      <c r="B3443" t="s">
        <v>23</v>
      </c>
      <c r="C3443">
        <v>503</v>
      </c>
      <c r="D3443">
        <v>10</v>
      </c>
      <c r="E3443">
        <v>1</v>
      </c>
      <c r="F3443" t="s">
        <v>24</v>
      </c>
      <c r="G3443" t="s">
        <v>25</v>
      </c>
      <c r="H3443" t="s">
        <v>26</v>
      </c>
      <c r="I3443" t="s">
        <v>57</v>
      </c>
    </row>
    <row r="3444" spans="1:9" x14ac:dyDescent="0.2">
      <c r="A3444" s="3">
        <v>42593</v>
      </c>
      <c r="B3444" t="s">
        <v>23</v>
      </c>
      <c r="C3444">
        <v>303</v>
      </c>
      <c r="D3444">
        <v>3</v>
      </c>
      <c r="E3444">
        <v>1</v>
      </c>
      <c r="F3444" t="s">
        <v>24</v>
      </c>
      <c r="G3444" t="s">
        <v>25</v>
      </c>
      <c r="H3444" t="s">
        <v>26</v>
      </c>
      <c r="I3444" t="s">
        <v>57</v>
      </c>
    </row>
    <row r="3445" spans="1:9" x14ac:dyDescent="0.2">
      <c r="A3445" s="3">
        <v>42593</v>
      </c>
      <c r="B3445" t="s">
        <v>23</v>
      </c>
      <c r="C3445">
        <v>303</v>
      </c>
      <c r="D3445">
        <v>8</v>
      </c>
      <c r="E3445">
        <v>1</v>
      </c>
      <c r="F3445" t="s">
        <v>24</v>
      </c>
      <c r="G3445" t="s">
        <v>25</v>
      </c>
      <c r="H3445" t="s">
        <v>26</v>
      </c>
      <c r="I3445" t="s">
        <v>57</v>
      </c>
    </row>
    <row r="3446" spans="1:9" x14ac:dyDescent="0.2">
      <c r="A3446" s="3">
        <v>42593</v>
      </c>
      <c r="B3446" t="s">
        <v>23</v>
      </c>
      <c r="C3446">
        <v>303</v>
      </c>
      <c r="D3446">
        <v>8</v>
      </c>
      <c r="E3446">
        <v>2</v>
      </c>
      <c r="F3446" t="s">
        <v>24</v>
      </c>
      <c r="G3446" t="s">
        <v>25</v>
      </c>
      <c r="H3446" t="s">
        <v>26</v>
      </c>
      <c r="I3446" t="s">
        <v>57</v>
      </c>
    </row>
    <row r="3447" spans="1:9" x14ac:dyDescent="0.2">
      <c r="A3447" s="3">
        <v>42593</v>
      </c>
      <c r="B3447" t="s">
        <v>23</v>
      </c>
      <c r="C3447">
        <v>303</v>
      </c>
      <c r="D3447">
        <v>9</v>
      </c>
      <c r="E3447">
        <v>1</v>
      </c>
      <c r="F3447" t="s">
        <v>24</v>
      </c>
      <c r="G3447" t="s">
        <v>25</v>
      </c>
      <c r="H3447" t="s">
        <v>26</v>
      </c>
      <c r="I3447" t="s">
        <v>57</v>
      </c>
    </row>
    <row r="3448" spans="1:9" x14ac:dyDescent="0.2">
      <c r="A3448" s="3">
        <v>42593</v>
      </c>
      <c r="B3448" t="s">
        <v>23</v>
      </c>
      <c r="C3448">
        <v>303</v>
      </c>
      <c r="D3448">
        <v>9</v>
      </c>
      <c r="E3448">
        <v>2</v>
      </c>
      <c r="F3448" t="s">
        <v>24</v>
      </c>
      <c r="G3448" t="s">
        <v>25</v>
      </c>
      <c r="H3448" t="s">
        <v>26</v>
      </c>
      <c r="I3448" t="s">
        <v>57</v>
      </c>
    </row>
    <row r="3449" spans="1:9" x14ac:dyDescent="0.2">
      <c r="A3449" s="3">
        <v>42593</v>
      </c>
      <c r="B3449" t="s">
        <v>23</v>
      </c>
      <c r="C3449">
        <v>401</v>
      </c>
      <c r="D3449">
        <v>1</v>
      </c>
      <c r="E3449">
        <v>1</v>
      </c>
      <c r="F3449" t="s">
        <v>24</v>
      </c>
      <c r="G3449" t="s">
        <v>25</v>
      </c>
      <c r="H3449" t="s">
        <v>26</v>
      </c>
      <c r="I3449" t="s">
        <v>57</v>
      </c>
    </row>
    <row r="3450" spans="1:9" x14ac:dyDescent="0.2">
      <c r="A3450" s="3">
        <v>42593</v>
      </c>
      <c r="B3450" t="s">
        <v>23</v>
      </c>
      <c r="C3450">
        <v>401</v>
      </c>
      <c r="D3450">
        <v>1</v>
      </c>
      <c r="E3450">
        <v>2</v>
      </c>
      <c r="F3450" t="s">
        <v>24</v>
      </c>
      <c r="G3450" t="s">
        <v>25</v>
      </c>
      <c r="H3450" t="s">
        <v>26</v>
      </c>
      <c r="I3450" t="s">
        <v>57</v>
      </c>
    </row>
    <row r="3451" spans="1:9" x14ac:dyDescent="0.2">
      <c r="A3451" s="3">
        <v>42593</v>
      </c>
      <c r="B3451" t="s">
        <v>23</v>
      </c>
      <c r="C3451">
        <v>401</v>
      </c>
      <c r="D3451">
        <v>2</v>
      </c>
      <c r="E3451">
        <v>1</v>
      </c>
      <c r="F3451" t="s">
        <v>24</v>
      </c>
      <c r="G3451" t="s">
        <v>25</v>
      </c>
      <c r="H3451" t="s">
        <v>26</v>
      </c>
      <c r="I3451" t="s">
        <v>57</v>
      </c>
    </row>
    <row r="3452" spans="1:9" x14ac:dyDescent="0.2">
      <c r="A3452" s="3">
        <v>42593</v>
      </c>
      <c r="B3452" t="s">
        <v>23</v>
      </c>
      <c r="C3452">
        <v>401</v>
      </c>
      <c r="D3452">
        <v>4</v>
      </c>
      <c r="E3452">
        <v>1</v>
      </c>
      <c r="F3452" t="s">
        <v>24</v>
      </c>
      <c r="G3452" t="s">
        <v>25</v>
      </c>
      <c r="H3452" t="s">
        <v>26</v>
      </c>
      <c r="I3452" t="s">
        <v>57</v>
      </c>
    </row>
    <row r="3453" spans="1:9" x14ac:dyDescent="0.2">
      <c r="A3453" s="3">
        <v>42593</v>
      </c>
      <c r="B3453" t="s">
        <v>23</v>
      </c>
      <c r="C3453">
        <v>401</v>
      </c>
      <c r="D3453">
        <v>7</v>
      </c>
      <c r="E3453">
        <v>1</v>
      </c>
      <c r="F3453" t="s">
        <v>24</v>
      </c>
      <c r="G3453" t="s">
        <v>25</v>
      </c>
      <c r="H3453" t="s">
        <v>26</v>
      </c>
      <c r="I3453" t="s">
        <v>57</v>
      </c>
    </row>
    <row r="3454" spans="1:9" x14ac:dyDescent="0.2">
      <c r="A3454" s="3">
        <v>42593</v>
      </c>
      <c r="B3454" t="s">
        <v>23</v>
      </c>
      <c r="C3454">
        <v>401</v>
      </c>
      <c r="D3454">
        <v>9</v>
      </c>
      <c r="E3454">
        <v>1</v>
      </c>
      <c r="F3454" t="s">
        <v>24</v>
      </c>
      <c r="G3454" t="s">
        <v>25</v>
      </c>
      <c r="H3454" t="s">
        <v>26</v>
      </c>
      <c r="I3454" t="s">
        <v>57</v>
      </c>
    </row>
    <row r="3455" spans="1:9" x14ac:dyDescent="0.2">
      <c r="A3455" s="3">
        <v>42593</v>
      </c>
      <c r="B3455" t="s">
        <v>23</v>
      </c>
      <c r="C3455">
        <v>401</v>
      </c>
      <c r="D3455">
        <v>10</v>
      </c>
      <c r="E3455">
        <v>1</v>
      </c>
      <c r="F3455" t="s">
        <v>24</v>
      </c>
      <c r="G3455" t="s">
        <v>25</v>
      </c>
      <c r="H3455" t="s">
        <v>26</v>
      </c>
      <c r="I3455" t="s">
        <v>57</v>
      </c>
    </row>
    <row r="3456" spans="1:9" x14ac:dyDescent="0.2">
      <c r="A3456" s="3">
        <v>42593</v>
      </c>
      <c r="B3456" t="s">
        <v>23</v>
      </c>
      <c r="C3456">
        <v>703</v>
      </c>
      <c r="D3456">
        <v>2</v>
      </c>
      <c r="E3456">
        <v>1</v>
      </c>
      <c r="F3456" t="s">
        <v>64</v>
      </c>
      <c r="G3456" t="s">
        <v>25</v>
      </c>
      <c r="H3456" t="s">
        <v>26</v>
      </c>
      <c r="I3456" t="s">
        <v>57</v>
      </c>
    </row>
    <row r="3457" spans="1:9" x14ac:dyDescent="0.2">
      <c r="A3457" s="3">
        <v>42593</v>
      </c>
      <c r="B3457" t="s">
        <v>23</v>
      </c>
      <c r="C3457">
        <v>703</v>
      </c>
      <c r="D3457">
        <v>2</v>
      </c>
      <c r="E3457">
        <v>2</v>
      </c>
      <c r="F3457" t="s">
        <v>64</v>
      </c>
      <c r="G3457" t="s">
        <v>25</v>
      </c>
      <c r="H3457" t="s">
        <v>26</v>
      </c>
      <c r="I3457" t="s">
        <v>57</v>
      </c>
    </row>
    <row r="3458" spans="1:9" x14ac:dyDescent="0.2">
      <c r="A3458" s="3">
        <v>42593</v>
      </c>
      <c r="B3458" t="s">
        <v>23</v>
      </c>
      <c r="C3458">
        <v>703</v>
      </c>
      <c r="D3458">
        <v>4</v>
      </c>
      <c r="E3458">
        <v>2</v>
      </c>
      <c r="F3458" t="s">
        <v>64</v>
      </c>
      <c r="G3458" t="s">
        <v>25</v>
      </c>
      <c r="H3458" t="s">
        <v>26</v>
      </c>
      <c r="I3458" t="s">
        <v>57</v>
      </c>
    </row>
    <row r="3459" spans="1:9" x14ac:dyDescent="0.2">
      <c r="A3459" s="3">
        <v>42593</v>
      </c>
      <c r="B3459" t="s">
        <v>23</v>
      </c>
      <c r="C3459">
        <v>703</v>
      </c>
      <c r="D3459">
        <v>7</v>
      </c>
      <c r="E3459">
        <v>1</v>
      </c>
      <c r="F3459" t="s">
        <v>64</v>
      </c>
      <c r="G3459" t="s">
        <v>25</v>
      </c>
      <c r="H3459" t="s">
        <v>26</v>
      </c>
      <c r="I3459" t="s">
        <v>57</v>
      </c>
    </row>
    <row r="3460" spans="1:9" x14ac:dyDescent="0.2">
      <c r="A3460" s="3">
        <v>42593</v>
      </c>
      <c r="B3460" t="s">
        <v>23</v>
      </c>
      <c r="C3460">
        <v>703</v>
      </c>
      <c r="D3460">
        <v>8</v>
      </c>
      <c r="E3460">
        <v>1</v>
      </c>
      <c r="F3460" t="s">
        <v>64</v>
      </c>
      <c r="G3460" t="s">
        <v>25</v>
      </c>
      <c r="H3460" t="s">
        <v>26</v>
      </c>
      <c r="I3460" t="s">
        <v>57</v>
      </c>
    </row>
    <row r="3461" spans="1:9" x14ac:dyDescent="0.2">
      <c r="A3461" s="3">
        <v>42593</v>
      </c>
      <c r="B3461" t="s">
        <v>23</v>
      </c>
      <c r="C3461">
        <v>703</v>
      </c>
      <c r="D3461">
        <v>9</v>
      </c>
      <c r="E3461">
        <v>1</v>
      </c>
      <c r="F3461" t="s">
        <v>64</v>
      </c>
      <c r="G3461" t="s">
        <v>25</v>
      </c>
      <c r="H3461" t="s">
        <v>26</v>
      </c>
      <c r="I3461" t="s">
        <v>57</v>
      </c>
    </row>
    <row r="3462" spans="1:9" x14ac:dyDescent="0.2">
      <c r="A3462" s="3">
        <v>42593</v>
      </c>
      <c r="B3462" t="s">
        <v>23</v>
      </c>
      <c r="C3462">
        <v>703</v>
      </c>
      <c r="D3462">
        <v>9</v>
      </c>
      <c r="E3462">
        <v>2</v>
      </c>
      <c r="F3462" t="s">
        <v>64</v>
      </c>
      <c r="G3462" t="s">
        <v>25</v>
      </c>
      <c r="H3462" t="s">
        <v>26</v>
      </c>
      <c r="I3462" t="s">
        <v>57</v>
      </c>
    </row>
    <row r="3463" spans="1:9" x14ac:dyDescent="0.2">
      <c r="A3463" s="3">
        <v>42593</v>
      </c>
      <c r="B3463" t="s">
        <v>23</v>
      </c>
      <c r="C3463">
        <v>703</v>
      </c>
      <c r="D3463">
        <v>10</v>
      </c>
      <c r="E3463">
        <v>1</v>
      </c>
      <c r="F3463" t="s">
        <v>64</v>
      </c>
      <c r="G3463" t="s">
        <v>25</v>
      </c>
      <c r="H3463" t="s">
        <v>26</v>
      </c>
      <c r="I3463" t="s">
        <v>57</v>
      </c>
    </row>
    <row r="3464" spans="1:9" x14ac:dyDescent="0.2">
      <c r="A3464" s="3">
        <v>42593</v>
      </c>
      <c r="B3464" t="s">
        <v>23</v>
      </c>
      <c r="C3464">
        <v>701</v>
      </c>
      <c r="D3464">
        <v>1</v>
      </c>
      <c r="E3464">
        <v>2</v>
      </c>
      <c r="F3464" t="s">
        <v>64</v>
      </c>
      <c r="G3464" t="s">
        <v>25</v>
      </c>
      <c r="H3464" t="s">
        <v>26</v>
      </c>
      <c r="I3464" t="s">
        <v>57</v>
      </c>
    </row>
    <row r="3465" spans="1:9" x14ac:dyDescent="0.2">
      <c r="A3465" s="3">
        <v>42593</v>
      </c>
      <c r="B3465" t="s">
        <v>23</v>
      </c>
      <c r="C3465">
        <v>701</v>
      </c>
      <c r="D3465">
        <v>4</v>
      </c>
      <c r="E3465">
        <v>2</v>
      </c>
      <c r="F3465" t="s">
        <v>64</v>
      </c>
      <c r="G3465" t="s">
        <v>25</v>
      </c>
      <c r="H3465" t="s">
        <v>26</v>
      </c>
      <c r="I3465" t="s">
        <v>57</v>
      </c>
    </row>
    <row r="3466" spans="1:9" x14ac:dyDescent="0.2">
      <c r="A3466" s="3">
        <v>42593</v>
      </c>
      <c r="B3466" t="s">
        <v>23</v>
      </c>
      <c r="C3466">
        <v>701</v>
      </c>
      <c r="D3466">
        <v>7</v>
      </c>
      <c r="E3466">
        <v>1</v>
      </c>
      <c r="F3466" t="s">
        <v>64</v>
      </c>
      <c r="G3466" t="s">
        <v>25</v>
      </c>
      <c r="H3466" t="s">
        <v>26</v>
      </c>
      <c r="I3466" t="s">
        <v>57</v>
      </c>
    </row>
    <row r="3467" spans="1:9" x14ac:dyDescent="0.2">
      <c r="A3467" s="3">
        <v>42593</v>
      </c>
      <c r="B3467" t="s">
        <v>23</v>
      </c>
      <c r="C3467">
        <v>701</v>
      </c>
      <c r="D3467">
        <v>8</v>
      </c>
      <c r="E3467">
        <v>1</v>
      </c>
      <c r="F3467" t="s">
        <v>64</v>
      </c>
      <c r="G3467" t="s">
        <v>25</v>
      </c>
      <c r="H3467" t="s">
        <v>26</v>
      </c>
      <c r="I3467" t="s">
        <v>57</v>
      </c>
    </row>
    <row r="3468" spans="1:9" x14ac:dyDescent="0.2">
      <c r="A3468" s="3">
        <v>42593</v>
      </c>
      <c r="B3468" t="s">
        <v>23</v>
      </c>
      <c r="C3468">
        <v>701</v>
      </c>
      <c r="D3468">
        <v>8</v>
      </c>
      <c r="E3468">
        <v>2</v>
      </c>
      <c r="F3468" t="s">
        <v>64</v>
      </c>
      <c r="G3468" t="s">
        <v>25</v>
      </c>
      <c r="H3468" t="s">
        <v>26</v>
      </c>
      <c r="I3468" t="s">
        <v>57</v>
      </c>
    </row>
    <row r="3469" spans="1:9" x14ac:dyDescent="0.2">
      <c r="A3469" s="3">
        <v>42593</v>
      </c>
      <c r="B3469" t="s">
        <v>23</v>
      </c>
      <c r="C3469">
        <v>801</v>
      </c>
      <c r="D3469">
        <v>6</v>
      </c>
      <c r="E3469">
        <v>2</v>
      </c>
      <c r="F3469" t="s">
        <v>64</v>
      </c>
      <c r="G3469" t="s">
        <v>25</v>
      </c>
      <c r="H3469" t="s">
        <v>26</v>
      </c>
      <c r="I3469" t="s">
        <v>57</v>
      </c>
    </row>
    <row r="3470" spans="1:9" x14ac:dyDescent="0.2">
      <c r="A3470" s="3">
        <v>42593</v>
      </c>
      <c r="B3470" t="s">
        <v>23</v>
      </c>
      <c r="C3470">
        <v>803</v>
      </c>
      <c r="D3470">
        <v>10</v>
      </c>
      <c r="E3470">
        <v>1</v>
      </c>
      <c r="F3470" t="s">
        <v>64</v>
      </c>
      <c r="G3470" t="s">
        <v>25</v>
      </c>
      <c r="H3470" t="s">
        <v>26</v>
      </c>
      <c r="I3470" t="s">
        <v>57</v>
      </c>
    </row>
    <row r="3471" spans="1:9" x14ac:dyDescent="0.2">
      <c r="A3471" s="3">
        <v>42593</v>
      </c>
      <c r="B3471" t="s">
        <v>23</v>
      </c>
      <c r="C3471">
        <v>803</v>
      </c>
      <c r="D3471">
        <v>9</v>
      </c>
      <c r="E3471">
        <v>2</v>
      </c>
      <c r="F3471" t="s">
        <v>64</v>
      </c>
      <c r="G3471" t="s">
        <v>25</v>
      </c>
      <c r="H3471" t="s">
        <v>26</v>
      </c>
      <c r="I3471" t="s">
        <v>57</v>
      </c>
    </row>
    <row r="3472" spans="1:9" x14ac:dyDescent="0.2">
      <c r="A3472" s="3">
        <v>42593</v>
      </c>
      <c r="B3472" t="s">
        <v>23</v>
      </c>
      <c r="C3472">
        <v>803</v>
      </c>
      <c r="D3472">
        <v>8</v>
      </c>
      <c r="E3472">
        <v>1</v>
      </c>
      <c r="F3472" t="s">
        <v>64</v>
      </c>
      <c r="G3472" t="s">
        <v>25</v>
      </c>
      <c r="H3472" t="s">
        <v>26</v>
      </c>
      <c r="I3472" t="s">
        <v>57</v>
      </c>
    </row>
    <row r="3473" spans="1:9" x14ac:dyDescent="0.2">
      <c r="A3473" s="3">
        <v>42593</v>
      </c>
      <c r="B3473" t="s">
        <v>23</v>
      </c>
      <c r="C3473">
        <v>803</v>
      </c>
      <c r="D3473">
        <v>7</v>
      </c>
      <c r="E3473">
        <v>2</v>
      </c>
      <c r="F3473" t="s">
        <v>64</v>
      </c>
      <c r="G3473" t="s">
        <v>25</v>
      </c>
      <c r="H3473" t="s">
        <v>26</v>
      </c>
      <c r="I3473" t="s">
        <v>57</v>
      </c>
    </row>
    <row r="3474" spans="1:9" x14ac:dyDescent="0.2">
      <c r="A3474" s="3">
        <v>42593</v>
      </c>
      <c r="B3474" t="s">
        <v>23</v>
      </c>
      <c r="C3474">
        <v>803</v>
      </c>
      <c r="D3474">
        <v>5</v>
      </c>
      <c r="E3474">
        <v>1</v>
      </c>
      <c r="F3474" t="s">
        <v>64</v>
      </c>
      <c r="G3474" t="s">
        <v>25</v>
      </c>
      <c r="H3474" t="s">
        <v>26</v>
      </c>
      <c r="I3474" t="s">
        <v>57</v>
      </c>
    </row>
    <row r="3475" spans="1:9" x14ac:dyDescent="0.2">
      <c r="A3475" s="3">
        <v>42593</v>
      </c>
      <c r="B3475" t="s">
        <v>23</v>
      </c>
      <c r="C3475">
        <v>803</v>
      </c>
      <c r="D3475">
        <v>5</v>
      </c>
      <c r="E3475">
        <v>2</v>
      </c>
      <c r="F3475" t="s">
        <v>64</v>
      </c>
      <c r="G3475" t="s">
        <v>25</v>
      </c>
      <c r="H3475" t="s">
        <v>26</v>
      </c>
      <c r="I3475" t="s">
        <v>57</v>
      </c>
    </row>
    <row r="3476" spans="1:9" x14ac:dyDescent="0.2">
      <c r="A3476" s="3">
        <v>42593</v>
      </c>
      <c r="B3476" t="s">
        <v>23</v>
      </c>
      <c r="C3476">
        <v>803</v>
      </c>
      <c r="D3476">
        <v>4</v>
      </c>
      <c r="E3476">
        <v>1</v>
      </c>
      <c r="F3476" t="s">
        <v>64</v>
      </c>
      <c r="G3476" t="s">
        <v>25</v>
      </c>
      <c r="H3476" t="s">
        <v>26</v>
      </c>
      <c r="I3476" t="s">
        <v>57</v>
      </c>
    </row>
    <row r="3477" spans="1:9" x14ac:dyDescent="0.2">
      <c r="A3477" s="3">
        <v>42593</v>
      </c>
      <c r="B3477" t="s">
        <v>23</v>
      </c>
      <c r="C3477">
        <v>803</v>
      </c>
      <c r="D3477">
        <v>2</v>
      </c>
      <c r="E3477">
        <v>1</v>
      </c>
      <c r="F3477" t="s">
        <v>64</v>
      </c>
      <c r="G3477" t="s">
        <v>25</v>
      </c>
      <c r="H3477" t="s">
        <v>26</v>
      </c>
      <c r="I3477" t="s">
        <v>57</v>
      </c>
    </row>
    <row r="3478" spans="1:9" x14ac:dyDescent="0.2">
      <c r="A3478" s="3">
        <v>42593</v>
      </c>
      <c r="B3478" t="s">
        <v>23</v>
      </c>
      <c r="C3478">
        <v>803</v>
      </c>
      <c r="D3478">
        <v>1</v>
      </c>
      <c r="E3478">
        <v>1</v>
      </c>
      <c r="F3478" t="s">
        <v>64</v>
      </c>
      <c r="G3478" t="s">
        <v>25</v>
      </c>
      <c r="H3478" t="s">
        <v>26</v>
      </c>
      <c r="I3478" t="s">
        <v>57</v>
      </c>
    </row>
    <row r="3479" spans="1:9" x14ac:dyDescent="0.2">
      <c r="A3479" s="3">
        <v>42593</v>
      </c>
      <c r="B3479" t="s">
        <v>23</v>
      </c>
      <c r="C3479">
        <v>803</v>
      </c>
      <c r="D3479">
        <v>1</v>
      </c>
      <c r="E3479">
        <v>2</v>
      </c>
      <c r="F3479" t="s">
        <v>64</v>
      </c>
      <c r="G3479" t="s">
        <v>25</v>
      </c>
      <c r="H3479" t="s">
        <v>26</v>
      </c>
      <c r="I3479" t="s">
        <v>57</v>
      </c>
    </row>
    <row r="3480" spans="1:9" x14ac:dyDescent="0.2">
      <c r="A3480" s="3">
        <v>42593</v>
      </c>
      <c r="B3480" t="s">
        <v>23</v>
      </c>
      <c r="C3480">
        <v>901</v>
      </c>
      <c r="D3480">
        <v>6</v>
      </c>
      <c r="E3480">
        <v>1</v>
      </c>
      <c r="F3480" t="s">
        <v>64</v>
      </c>
      <c r="G3480" t="s">
        <v>25</v>
      </c>
      <c r="H3480" t="s">
        <v>26</v>
      </c>
      <c r="I3480" t="s">
        <v>57</v>
      </c>
    </row>
    <row r="3481" spans="1:9" x14ac:dyDescent="0.2">
      <c r="A3481" s="3">
        <v>42598</v>
      </c>
      <c r="B3481" t="s">
        <v>23</v>
      </c>
      <c r="C3481">
        <v>201</v>
      </c>
      <c r="D3481">
        <v>3</v>
      </c>
      <c r="E3481">
        <v>1</v>
      </c>
      <c r="F3481" t="s">
        <v>64</v>
      </c>
      <c r="G3481" t="s">
        <v>25</v>
      </c>
      <c r="H3481" t="s">
        <v>26</v>
      </c>
      <c r="I3481" t="s">
        <v>57</v>
      </c>
    </row>
    <row r="3482" spans="1:9" x14ac:dyDescent="0.2">
      <c r="A3482" s="3">
        <v>42598</v>
      </c>
      <c r="B3482" t="s">
        <v>23</v>
      </c>
      <c r="C3482">
        <v>201</v>
      </c>
      <c r="D3482">
        <v>5</v>
      </c>
      <c r="E3482">
        <v>1</v>
      </c>
      <c r="F3482" t="s">
        <v>64</v>
      </c>
      <c r="G3482" t="s">
        <v>25</v>
      </c>
      <c r="H3482" t="s">
        <v>26</v>
      </c>
      <c r="I3482" t="s">
        <v>57</v>
      </c>
    </row>
    <row r="3483" spans="1:9" x14ac:dyDescent="0.2">
      <c r="A3483" s="3">
        <v>42598</v>
      </c>
      <c r="B3483" t="s">
        <v>23</v>
      </c>
      <c r="C3483">
        <v>201</v>
      </c>
      <c r="D3483">
        <v>5</v>
      </c>
      <c r="E3483">
        <v>2</v>
      </c>
      <c r="F3483" t="s">
        <v>64</v>
      </c>
      <c r="G3483" t="s">
        <v>25</v>
      </c>
      <c r="H3483" t="s">
        <v>26</v>
      </c>
      <c r="I3483" t="s">
        <v>57</v>
      </c>
    </row>
    <row r="3484" spans="1:9" x14ac:dyDescent="0.2">
      <c r="A3484" s="3">
        <v>42598</v>
      </c>
      <c r="B3484" t="s">
        <v>23</v>
      </c>
      <c r="C3484">
        <v>201</v>
      </c>
      <c r="D3484">
        <v>7</v>
      </c>
      <c r="E3484">
        <v>1</v>
      </c>
      <c r="F3484" t="s">
        <v>64</v>
      </c>
      <c r="G3484" t="s">
        <v>25</v>
      </c>
      <c r="H3484" t="s">
        <v>26</v>
      </c>
      <c r="I3484" t="s">
        <v>57</v>
      </c>
    </row>
    <row r="3485" spans="1:9" x14ac:dyDescent="0.2">
      <c r="A3485" s="3">
        <v>42598</v>
      </c>
      <c r="B3485" t="s">
        <v>23</v>
      </c>
      <c r="C3485">
        <v>201</v>
      </c>
      <c r="D3485">
        <v>8</v>
      </c>
      <c r="E3485">
        <v>1</v>
      </c>
      <c r="F3485" t="s">
        <v>64</v>
      </c>
      <c r="G3485" t="s">
        <v>25</v>
      </c>
      <c r="H3485" t="s">
        <v>26</v>
      </c>
      <c r="I3485" t="s">
        <v>57</v>
      </c>
    </row>
    <row r="3486" spans="1:9" x14ac:dyDescent="0.2">
      <c r="A3486" s="3">
        <v>42598</v>
      </c>
      <c r="B3486" t="s">
        <v>23</v>
      </c>
      <c r="C3486">
        <v>201</v>
      </c>
      <c r="D3486">
        <v>8</v>
      </c>
      <c r="E3486">
        <v>2</v>
      </c>
      <c r="F3486" t="s">
        <v>64</v>
      </c>
      <c r="G3486" t="s">
        <v>25</v>
      </c>
      <c r="H3486" t="s">
        <v>26</v>
      </c>
      <c r="I3486" t="s">
        <v>57</v>
      </c>
    </row>
    <row r="3487" spans="1:9" x14ac:dyDescent="0.2">
      <c r="A3487" s="3">
        <v>42598</v>
      </c>
      <c r="B3487" t="s">
        <v>23</v>
      </c>
      <c r="C3487">
        <v>201</v>
      </c>
      <c r="D3487">
        <v>9</v>
      </c>
      <c r="E3487">
        <v>1</v>
      </c>
      <c r="F3487" t="s">
        <v>64</v>
      </c>
      <c r="G3487" t="s">
        <v>25</v>
      </c>
      <c r="H3487" t="s">
        <v>26</v>
      </c>
      <c r="I3487" t="s">
        <v>57</v>
      </c>
    </row>
    <row r="3488" spans="1:9" x14ac:dyDescent="0.2">
      <c r="A3488" s="3">
        <v>42598</v>
      </c>
      <c r="B3488" t="s">
        <v>23</v>
      </c>
      <c r="C3488">
        <v>203</v>
      </c>
      <c r="D3488">
        <v>1</v>
      </c>
      <c r="E3488">
        <v>1</v>
      </c>
      <c r="F3488" t="s">
        <v>64</v>
      </c>
      <c r="G3488" t="s">
        <v>25</v>
      </c>
      <c r="H3488" t="s">
        <v>26</v>
      </c>
      <c r="I3488" t="s">
        <v>57</v>
      </c>
    </row>
    <row r="3489" spans="1:9" x14ac:dyDescent="0.2">
      <c r="A3489" s="3">
        <v>42598</v>
      </c>
      <c r="B3489" t="s">
        <v>23</v>
      </c>
      <c r="C3489">
        <v>203</v>
      </c>
      <c r="D3489">
        <v>1</v>
      </c>
      <c r="E3489">
        <v>2</v>
      </c>
      <c r="F3489" t="s">
        <v>64</v>
      </c>
      <c r="G3489" t="s">
        <v>25</v>
      </c>
      <c r="H3489" t="s">
        <v>26</v>
      </c>
      <c r="I3489" t="s">
        <v>57</v>
      </c>
    </row>
    <row r="3490" spans="1:9" x14ac:dyDescent="0.2">
      <c r="A3490" s="3">
        <v>42598</v>
      </c>
      <c r="B3490" t="s">
        <v>23</v>
      </c>
      <c r="C3490">
        <v>203</v>
      </c>
      <c r="D3490">
        <v>5</v>
      </c>
      <c r="E3490">
        <v>2</v>
      </c>
      <c r="F3490" t="s">
        <v>64</v>
      </c>
      <c r="G3490" t="s">
        <v>25</v>
      </c>
      <c r="H3490" t="s">
        <v>26</v>
      </c>
      <c r="I3490" t="s">
        <v>57</v>
      </c>
    </row>
    <row r="3491" spans="1:9" x14ac:dyDescent="0.2">
      <c r="A3491" s="3">
        <v>42598</v>
      </c>
      <c r="B3491" t="s">
        <v>23</v>
      </c>
      <c r="C3491">
        <v>203</v>
      </c>
      <c r="D3491">
        <v>8</v>
      </c>
      <c r="E3491">
        <v>1</v>
      </c>
      <c r="F3491" t="s">
        <v>64</v>
      </c>
      <c r="G3491" t="s">
        <v>25</v>
      </c>
      <c r="H3491" t="s">
        <v>26</v>
      </c>
      <c r="I3491" t="s">
        <v>57</v>
      </c>
    </row>
    <row r="3492" spans="1:9" x14ac:dyDescent="0.2">
      <c r="A3492" s="3">
        <v>42598</v>
      </c>
      <c r="B3492" t="s">
        <v>23</v>
      </c>
      <c r="C3492">
        <v>203</v>
      </c>
      <c r="D3492">
        <v>9</v>
      </c>
      <c r="E3492">
        <v>1</v>
      </c>
      <c r="F3492" t="s">
        <v>64</v>
      </c>
      <c r="G3492" t="s">
        <v>25</v>
      </c>
      <c r="H3492" t="s">
        <v>26</v>
      </c>
      <c r="I3492" t="s">
        <v>57</v>
      </c>
    </row>
    <row r="3493" spans="1:9" x14ac:dyDescent="0.2">
      <c r="A3493" s="3">
        <v>42598</v>
      </c>
      <c r="B3493" t="s">
        <v>23</v>
      </c>
      <c r="C3493">
        <v>202</v>
      </c>
      <c r="D3493">
        <v>1</v>
      </c>
      <c r="E3493">
        <v>1</v>
      </c>
      <c r="F3493" t="s">
        <v>64</v>
      </c>
      <c r="G3493" t="s">
        <v>25</v>
      </c>
      <c r="H3493" t="s">
        <v>26</v>
      </c>
      <c r="I3493" t="s">
        <v>57</v>
      </c>
    </row>
    <row r="3494" spans="1:9" x14ac:dyDescent="0.2">
      <c r="A3494" s="3">
        <v>42598</v>
      </c>
      <c r="B3494" t="s">
        <v>23</v>
      </c>
      <c r="C3494">
        <v>202</v>
      </c>
      <c r="D3494">
        <v>1</v>
      </c>
      <c r="E3494">
        <v>2</v>
      </c>
      <c r="F3494" t="s">
        <v>64</v>
      </c>
      <c r="G3494" t="s">
        <v>25</v>
      </c>
      <c r="H3494" t="s">
        <v>26</v>
      </c>
      <c r="I3494" t="s">
        <v>57</v>
      </c>
    </row>
    <row r="3495" spans="1:9" x14ac:dyDescent="0.2">
      <c r="A3495" s="3">
        <v>42598</v>
      </c>
      <c r="B3495" t="s">
        <v>23</v>
      </c>
      <c r="C3495">
        <v>202</v>
      </c>
      <c r="D3495">
        <v>3</v>
      </c>
      <c r="E3495">
        <v>1</v>
      </c>
      <c r="F3495" t="s">
        <v>64</v>
      </c>
      <c r="G3495" t="s">
        <v>25</v>
      </c>
      <c r="H3495" t="s">
        <v>26</v>
      </c>
      <c r="I3495" t="s">
        <v>57</v>
      </c>
    </row>
    <row r="3496" spans="1:9" x14ac:dyDescent="0.2">
      <c r="A3496" s="3">
        <v>42598</v>
      </c>
      <c r="B3496" t="s">
        <v>23</v>
      </c>
      <c r="C3496">
        <v>202</v>
      </c>
      <c r="D3496">
        <v>3</v>
      </c>
      <c r="E3496">
        <v>2</v>
      </c>
      <c r="F3496" t="s">
        <v>64</v>
      </c>
      <c r="G3496" t="s">
        <v>25</v>
      </c>
      <c r="H3496" t="s">
        <v>26</v>
      </c>
      <c r="I3496" t="s">
        <v>57</v>
      </c>
    </row>
    <row r="3497" spans="1:9" x14ac:dyDescent="0.2">
      <c r="A3497" s="3">
        <v>42598</v>
      </c>
      <c r="B3497" t="s">
        <v>23</v>
      </c>
      <c r="C3497">
        <v>202</v>
      </c>
      <c r="D3497">
        <v>4</v>
      </c>
      <c r="E3497">
        <v>1</v>
      </c>
      <c r="F3497" t="s">
        <v>64</v>
      </c>
      <c r="G3497" t="s">
        <v>25</v>
      </c>
      <c r="H3497" t="s">
        <v>26</v>
      </c>
      <c r="I3497" t="s">
        <v>57</v>
      </c>
    </row>
    <row r="3498" spans="1:9" x14ac:dyDescent="0.2">
      <c r="A3498" s="3">
        <v>42598</v>
      </c>
      <c r="B3498" t="s">
        <v>23</v>
      </c>
      <c r="C3498">
        <v>202</v>
      </c>
      <c r="D3498">
        <v>4</v>
      </c>
      <c r="E3498">
        <v>2</v>
      </c>
      <c r="F3498" t="s">
        <v>64</v>
      </c>
      <c r="G3498" t="s">
        <v>25</v>
      </c>
      <c r="H3498" t="s">
        <v>26</v>
      </c>
      <c r="I3498" t="s">
        <v>57</v>
      </c>
    </row>
    <row r="3499" spans="1:9" x14ac:dyDescent="0.2">
      <c r="A3499" s="3">
        <v>42598</v>
      </c>
      <c r="B3499" t="s">
        <v>23</v>
      </c>
      <c r="C3499">
        <v>202</v>
      </c>
      <c r="D3499">
        <v>7</v>
      </c>
      <c r="E3499">
        <v>1</v>
      </c>
      <c r="F3499" t="s">
        <v>64</v>
      </c>
      <c r="G3499" t="s">
        <v>25</v>
      </c>
      <c r="H3499" t="s">
        <v>26</v>
      </c>
      <c r="I3499" t="s">
        <v>57</v>
      </c>
    </row>
    <row r="3500" spans="1:9" x14ac:dyDescent="0.2">
      <c r="A3500" s="3">
        <v>42598</v>
      </c>
      <c r="B3500" t="s">
        <v>23</v>
      </c>
      <c r="C3500">
        <v>202</v>
      </c>
      <c r="D3500">
        <v>8</v>
      </c>
      <c r="E3500">
        <v>1</v>
      </c>
      <c r="F3500" t="s">
        <v>64</v>
      </c>
      <c r="G3500" t="s">
        <v>25</v>
      </c>
      <c r="H3500" t="s">
        <v>26</v>
      </c>
      <c r="I3500" t="s">
        <v>57</v>
      </c>
    </row>
    <row r="3501" spans="1:9" x14ac:dyDescent="0.2">
      <c r="A3501" s="3">
        <v>42598</v>
      </c>
      <c r="B3501" t="s">
        <v>23</v>
      </c>
      <c r="C3501">
        <v>304</v>
      </c>
      <c r="D3501">
        <v>7</v>
      </c>
      <c r="E3501">
        <v>1</v>
      </c>
      <c r="F3501" t="s">
        <v>64</v>
      </c>
      <c r="G3501" t="s">
        <v>25</v>
      </c>
      <c r="H3501" t="s">
        <v>26</v>
      </c>
      <c r="I3501" t="s">
        <v>57</v>
      </c>
    </row>
    <row r="3502" spans="1:9" x14ac:dyDescent="0.2">
      <c r="A3502" s="3">
        <v>42598</v>
      </c>
      <c r="B3502" t="s">
        <v>23</v>
      </c>
      <c r="C3502">
        <v>304</v>
      </c>
      <c r="D3502">
        <v>6</v>
      </c>
      <c r="E3502">
        <v>2</v>
      </c>
      <c r="F3502" t="s">
        <v>64</v>
      </c>
      <c r="G3502" t="s">
        <v>25</v>
      </c>
      <c r="H3502" t="s">
        <v>26</v>
      </c>
      <c r="I3502" t="s">
        <v>57</v>
      </c>
    </row>
    <row r="3503" spans="1:9" x14ac:dyDescent="0.2">
      <c r="A3503" s="3">
        <v>42598</v>
      </c>
      <c r="B3503" t="s">
        <v>23</v>
      </c>
      <c r="C3503">
        <v>304</v>
      </c>
      <c r="D3503">
        <v>2</v>
      </c>
      <c r="E3503">
        <v>1</v>
      </c>
      <c r="F3503" t="s">
        <v>64</v>
      </c>
      <c r="G3503" t="s">
        <v>25</v>
      </c>
      <c r="H3503" t="s">
        <v>26</v>
      </c>
      <c r="I3503" t="s">
        <v>57</v>
      </c>
    </row>
    <row r="3504" spans="1:9" x14ac:dyDescent="0.2">
      <c r="A3504" s="3">
        <v>42598</v>
      </c>
      <c r="B3504" t="s">
        <v>23</v>
      </c>
      <c r="C3504">
        <v>304</v>
      </c>
      <c r="D3504">
        <v>1</v>
      </c>
      <c r="E3504">
        <v>1</v>
      </c>
      <c r="F3504" t="s">
        <v>64</v>
      </c>
      <c r="G3504" t="s">
        <v>25</v>
      </c>
      <c r="H3504" t="s">
        <v>26</v>
      </c>
      <c r="I3504" t="s">
        <v>57</v>
      </c>
    </row>
    <row r="3505" spans="1:9" x14ac:dyDescent="0.2">
      <c r="A3505" s="3">
        <v>42598</v>
      </c>
      <c r="B3505" t="s">
        <v>23</v>
      </c>
      <c r="C3505">
        <v>111</v>
      </c>
      <c r="D3505">
        <v>6</v>
      </c>
      <c r="E3505">
        <v>1</v>
      </c>
      <c r="F3505" t="s">
        <v>24</v>
      </c>
      <c r="G3505" t="s">
        <v>25</v>
      </c>
      <c r="H3505" t="s">
        <v>26</v>
      </c>
      <c r="I3505" t="s">
        <v>57</v>
      </c>
    </row>
    <row r="3506" spans="1:9" x14ac:dyDescent="0.2">
      <c r="A3506" s="3">
        <v>42598</v>
      </c>
      <c r="B3506" t="s">
        <v>23</v>
      </c>
      <c r="C3506">
        <v>111</v>
      </c>
      <c r="D3506">
        <v>5</v>
      </c>
      <c r="E3506">
        <v>1</v>
      </c>
      <c r="F3506" t="s">
        <v>24</v>
      </c>
      <c r="G3506" t="s">
        <v>25</v>
      </c>
      <c r="H3506" t="s">
        <v>26</v>
      </c>
      <c r="I3506" t="s">
        <v>57</v>
      </c>
    </row>
    <row r="3507" spans="1:9" x14ac:dyDescent="0.2">
      <c r="A3507" s="3">
        <v>42598</v>
      </c>
      <c r="B3507" t="s">
        <v>23</v>
      </c>
      <c r="C3507">
        <v>111</v>
      </c>
      <c r="D3507">
        <v>5</v>
      </c>
      <c r="E3507">
        <v>2</v>
      </c>
      <c r="F3507" t="s">
        <v>24</v>
      </c>
      <c r="G3507" t="s">
        <v>25</v>
      </c>
      <c r="H3507" t="s">
        <v>26</v>
      </c>
      <c r="I3507" t="s">
        <v>57</v>
      </c>
    </row>
    <row r="3508" spans="1:9" x14ac:dyDescent="0.2">
      <c r="A3508" s="3">
        <v>42598</v>
      </c>
      <c r="B3508" t="s">
        <v>23</v>
      </c>
      <c r="C3508">
        <v>111</v>
      </c>
      <c r="D3508">
        <v>4</v>
      </c>
      <c r="E3508">
        <v>1</v>
      </c>
      <c r="F3508" t="s">
        <v>24</v>
      </c>
      <c r="G3508" t="s">
        <v>25</v>
      </c>
      <c r="H3508" t="s">
        <v>26</v>
      </c>
      <c r="I3508" t="s">
        <v>57</v>
      </c>
    </row>
    <row r="3509" spans="1:9" x14ac:dyDescent="0.2">
      <c r="A3509" s="3">
        <v>42598</v>
      </c>
      <c r="B3509" t="s">
        <v>23</v>
      </c>
      <c r="C3509">
        <v>112</v>
      </c>
      <c r="D3509">
        <v>2</v>
      </c>
      <c r="E3509">
        <v>1</v>
      </c>
      <c r="F3509" t="s">
        <v>24</v>
      </c>
      <c r="G3509" t="s">
        <v>25</v>
      </c>
      <c r="H3509" t="s">
        <v>26</v>
      </c>
      <c r="I3509" t="s">
        <v>57</v>
      </c>
    </row>
    <row r="3510" spans="1:9" x14ac:dyDescent="0.2">
      <c r="A3510" s="3">
        <v>42598</v>
      </c>
      <c r="B3510" t="s">
        <v>23</v>
      </c>
      <c r="C3510">
        <v>112</v>
      </c>
      <c r="D3510">
        <v>5</v>
      </c>
      <c r="E3510">
        <v>1</v>
      </c>
      <c r="F3510" t="s">
        <v>24</v>
      </c>
      <c r="G3510" t="s">
        <v>25</v>
      </c>
      <c r="H3510" t="s">
        <v>26</v>
      </c>
      <c r="I3510" t="s">
        <v>57</v>
      </c>
    </row>
    <row r="3511" spans="1:9" x14ac:dyDescent="0.2">
      <c r="A3511" s="3">
        <v>42598</v>
      </c>
      <c r="B3511" t="s">
        <v>23</v>
      </c>
      <c r="C3511">
        <v>112</v>
      </c>
      <c r="D3511">
        <v>5</v>
      </c>
      <c r="E3511">
        <v>2</v>
      </c>
      <c r="F3511" t="s">
        <v>24</v>
      </c>
      <c r="G3511" t="s">
        <v>25</v>
      </c>
      <c r="H3511" t="s">
        <v>26</v>
      </c>
      <c r="I3511" t="s">
        <v>57</v>
      </c>
    </row>
    <row r="3512" spans="1:9" x14ac:dyDescent="0.2">
      <c r="A3512" s="3">
        <v>42598</v>
      </c>
      <c r="B3512" t="s">
        <v>23</v>
      </c>
      <c r="C3512">
        <v>112</v>
      </c>
      <c r="D3512">
        <v>7</v>
      </c>
      <c r="E3512">
        <v>1</v>
      </c>
      <c r="F3512" t="s">
        <v>24</v>
      </c>
      <c r="G3512" t="s">
        <v>25</v>
      </c>
      <c r="H3512" t="s">
        <v>26</v>
      </c>
      <c r="I3512" t="s">
        <v>57</v>
      </c>
    </row>
    <row r="3513" spans="1:9" x14ac:dyDescent="0.2">
      <c r="A3513" s="3">
        <v>42598</v>
      </c>
      <c r="B3513" t="s">
        <v>23</v>
      </c>
      <c r="C3513">
        <v>112</v>
      </c>
      <c r="D3513">
        <v>10</v>
      </c>
      <c r="E3513">
        <v>1</v>
      </c>
      <c r="F3513" t="s">
        <v>24</v>
      </c>
      <c r="G3513" t="s">
        <v>25</v>
      </c>
      <c r="H3513" t="s">
        <v>26</v>
      </c>
      <c r="I3513" t="s">
        <v>57</v>
      </c>
    </row>
    <row r="3514" spans="1:9" x14ac:dyDescent="0.2">
      <c r="A3514" s="3">
        <v>42598</v>
      </c>
      <c r="B3514" t="s">
        <v>23</v>
      </c>
      <c r="C3514">
        <v>113</v>
      </c>
      <c r="D3514">
        <v>1</v>
      </c>
      <c r="E3514">
        <v>1</v>
      </c>
      <c r="F3514" t="s">
        <v>24</v>
      </c>
      <c r="G3514" t="s">
        <v>25</v>
      </c>
      <c r="H3514" t="s">
        <v>26</v>
      </c>
      <c r="I3514" t="s">
        <v>57</v>
      </c>
    </row>
    <row r="3515" spans="1:9" x14ac:dyDescent="0.2">
      <c r="A3515" s="3">
        <v>42598</v>
      </c>
      <c r="B3515" t="s">
        <v>23</v>
      </c>
      <c r="C3515">
        <v>113</v>
      </c>
      <c r="D3515">
        <v>1</v>
      </c>
      <c r="E3515">
        <v>2</v>
      </c>
      <c r="F3515" t="s">
        <v>24</v>
      </c>
      <c r="G3515" t="s">
        <v>25</v>
      </c>
      <c r="H3515" t="s">
        <v>26</v>
      </c>
      <c r="I3515" t="s">
        <v>57</v>
      </c>
    </row>
    <row r="3516" spans="1:9" x14ac:dyDescent="0.2">
      <c r="A3516" s="3">
        <v>42598</v>
      </c>
      <c r="B3516" t="s">
        <v>23</v>
      </c>
      <c r="C3516">
        <v>113</v>
      </c>
      <c r="D3516">
        <v>4</v>
      </c>
      <c r="E3516">
        <v>1</v>
      </c>
      <c r="F3516" t="s">
        <v>24</v>
      </c>
      <c r="G3516" t="s">
        <v>25</v>
      </c>
      <c r="H3516" t="s">
        <v>26</v>
      </c>
      <c r="I3516" t="s">
        <v>57</v>
      </c>
    </row>
    <row r="3517" spans="1:9" x14ac:dyDescent="0.2">
      <c r="A3517" s="3">
        <v>42598</v>
      </c>
      <c r="B3517" t="s">
        <v>23</v>
      </c>
      <c r="C3517">
        <v>113</v>
      </c>
      <c r="D3517">
        <v>4</v>
      </c>
      <c r="E3517">
        <v>2</v>
      </c>
      <c r="F3517" t="s">
        <v>24</v>
      </c>
      <c r="G3517" t="s">
        <v>25</v>
      </c>
      <c r="H3517" t="s">
        <v>26</v>
      </c>
      <c r="I3517" t="s">
        <v>57</v>
      </c>
    </row>
    <row r="3518" spans="1:9" x14ac:dyDescent="0.2">
      <c r="A3518" s="3">
        <v>42598</v>
      </c>
      <c r="B3518" t="s">
        <v>23</v>
      </c>
      <c r="C3518">
        <v>113</v>
      </c>
      <c r="D3518">
        <v>6</v>
      </c>
      <c r="E3518">
        <v>1</v>
      </c>
      <c r="F3518" t="s">
        <v>24</v>
      </c>
      <c r="G3518" t="s">
        <v>25</v>
      </c>
      <c r="H3518" t="s">
        <v>26</v>
      </c>
      <c r="I3518" t="s">
        <v>57</v>
      </c>
    </row>
    <row r="3519" spans="1:9" x14ac:dyDescent="0.2">
      <c r="A3519" s="3">
        <v>42598</v>
      </c>
      <c r="B3519" t="s">
        <v>23</v>
      </c>
      <c r="C3519">
        <v>113</v>
      </c>
      <c r="D3519">
        <v>6</v>
      </c>
      <c r="E3519">
        <v>2</v>
      </c>
      <c r="F3519" t="s">
        <v>24</v>
      </c>
      <c r="G3519" t="s">
        <v>25</v>
      </c>
      <c r="H3519" t="s">
        <v>26</v>
      </c>
      <c r="I3519" t="s">
        <v>57</v>
      </c>
    </row>
    <row r="3520" spans="1:9" x14ac:dyDescent="0.2">
      <c r="A3520" s="3">
        <v>42598</v>
      </c>
      <c r="B3520" t="s">
        <v>23</v>
      </c>
      <c r="C3520">
        <v>113</v>
      </c>
      <c r="D3520">
        <v>7</v>
      </c>
      <c r="E3520">
        <v>1</v>
      </c>
      <c r="F3520" t="s">
        <v>24</v>
      </c>
      <c r="G3520" t="s">
        <v>25</v>
      </c>
      <c r="H3520" t="s">
        <v>26</v>
      </c>
      <c r="I3520" t="s">
        <v>57</v>
      </c>
    </row>
    <row r="3521" spans="1:9" x14ac:dyDescent="0.2">
      <c r="A3521" s="3">
        <v>42598</v>
      </c>
      <c r="B3521" t="s">
        <v>23</v>
      </c>
      <c r="C3521">
        <v>113</v>
      </c>
      <c r="D3521">
        <v>7</v>
      </c>
      <c r="E3521">
        <v>2</v>
      </c>
      <c r="F3521" t="s">
        <v>24</v>
      </c>
      <c r="G3521" t="s">
        <v>25</v>
      </c>
      <c r="H3521" t="s">
        <v>26</v>
      </c>
      <c r="I3521" t="s">
        <v>57</v>
      </c>
    </row>
    <row r="3522" spans="1:9" x14ac:dyDescent="0.2">
      <c r="A3522" s="3">
        <v>42598</v>
      </c>
      <c r="B3522" t="s">
        <v>23</v>
      </c>
      <c r="C3522">
        <v>113</v>
      </c>
      <c r="D3522">
        <v>8</v>
      </c>
      <c r="E3522">
        <v>1</v>
      </c>
      <c r="F3522" t="s">
        <v>24</v>
      </c>
      <c r="G3522" t="s">
        <v>25</v>
      </c>
      <c r="H3522" t="s">
        <v>26</v>
      </c>
      <c r="I3522" t="s">
        <v>57</v>
      </c>
    </row>
    <row r="3523" spans="1:9" x14ac:dyDescent="0.2">
      <c r="A3523" s="3">
        <v>42598</v>
      </c>
      <c r="B3523" t="s">
        <v>23</v>
      </c>
      <c r="C3523">
        <v>113</v>
      </c>
      <c r="D3523">
        <v>9</v>
      </c>
      <c r="E3523">
        <v>1</v>
      </c>
      <c r="F3523" t="s">
        <v>24</v>
      </c>
      <c r="G3523" t="s">
        <v>25</v>
      </c>
      <c r="H3523" t="s">
        <v>26</v>
      </c>
      <c r="I3523" t="s">
        <v>57</v>
      </c>
    </row>
    <row r="3524" spans="1:9" x14ac:dyDescent="0.2">
      <c r="A3524" s="3">
        <v>42598</v>
      </c>
      <c r="B3524" t="s">
        <v>23</v>
      </c>
      <c r="C3524">
        <v>113</v>
      </c>
      <c r="D3524">
        <v>9</v>
      </c>
      <c r="E3524">
        <v>2</v>
      </c>
      <c r="F3524" t="s">
        <v>24</v>
      </c>
      <c r="G3524" t="s">
        <v>25</v>
      </c>
      <c r="H3524" t="s">
        <v>26</v>
      </c>
      <c r="I3524" t="s">
        <v>57</v>
      </c>
    </row>
    <row r="3525" spans="1:9" x14ac:dyDescent="0.2">
      <c r="A3525" s="3">
        <v>42598</v>
      </c>
      <c r="B3525" t="s">
        <v>23</v>
      </c>
      <c r="C3525">
        <v>113</v>
      </c>
      <c r="D3525">
        <v>10</v>
      </c>
      <c r="E3525">
        <v>1</v>
      </c>
      <c r="F3525" t="s">
        <v>24</v>
      </c>
      <c r="G3525" t="s">
        <v>25</v>
      </c>
      <c r="H3525" t="s">
        <v>26</v>
      </c>
      <c r="I3525" t="s">
        <v>57</v>
      </c>
    </row>
    <row r="3526" spans="1:9" x14ac:dyDescent="0.2">
      <c r="A3526" s="3">
        <v>42598</v>
      </c>
      <c r="B3526" t="s">
        <v>23</v>
      </c>
      <c r="C3526">
        <v>402</v>
      </c>
      <c r="D3526">
        <v>1</v>
      </c>
      <c r="E3526">
        <v>2</v>
      </c>
      <c r="F3526" t="s">
        <v>24</v>
      </c>
      <c r="G3526" t="s">
        <v>25</v>
      </c>
      <c r="H3526" t="s">
        <v>26</v>
      </c>
      <c r="I3526" t="s">
        <v>57</v>
      </c>
    </row>
    <row r="3527" spans="1:9" x14ac:dyDescent="0.2">
      <c r="A3527" s="3">
        <v>42598</v>
      </c>
      <c r="B3527" t="s">
        <v>23</v>
      </c>
      <c r="C3527">
        <v>402</v>
      </c>
      <c r="D3527">
        <v>3</v>
      </c>
      <c r="E3527">
        <v>1</v>
      </c>
      <c r="F3527" t="s">
        <v>24</v>
      </c>
      <c r="G3527" t="s">
        <v>25</v>
      </c>
      <c r="H3527" t="s">
        <v>26</v>
      </c>
      <c r="I3527" t="s">
        <v>57</v>
      </c>
    </row>
    <row r="3528" spans="1:9" x14ac:dyDescent="0.2">
      <c r="A3528" s="3">
        <v>42598</v>
      </c>
      <c r="B3528" t="s">
        <v>23</v>
      </c>
      <c r="C3528">
        <v>402</v>
      </c>
      <c r="D3528">
        <v>3</v>
      </c>
      <c r="E3528">
        <v>2</v>
      </c>
      <c r="F3528" t="s">
        <v>24</v>
      </c>
      <c r="G3528" t="s">
        <v>25</v>
      </c>
      <c r="H3528" t="s">
        <v>26</v>
      </c>
      <c r="I3528" t="s">
        <v>57</v>
      </c>
    </row>
    <row r="3529" spans="1:9" x14ac:dyDescent="0.2">
      <c r="A3529" s="3">
        <v>42598</v>
      </c>
      <c r="B3529" t="s">
        <v>23</v>
      </c>
      <c r="C3529">
        <v>402</v>
      </c>
      <c r="D3529">
        <v>4</v>
      </c>
      <c r="E3529">
        <v>1</v>
      </c>
      <c r="F3529" t="s">
        <v>24</v>
      </c>
      <c r="G3529" t="s">
        <v>25</v>
      </c>
      <c r="H3529" t="s">
        <v>26</v>
      </c>
      <c r="I3529" t="s">
        <v>57</v>
      </c>
    </row>
    <row r="3530" spans="1:9" x14ac:dyDescent="0.2">
      <c r="A3530" s="3">
        <v>42598</v>
      </c>
      <c r="B3530" t="s">
        <v>23</v>
      </c>
      <c r="C3530">
        <v>402</v>
      </c>
      <c r="D3530">
        <v>4</v>
      </c>
      <c r="E3530">
        <v>2</v>
      </c>
      <c r="F3530" t="s">
        <v>24</v>
      </c>
      <c r="G3530" t="s">
        <v>25</v>
      </c>
      <c r="H3530" t="s">
        <v>26</v>
      </c>
      <c r="I3530" t="s">
        <v>57</v>
      </c>
    </row>
    <row r="3531" spans="1:9" x14ac:dyDescent="0.2">
      <c r="A3531" s="3">
        <v>42598</v>
      </c>
      <c r="B3531" t="s">
        <v>23</v>
      </c>
      <c r="C3531">
        <v>402</v>
      </c>
      <c r="D3531">
        <v>7</v>
      </c>
      <c r="E3531">
        <v>1</v>
      </c>
      <c r="F3531" t="s">
        <v>24</v>
      </c>
      <c r="G3531" t="s">
        <v>25</v>
      </c>
      <c r="H3531" t="s">
        <v>26</v>
      </c>
      <c r="I3531" t="s">
        <v>57</v>
      </c>
    </row>
    <row r="3532" spans="1:9" x14ac:dyDescent="0.2">
      <c r="A3532" s="3">
        <v>42599</v>
      </c>
      <c r="B3532" t="s">
        <v>23</v>
      </c>
      <c r="C3532">
        <v>111</v>
      </c>
      <c r="D3532">
        <v>3</v>
      </c>
      <c r="E3532">
        <v>1</v>
      </c>
      <c r="F3532" t="s">
        <v>24</v>
      </c>
      <c r="G3532" t="s">
        <v>25</v>
      </c>
      <c r="H3532" t="s">
        <v>26</v>
      </c>
      <c r="I3532" t="s">
        <v>57</v>
      </c>
    </row>
    <row r="3533" spans="1:9" x14ac:dyDescent="0.2">
      <c r="A3533" s="3">
        <v>42599</v>
      </c>
      <c r="B3533" t="s">
        <v>23</v>
      </c>
      <c r="C3533">
        <v>111</v>
      </c>
      <c r="D3533">
        <v>2</v>
      </c>
      <c r="E3533">
        <v>1</v>
      </c>
      <c r="F3533" t="s">
        <v>24</v>
      </c>
      <c r="G3533" t="s">
        <v>25</v>
      </c>
      <c r="H3533" t="s">
        <v>26</v>
      </c>
      <c r="I3533" t="s">
        <v>57</v>
      </c>
    </row>
    <row r="3534" spans="1:9" x14ac:dyDescent="0.2">
      <c r="A3534" s="3">
        <v>42599</v>
      </c>
      <c r="B3534" t="s">
        <v>23</v>
      </c>
      <c r="C3534">
        <v>111</v>
      </c>
      <c r="D3534">
        <v>1</v>
      </c>
      <c r="E3534">
        <v>1</v>
      </c>
      <c r="F3534" t="s">
        <v>24</v>
      </c>
      <c r="G3534" t="s">
        <v>25</v>
      </c>
      <c r="H3534" t="s">
        <v>26</v>
      </c>
      <c r="I3534" t="s">
        <v>57</v>
      </c>
    </row>
    <row r="3535" spans="1:9" x14ac:dyDescent="0.2">
      <c r="A3535" s="3">
        <v>42599</v>
      </c>
      <c r="B3535" t="s">
        <v>23</v>
      </c>
      <c r="C3535">
        <v>111</v>
      </c>
      <c r="D3535">
        <v>1</v>
      </c>
      <c r="E3535">
        <v>1</v>
      </c>
      <c r="F3535" t="s">
        <v>24</v>
      </c>
      <c r="G3535" t="s">
        <v>25</v>
      </c>
      <c r="H3535" t="s">
        <v>26</v>
      </c>
      <c r="I3535" t="s">
        <v>57</v>
      </c>
    </row>
    <row r="3536" spans="1:9" x14ac:dyDescent="0.2">
      <c r="A3536" s="3">
        <v>42599</v>
      </c>
      <c r="B3536" t="s">
        <v>23</v>
      </c>
      <c r="C3536">
        <v>111</v>
      </c>
      <c r="D3536">
        <v>8</v>
      </c>
      <c r="E3536">
        <v>1</v>
      </c>
      <c r="F3536" t="s">
        <v>24</v>
      </c>
      <c r="G3536" t="s">
        <v>25</v>
      </c>
      <c r="H3536" t="s">
        <v>26</v>
      </c>
      <c r="I3536" t="s">
        <v>57</v>
      </c>
    </row>
    <row r="3537" spans="1:9" x14ac:dyDescent="0.2">
      <c r="A3537" s="3">
        <v>42599</v>
      </c>
      <c r="B3537" t="s">
        <v>23</v>
      </c>
      <c r="C3537">
        <v>111</v>
      </c>
      <c r="D3537">
        <v>10</v>
      </c>
      <c r="E3537">
        <v>1</v>
      </c>
      <c r="F3537" t="s">
        <v>24</v>
      </c>
      <c r="G3537" t="s">
        <v>25</v>
      </c>
      <c r="H3537" t="s">
        <v>26</v>
      </c>
      <c r="I3537" t="s">
        <v>57</v>
      </c>
    </row>
    <row r="3538" spans="1:9" x14ac:dyDescent="0.2">
      <c r="A3538" s="3">
        <v>42599</v>
      </c>
      <c r="B3538" t="s">
        <v>23</v>
      </c>
      <c r="C3538">
        <v>112</v>
      </c>
      <c r="D3538">
        <v>5</v>
      </c>
      <c r="E3538">
        <v>1</v>
      </c>
      <c r="F3538" t="s">
        <v>24</v>
      </c>
      <c r="G3538" t="s">
        <v>25</v>
      </c>
      <c r="H3538" t="s">
        <v>26</v>
      </c>
      <c r="I3538" t="s">
        <v>57</v>
      </c>
    </row>
    <row r="3539" spans="1:9" x14ac:dyDescent="0.2">
      <c r="A3539" s="3">
        <v>42599</v>
      </c>
      <c r="B3539" t="s">
        <v>23</v>
      </c>
      <c r="C3539">
        <v>112</v>
      </c>
      <c r="D3539">
        <v>6</v>
      </c>
      <c r="E3539">
        <v>1</v>
      </c>
      <c r="F3539" t="s">
        <v>24</v>
      </c>
      <c r="G3539" t="s">
        <v>25</v>
      </c>
      <c r="H3539" t="s">
        <v>26</v>
      </c>
      <c r="I3539" t="s">
        <v>57</v>
      </c>
    </row>
    <row r="3540" spans="1:9" x14ac:dyDescent="0.2">
      <c r="A3540" s="3">
        <v>42599</v>
      </c>
      <c r="B3540" t="s">
        <v>23</v>
      </c>
      <c r="C3540">
        <v>112</v>
      </c>
      <c r="D3540">
        <v>8</v>
      </c>
      <c r="E3540">
        <v>1</v>
      </c>
      <c r="F3540" t="s">
        <v>24</v>
      </c>
      <c r="G3540" t="s">
        <v>25</v>
      </c>
      <c r="H3540" t="s">
        <v>26</v>
      </c>
      <c r="I3540" t="s">
        <v>57</v>
      </c>
    </row>
    <row r="3541" spans="1:9" x14ac:dyDescent="0.2">
      <c r="A3541" s="3">
        <v>42599</v>
      </c>
      <c r="B3541" t="s">
        <v>23</v>
      </c>
      <c r="C3541">
        <v>112</v>
      </c>
      <c r="D3541">
        <v>8</v>
      </c>
      <c r="E3541">
        <v>2</v>
      </c>
      <c r="F3541" t="s">
        <v>24</v>
      </c>
      <c r="G3541" t="s">
        <v>25</v>
      </c>
      <c r="H3541" t="s">
        <v>26</v>
      </c>
      <c r="I3541" t="s">
        <v>57</v>
      </c>
    </row>
    <row r="3542" spans="1:9" x14ac:dyDescent="0.2">
      <c r="A3542" s="3">
        <v>42599</v>
      </c>
      <c r="B3542" t="s">
        <v>23</v>
      </c>
      <c r="C3542">
        <v>112</v>
      </c>
      <c r="D3542">
        <v>9</v>
      </c>
      <c r="E3542">
        <v>1</v>
      </c>
      <c r="F3542" t="s">
        <v>24</v>
      </c>
      <c r="G3542" t="s">
        <v>25</v>
      </c>
      <c r="H3542" t="s">
        <v>26</v>
      </c>
      <c r="I3542" t="s">
        <v>57</v>
      </c>
    </row>
    <row r="3543" spans="1:9" x14ac:dyDescent="0.2">
      <c r="A3543" s="3">
        <v>42599</v>
      </c>
      <c r="B3543" t="s">
        <v>23</v>
      </c>
      <c r="C3543">
        <v>113</v>
      </c>
      <c r="D3543">
        <v>1</v>
      </c>
      <c r="E3543">
        <v>1</v>
      </c>
      <c r="F3543" t="s">
        <v>24</v>
      </c>
      <c r="G3543" t="s">
        <v>25</v>
      </c>
      <c r="H3543" t="s">
        <v>26</v>
      </c>
      <c r="I3543" t="s">
        <v>57</v>
      </c>
    </row>
    <row r="3544" spans="1:9" x14ac:dyDescent="0.2">
      <c r="A3544" s="3">
        <v>42599</v>
      </c>
      <c r="B3544" t="s">
        <v>23</v>
      </c>
      <c r="C3544">
        <v>113</v>
      </c>
      <c r="D3544">
        <v>2</v>
      </c>
      <c r="E3544">
        <v>2</v>
      </c>
      <c r="F3544" t="s">
        <v>24</v>
      </c>
      <c r="G3544" t="s">
        <v>25</v>
      </c>
      <c r="H3544" t="s">
        <v>26</v>
      </c>
      <c r="I3544" t="s">
        <v>57</v>
      </c>
    </row>
    <row r="3545" spans="1:9" x14ac:dyDescent="0.2">
      <c r="A3545" s="3">
        <v>42599</v>
      </c>
      <c r="B3545" t="s">
        <v>23</v>
      </c>
      <c r="C3545">
        <v>113</v>
      </c>
      <c r="D3545">
        <v>5</v>
      </c>
      <c r="E3545">
        <v>2</v>
      </c>
      <c r="F3545" t="s">
        <v>24</v>
      </c>
      <c r="G3545" t="s">
        <v>25</v>
      </c>
      <c r="H3545" t="s">
        <v>26</v>
      </c>
      <c r="I3545" t="s">
        <v>57</v>
      </c>
    </row>
    <row r="3546" spans="1:9" x14ac:dyDescent="0.2">
      <c r="A3546" s="3">
        <v>42599</v>
      </c>
      <c r="B3546" t="s">
        <v>23</v>
      </c>
      <c r="C3546">
        <v>113</v>
      </c>
      <c r="D3546">
        <v>6</v>
      </c>
      <c r="E3546">
        <v>1</v>
      </c>
      <c r="F3546" t="s">
        <v>24</v>
      </c>
      <c r="G3546" t="s">
        <v>25</v>
      </c>
      <c r="H3546" t="s">
        <v>26</v>
      </c>
      <c r="I3546" t="s">
        <v>57</v>
      </c>
    </row>
    <row r="3547" spans="1:9" x14ac:dyDescent="0.2">
      <c r="A3547" s="3">
        <v>42599</v>
      </c>
      <c r="B3547" t="s">
        <v>23</v>
      </c>
      <c r="C3547">
        <v>113</v>
      </c>
      <c r="D3547">
        <v>6</v>
      </c>
      <c r="E3547">
        <v>2</v>
      </c>
      <c r="F3547" t="s">
        <v>24</v>
      </c>
      <c r="G3547" t="s">
        <v>25</v>
      </c>
      <c r="H3547" t="s">
        <v>26</v>
      </c>
      <c r="I3547" t="s">
        <v>57</v>
      </c>
    </row>
    <row r="3548" spans="1:9" x14ac:dyDescent="0.2">
      <c r="A3548" s="3">
        <v>42599</v>
      </c>
      <c r="B3548" t="s">
        <v>23</v>
      </c>
      <c r="C3548">
        <v>113</v>
      </c>
      <c r="D3548">
        <v>7</v>
      </c>
      <c r="E3548">
        <v>1</v>
      </c>
      <c r="F3548" t="s">
        <v>24</v>
      </c>
      <c r="G3548" t="s">
        <v>25</v>
      </c>
      <c r="H3548" t="s">
        <v>26</v>
      </c>
      <c r="I3548" t="s">
        <v>57</v>
      </c>
    </row>
    <row r="3549" spans="1:9" x14ac:dyDescent="0.2">
      <c r="A3549" s="3">
        <v>42599</v>
      </c>
      <c r="B3549" t="s">
        <v>23</v>
      </c>
      <c r="C3549">
        <v>113</v>
      </c>
      <c r="D3549">
        <v>9</v>
      </c>
      <c r="E3549">
        <v>1</v>
      </c>
      <c r="F3549" t="s">
        <v>24</v>
      </c>
      <c r="G3549" t="s">
        <v>25</v>
      </c>
      <c r="H3549" t="s">
        <v>26</v>
      </c>
      <c r="I3549" t="s">
        <v>57</v>
      </c>
    </row>
    <row r="3550" spans="1:9" x14ac:dyDescent="0.2">
      <c r="A3550" s="3">
        <v>42599</v>
      </c>
      <c r="B3550" t="s">
        <v>23</v>
      </c>
      <c r="C3550">
        <v>402</v>
      </c>
      <c r="D3550">
        <v>2</v>
      </c>
      <c r="E3550">
        <v>1</v>
      </c>
      <c r="F3550" t="s">
        <v>24</v>
      </c>
      <c r="G3550" t="s">
        <v>25</v>
      </c>
      <c r="H3550" t="s">
        <v>26</v>
      </c>
      <c r="I3550" t="s">
        <v>57</v>
      </c>
    </row>
    <row r="3551" spans="1:9" x14ac:dyDescent="0.2">
      <c r="A3551" s="3">
        <v>42599</v>
      </c>
      <c r="B3551" t="s">
        <v>23</v>
      </c>
      <c r="C3551">
        <v>402</v>
      </c>
      <c r="D3551">
        <v>2</v>
      </c>
      <c r="E3551">
        <v>2</v>
      </c>
      <c r="F3551" t="s">
        <v>24</v>
      </c>
      <c r="G3551" t="s">
        <v>25</v>
      </c>
      <c r="H3551" t="s">
        <v>26</v>
      </c>
      <c r="I3551" t="s">
        <v>57</v>
      </c>
    </row>
    <row r="3552" spans="1:9" x14ac:dyDescent="0.2">
      <c r="A3552" s="3">
        <v>42599</v>
      </c>
      <c r="B3552" t="s">
        <v>23</v>
      </c>
      <c r="C3552">
        <v>402</v>
      </c>
      <c r="D3552">
        <v>7</v>
      </c>
      <c r="E3552">
        <v>1</v>
      </c>
      <c r="F3552" t="s">
        <v>24</v>
      </c>
      <c r="G3552" t="s">
        <v>25</v>
      </c>
      <c r="H3552" t="s">
        <v>26</v>
      </c>
      <c r="I3552" t="s">
        <v>57</v>
      </c>
    </row>
    <row r="3553" spans="1:9" x14ac:dyDescent="0.2">
      <c r="A3553" s="3">
        <v>42599</v>
      </c>
      <c r="B3553" t="s">
        <v>23</v>
      </c>
      <c r="C3553">
        <v>402</v>
      </c>
      <c r="D3553">
        <v>7</v>
      </c>
      <c r="E3553">
        <v>2</v>
      </c>
      <c r="F3553" t="s">
        <v>24</v>
      </c>
      <c r="G3553" t="s">
        <v>25</v>
      </c>
      <c r="H3553" t="s">
        <v>26</v>
      </c>
      <c r="I3553" t="s">
        <v>57</v>
      </c>
    </row>
    <row r="3554" spans="1:9" x14ac:dyDescent="0.2">
      <c r="A3554" s="3">
        <v>42599</v>
      </c>
      <c r="B3554" t="s">
        <v>23</v>
      </c>
      <c r="C3554">
        <v>402</v>
      </c>
      <c r="D3554">
        <v>8</v>
      </c>
      <c r="E3554">
        <v>1</v>
      </c>
      <c r="F3554" t="s">
        <v>24</v>
      </c>
      <c r="G3554" t="s">
        <v>25</v>
      </c>
      <c r="H3554" t="s">
        <v>26</v>
      </c>
      <c r="I3554" t="s">
        <v>57</v>
      </c>
    </row>
    <row r="3555" spans="1:9" x14ac:dyDescent="0.2">
      <c r="A3555" s="3">
        <v>42599</v>
      </c>
      <c r="B3555" t="s">
        <v>23</v>
      </c>
      <c r="C3555">
        <v>402</v>
      </c>
      <c r="D3555">
        <v>9</v>
      </c>
      <c r="E3555">
        <v>1</v>
      </c>
      <c r="F3555" t="s">
        <v>24</v>
      </c>
      <c r="G3555" t="s">
        <v>25</v>
      </c>
      <c r="H3555" t="s">
        <v>26</v>
      </c>
      <c r="I3555" t="s">
        <v>57</v>
      </c>
    </row>
    <row r="3556" spans="1:9" x14ac:dyDescent="0.2">
      <c r="A3556" s="3">
        <v>42599</v>
      </c>
      <c r="B3556" t="s">
        <v>23</v>
      </c>
      <c r="C3556">
        <v>201</v>
      </c>
      <c r="D3556">
        <v>3</v>
      </c>
      <c r="E3556">
        <v>2</v>
      </c>
      <c r="F3556" t="s">
        <v>64</v>
      </c>
      <c r="G3556" t="s">
        <v>25</v>
      </c>
      <c r="H3556" t="s">
        <v>26</v>
      </c>
      <c r="I3556" t="s">
        <v>57</v>
      </c>
    </row>
    <row r="3557" spans="1:9" x14ac:dyDescent="0.2">
      <c r="A3557" s="3">
        <v>42599</v>
      </c>
      <c r="B3557" t="s">
        <v>23</v>
      </c>
      <c r="C3557">
        <v>201</v>
      </c>
      <c r="D3557">
        <v>6</v>
      </c>
      <c r="E3557">
        <v>1</v>
      </c>
      <c r="F3557" t="s">
        <v>64</v>
      </c>
      <c r="G3557" t="s">
        <v>25</v>
      </c>
      <c r="H3557" t="s">
        <v>26</v>
      </c>
      <c r="I3557" t="s">
        <v>57</v>
      </c>
    </row>
    <row r="3558" spans="1:9" x14ac:dyDescent="0.2">
      <c r="A3558" s="3">
        <v>42599</v>
      </c>
      <c r="B3558" t="s">
        <v>23</v>
      </c>
      <c r="C3558">
        <v>201</v>
      </c>
      <c r="D3558">
        <v>9</v>
      </c>
      <c r="E3558">
        <v>1</v>
      </c>
      <c r="F3558" t="s">
        <v>64</v>
      </c>
      <c r="G3558" t="s">
        <v>25</v>
      </c>
      <c r="H3558" t="s">
        <v>26</v>
      </c>
      <c r="I3558" t="s">
        <v>57</v>
      </c>
    </row>
    <row r="3559" spans="1:9" x14ac:dyDescent="0.2">
      <c r="A3559" s="3">
        <v>42599</v>
      </c>
      <c r="B3559" t="s">
        <v>23</v>
      </c>
      <c r="C3559">
        <v>201</v>
      </c>
      <c r="D3559">
        <v>9</v>
      </c>
      <c r="E3559">
        <v>2</v>
      </c>
      <c r="F3559" t="s">
        <v>64</v>
      </c>
      <c r="G3559" t="s">
        <v>25</v>
      </c>
      <c r="H3559" t="s">
        <v>26</v>
      </c>
      <c r="I3559" t="s">
        <v>57</v>
      </c>
    </row>
    <row r="3560" spans="1:9" x14ac:dyDescent="0.2">
      <c r="A3560" s="3">
        <v>42599</v>
      </c>
      <c r="B3560" t="s">
        <v>23</v>
      </c>
      <c r="C3560">
        <v>201</v>
      </c>
      <c r="D3560">
        <v>10</v>
      </c>
      <c r="E3560">
        <v>1</v>
      </c>
      <c r="F3560" t="s">
        <v>64</v>
      </c>
      <c r="G3560" t="s">
        <v>25</v>
      </c>
      <c r="H3560" t="s">
        <v>26</v>
      </c>
      <c r="I3560" t="s">
        <v>57</v>
      </c>
    </row>
    <row r="3561" spans="1:9" x14ac:dyDescent="0.2">
      <c r="A3561" s="3">
        <v>42599</v>
      </c>
      <c r="B3561" t="s">
        <v>23</v>
      </c>
      <c r="C3561">
        <v>203</v>
      </c>
      <c r="D3561">
        <v>3</v>
      </c>
      <c r="E3561">
        <v>1</v>
      </c>
      <c r="F3561" t="s">
        <v>64</v>
      </c>
      <c r="G3561" t="s">
        <v>25</v>
      </c>
      <c r="H3561" t="s">
        <v>26</v>
      </c>
      <c r="I3561" t="s">
        <v>57</v>
      </c>
    </row>
    <row r="3562" spans="1:9" x14ac:dyDescent="0.2">
      <c r="A3562" s="3">
        <v>42599</v>
      </c>
      <c r="B3562" t="s">
        <v>23</v>
      </c>
      <c r="C3562">
        <v>203</v>
      </c>
      <c r="D3562">
        <v>9</v>
      </c>
      <c r="E3562">
        <v>1</v>
      </c>
      <c r="F3562" t="s">
        <v>64</v>
      </c>
      <c r="G3562" t="s">
        <v>25</v>
      </c>
      <c r="H3562" t="s">
        <v>26</v>
      </c>
      <c r="I3562" t="s">
        <v>57</v>
      </c>
    </row>
    <row r="3563" spans="1:9" x14ac:dyDescent="0.2">
      <c r="A3563" s="3">
        <v>42599</v>
      </c>
      <c r="B3563" t="s">
        <v>23</v>
      </c>
      <c r="C3563">
        <v>203</v>
      </c>
      <c r="D3563">
        <v>9</v>
      </c>
      <c r="E3563">
        <v>2</v>
      </c>
      <c r="F3563" t="s">
        <v>64</v>
      </c>
      <c r="G3563" t="s">
        <v>25</v>
      </c>
      <c r="H3563" t="s">
        <v>26</v>
      </c>
      <c r="I3563" t="s">
        <v>57</v>
      </c>
    </row>
    <row r="3564" spans="1:9" x14ac:dyDescent="0.2">
      <c r="A3564" s="3">
        <v>42599</v>
      </c>
      <c r="B3564" t="s">
        <v>23</v>
      </c>
      <c r="C3564">
        <v>202</v>
      </c>
      <c r="D3564">
        <v>3</v>
      </c>
      <c r="E3564">
        <v>2</v>
      </c>
      <c r="F3564" t="s">
        <v>64</v>
      </c>
      <c r="G3564" t="s">
        <v>25</v>
      </c>
      <c r="H3564" t="s">
        <v>26</v>
      </c>
      <c r="I3564" t="s">
        <v>57</v>
      </c>
    </row>
    <row r="3565" spans="1:9" x14ac:dyDescent="0.2">
      <c r="A3565" s="3">
        <v>42599</v>
      </c>
      <c r="B3565" t="s">
        <v>23</v>
      </c>
      <c r="C3565">
        <v>202</v>
      </c>
      <c r="D3565">
        <v>4</v>
      </c>
      <c r="E3565">
        <v>1</v>
      </c>
      <c r="F3565" t="s">
        <v>64</v>
      </c>
      <c r="G3565" t="s">
        <v>25</v>
      </c>
      <c r="H3565" t="s">
        <v>26</v>
      </c>
      <c r="I3565" t="s">
        <v>57</v>
      </c>
    </row>
    <row r="3566" spans="1:9" x14ac:dyDescent="0.2">
      <c r="A3566" s="3">
        <v>42599</v>
      </c>
      <c r="B3566" t="s">
        <v>23</v>
      </c>
      <c r="C3566">
        <v>202</v>
      </c>
      <c r="D3566">
        <v>4</v>
      </c>
      <c r="E3566">
        <v>2</v>
      </c>
      <c r="F3566" t="s">
        <v>64</v>
      </c>
      <c r="G3566" t="s">
        <v>25</v>
      </c>
      <c r="H3566" t="s">
        <v>26</v>
      </c>
      <c r="I3566" t="s">
        <v>57</v>
      </c>
    </row>
    <row r="3567" spans="1:9" x14ac:dyDescent="0.2">
      <c r="A3567" s="3">
        <v>42599</v>
      </c>
      <c r="B3567" t="s">
        <v>23</v>
      </c>
      <c r="C3567">
        <v>202</v>
      </c>
      <c r="D3567">
        <v>5</v>
      </c>
      <c r="E3567">
        <v>1</v>
      </c>
      <c r="F3567" t="s">
        <v>64</v>
      </c>
      <c r="G3567" t="s">
        <v>25</v>
      </c>
      <c r="H3567" t="s">
        <v>26</v>
      </c>
      <c r="I3567" t="s">
        <v>57</v>
      </c>
    </row>
    <row r="3568" spans="1:9" x14ac:dyDescent="0.2">
      <c r="A3568" s="3">
        <v>42599</v>
      </c>
      <c r="B3568" t="s">
        <v>23</v>
      </c>
      <c r="C3568">
        <v>202</v>
      </c>
      <c r="D3568">
        <v>6</v>
      </c>
      <c r="E3568">
        <v>1</v>
      </c>
      <c r="F3568" t="s">
        <v>64</v>
      </c>
      <c r="G3568" t="s">
        <v>25</v>
      </c>
      <c r="H3568" t="s">
        <v>26</v>
      </c>
      <c r="I3568" t="s">
        <v>57</v>
      </c>
    </row>
    <row r="3569" spans="1:9" x14ac:dyDescent="0.2">
      <c r="A3569" s="3">
        <v>42599</v>
      </c>
      <c r="B3569" t="s">
        <v>23</v>
      </c>
      <c r="C3569">
        <v>202</v>
      </c>
      <c r="D3569">
        <v>7</v>
      </c>
      <c r="E3569">
        <v>1</v>
      </c>
      <c r="F3569" t="s">
        <v>64</v>
      </c>
      <c r="G3569" t="s">
        <v>25</v>
      </c>
      <c r="H3569" t="s">
        <v>26</v>
      </c>
      <c r="I3569" t="s">
        <v>57</v>
      </c>
    </row>
    <row r="3570" spans="1:9" x14ac:dyDescent="0.2">
      <c r="A3570" s="3">
        <v>42599</v>
      </c>
      <c r="B3570" t="s">
        <v>23</v>
      </c>
      <c r="C3570">
        <v>202</v>
      </c>
      <c r="D3570">
        <v>7</v>
      </c>
      <c r="E3570">
        <v>2</v>
      </c>
      <c r="F3570" t="s">
        <v>64</v>
      </c>
      <c r="G3570" t="s">
        <v>25</v>
      </c>
      <c r="H3570" t="s">
        <v>26</v>
      </c>
      <c r="I3570" t="s">
        <v>57</v>
      </c>
    </row>
    <row r="3571" spans="1:9" x14ac:dyDescent="0.2">
      <c r="A3571" s="3">
        <v>42599</v>
      </c>
      <c r="B3571" t="s">
        <v>23</v>
      </c>
      <c r="C3571">
        <v>202</v>
      </c>
      <c r="D3571">
        <v>8</v>
      </c>
      <c r="E3571">
        <v>1</v>
      </c>
      <c r="F3571" t="s">
        <v>64</v>
      </c>
      <c r="G3571" t="s">
        <v>25</v>
      </c>
      <c r="H3571" t="s">
        <v>26</v>
      </c>
      <c r="I3571" t="s">
        <v>57</v>
      </c>
    </row>
    <row r="3572" spans="1:9" x14ac:dyDescent="0.2">
      <c r="A3572" s="3">
        <v>42599</v>
      </c>
      <c r="B3572" t="s">
        <v>23</v>
      </c>
      <c r="C3572">
        <v>202</v>
      </c>
      <c r="D3572">
        <v>9</v>
      </c>
      <c r="E3572">
        <v>1</v>
      </c>
      <c r="F3572" t="s">
        <v>64</v>
      </c>
      <c r="G3572" t="s">
        <v>25</v>
      </c>
      <c r="H3572" t="s">
        <v>26</v>
      </c>
      <c r="I3572" t="s">
        <v>57</v>
      </c>
    </row>
    <row r="3573" spans="1:9" x14ac:dyDescent="0.2">
      <c r="A3573" s="3">
        <v>42599</v>
      </c>
      <c r="B3573" t="s">
        <v>23</v>
      </c>
      <c r="C3573">
        <v>202</v>
      </c>
      <c r="D3573">
        <v>9</v>
      </c>
      <c r="E3573">
        <v>2</v>
      </c>
      <c r="F3573" t="s">
        <v>64</v>
      </c>
      <c r="G3573" t="s">
        <v>25</v>
      </c>
      <c r="H3573" t="s">
        <v>26</v>
      </c>
      <c r="I3573" t="s">
        <v>57</v>
      </c>
    </row>
    <row r="3574" spans="1:9" x14ac:dyDescent="0.2">
      <c r="A3574" s="3">
        <v>42599</v>
      </c>
      <c r="B3574" t="s">
        <v>23</v>
      </c>
      <c r="C3574">
        <v>202</v>
      </c>
      <c r="D3574">
        <v>10</v>
      </c>
      <c r="E3574">
        <v>1</v>
      </c>
      <c r="F3574" t="s">
        <v>64</v>
      </c>
      <c r="G3574" t="s">
        <v>25</v>
      </c>
      <c r="H3574" t="s">
        <v>26</v>
      </c>
      <c r="I3574" t="s">
        <v>57</v>
      </c>
    </row>
    <row r="3575" spans="1:9" x14ac:dyDescent="0.2">
      <c r="A3575" s="3">
        <v>42599</v>
      </c>
      <c r="B3575" t="s">
        <v>23</v>
      </c>
      <c r="C3575">
        <v>304</v>
      </c>
      <c r="D3575">
        <v>10</v>
      </c>
      <c r="E3575">
        <v>1</v>
      </c>
      <c r="F3575" t="s">
        <v>64</v>
      </c>
      <c r="G3575" t="s">
        <v>25</v>
      </c>
      <c r="H3575" t="s">
        <v>26</v>
      </c>
      <c r="I3575" t="s">
        <v>57</v>
      </c>
    </row>
    <row r="3576" spans="1:9" x14ac:dyDescent="0.2">
      <c r="A3576" s="3">
        <v>42599</v>
      </c>
      <c r="B3576" t="s">
        <v>23</v>
      </c>
      <c r="C3576">
        <v>304</v>
      </c>
      <c r="D3576">
        <v>7</v>
      </c>
      <c r="E3576">
        <v>1</v>
      </c>
      <c r="F3576" t="s">
        <v>64</v>
      </c>
      <c r="G3576" t="s">
        <v>25</v>
      </c>
      <c r="H3576" t="s">
        <v>26</v>
      </c>
      <c r="I3576" t="s">
        <v>57</v>
      </c>
    </row>
    <row r="3577" spans="1:9" x14ac:dyDescent="0.2">
      <c r="A3577" s="3">
        <v>42599</v>
      </c>
      <c r="B3577" t="s">
        <v>23</v>
      </c>
      <c r="C3577">
        <v>304</v>
      </c>
      <c r="D3577">
        <v>6</v>
      </c>
      <c r="E3577">
        <v>1</v>
      </c>
      <c r="F3577" t="s">
        <v>64</v>
      </c>
      <c r="G3577" t="s">
        <v>25</v>
      </c>
      <c r="H3577" t="s">
        <v>26</v>
      </c>
      <c r="I3577" t="s">
        <v>57</v>
      </c>
    </row>
    <row r="3578" spans="1:9" x14ac:dyDescent="0.2">
      <c r="A3578" s="3">
        <v>42599</v>
      </c>
      <c r="B3578" t="s">
        <v>23</v>
      </c>
      <c r="C3578">
        <v>304</v>
      </c>
      <c r="D3578">
        <v>5</v>
      </c>
      <c r="E3578">
        <v>1</v>
      </c>
      <c r="F3578" t="s">
        <v>64</v>
      </c>
      <c r="G3578" t="s">
        <v>25</v>
      </c>
      <c r="H3578" t="s">
        <v>26</v>
      </c>
      <c r="I3578" t="s">
        <v>57</v>
      </c>
    </row>
    <row r="3579" spans="1:9" x14ac:dyDescent="0.2">
      <c r="A3579" s="3">
        <v>42599</v>
      </c>
      <c r="B3579" t="s">
        <v>23</v>
      </c>
      <c r="C3579">
        <v>304</v>
      </c>
      <c r="D3579">
        <v>5</v>
      </c>
      <c r="E3579">
        <v>2</v>
      </c>
      <c r="F3579" t="s">
        <v>64</v>
      </c>
      <c r="G3579" t="s">
        <v>25</v>
      </c>
      <c r="H3579" t="s">
        <v>26</v>
      </c>
      <c r="I3579" t="s">
        <v>57</v>
      </c>
    </row>
    <row r="3580" spans="1:9" x14ac:dyDescent="0.2">
      <c r="A3580" s="3">
        <v>42599</v>
      </c>
      <c r="B3580" t="s">
        <v>23</v>
      </c>
      <c r="C3580">
        <v>304</v>
      </c>
      <c r="D3580">
        <v>4</v>
      </c>
      <c r="E3580">
        <v>1</v>
      </c>
      <c r="F3580" t="s">
        <v>64</v>
      </c>
      <c r="G3580" t="s">
        <v>25</v>
      </c>
      <c r="H3580" t="s">
        <v>26</v>
      </c>
      <c r="I3580" t="s">
        <v>57</v>
      </c>
    </row>
    <row r="3581" spans="1:9" x14ac:dyDescent="0.2">
      <c r="A3581" s="3">
        <v>42599</v>
      </c>
      <c r="B3581" t="s">
        <v>23</v>
      </c>
      <c r="C3581">
        <v>304</v>
      </c>
      <c r="D3581">
        <v>3</v>
      </c>
      <c r="E3581">
        <v>2</v>
      </c>
      <c r="F3581" t="s">
        <v>64</v>
      </c>
      <c r="G3581" t="s">
        <v>25</v>
      </c>
      <c r="H3581" t="s">
        <v>26</v>
      </c>
      <c r="I3581" t="s">
        <v>57</v>
      </c>
    </row>
    <row r="3582" spans="1:9" x14ac:dyDescent="0.2">
      <c r="A3582" s="3">
        <v>42599</v>
      </c>
      <c r="B3582" t="s">
        <v>23</v>
      </c>
      <c r="C3582">
        <v>304</v>
      </c>
      <c r="D3582">
        <v>2</v>
      </c>
      <c r="E3582">
        <v>1</v>
      </c>
      <c r="F3582" t="s">
        <v>64</v>
      </c>
      <c r="G3582" t="s">
        <v>25</v>
      </c>
      <c r="H3582" t="s">
        <v>26</v>
      </c>
      <c r="I3582" t="s">
        <v>57</v>
      </c>
    </row>
    <row r="3583" spans="1:9" x14ac:dyDescent="0.2">
      <c r="A3583" s="3">
        <v>42599</v>
      </c>
      <c r="B3583" t="s">
        <v>23</v>
      </c>
      <c r="C3583">
        <v>304</v>
      </c>
      <c r="D3583">
        <v>1</v>
      </c>
      <c r="E3583">
        <v>1</v>
      </c>
      <c r="F3583" t="s">
        <v>64</v>
      </c>
      <c r="G3583" t="s">
        <v>25</v>
      </c>
      <c r="H3583" t="s">
        <v>26</v>
      </c>
      <c r="I3583" t="s">
        <v>57</v>
      </c>
    </row>
    <row r="3584" spans="1:9" x14ac:dyDescent="0.2">
      <c r="A3584" s="3">
        <v>42600</v>
      </c>
      <c r="B3584" t="s">
        <v>23</v>
      </c>
      <c r="C3584">
        <v>111</v>
      </c>
      <c r="D3584">
        <v>1</v>
      </c>
      <c r="E3584">
        <v>1</v>
      </c>
      <c r="F3584" t="s">
        <v>24</v>
      </c>
      <c r="G3584" t="s">
        <v>25</v>
      </c>
      <c r="H3584" t="s">
        <v>26</v>
      </c>
      <c r="I3584" t="s">
        <v>57</v>
      </c>
    </row>
    <row r="3585" spans="1:9" x14ac:dyDescent="0.2">
      <c r="A3585" s="3">
        <v>42600</v>
      </c>
      <c r="B3585" t="s">
        <v>23</v>
      </c>
      <c r="C3585">
        <v>111</v>
      </c>
      <c r="D3585">
        <v>1</v>
      </c>
      <c r="E3585">
        <v>2</v>
      </c>
      <c r="F3585" t="s">
        <v>24</v>
      </c>
      <c r="G3585" t="s">
        <v>25</v>
      </c>
      <c r="H3585" t="s">
        <v>26</v>
      </c>
      <c r="I3585" t="s">
        <v>57</v>
      </c>
    </row>
    <row r="3586" spans="1:9" x14ac:dyDescent="0.2">
      <c r="A3586" s="3">
        <v>42600</v>
      </c>
      <c r="B3586" t="s">
        <v>23</v>
      </c>
      <c r="C3586">
        <v>111</v>
      </c>
      <c r="D3586">
        <v>3</v>
      </c>
      <c r="E3586">
        <v>1</v>
      </c>
      <c r="F3586" t="s">
        <v>24</v>
      </c>
      <c r="G3586" t="s">
        <v>25</v>
      </c>
      <c r="H3586" t="s">
        <v>26</v>
      </c>
      <c r="I3586" t="s">
        <v>57</v>
      </c>
    </row>
    <row r="3587" spans="1:9" x14ac:dyDescent="0.2">
      <c r="A3587" s="3">
        <v>42600</v>
      </c>
      <c r="B3587" t="s">
        <v>23</v>
      </c>
      <c r="C3587">
        <v>111</v>
      </c>
      <c r="D3587">
        <v>10</v>
      </c>
      <c r="E3587">
        <v>1</v>
      </c>
      <c r="F3587" t="s">
        <v>24</v>
      </c>
      <c r="G3587" t="s">
        <v>25</v>
      </c>
      <c r="H3587" t="s">
        <v>26</v>
      </c>
      <c r="I3587" t="s">
        <v>57</v>
      </c>
    </row>
    <row r="3588" spans="1:9" x14ac:dyDescent="0.2">
      <c r="A3588" s="3">
        <v>42600</v>
      </c>
      <c r="B3588" t="s">
        <v>23</v>
      </c>
      <c r="C3588">
        <v>111</v>
      </c>
      <c r="D3588">
        <v>10</v>
      </c>
      <c r="E3588">
        <v>2</v>
      </c>
      <c r="F3588" t="s">
        <v>24</v>
      </c>
      <c r="G3588" t="s">
        <v>25</v>
      </c>
      <c r="H3588" t="s">
        <v>26</v>
      </c>
      <c r="I3588" t="s">
        <v>57</v>
      </c>
    </row>
    <row r="3589" spans="1:9" x14ac:dyDescent="0.2">
      <c r="A3589" s="3">
        <v>42600</v>
      </c>
      <c r="B3589" t="s">
        <v>23</v>
      </c>
      <c r="C3589">
        <v>112</v>
      </c>
      <c r="D3589">
        <v>6</v>
      </c>
      <c r="E3589">
        <v>1</v>
      </c>
      <c r="F3589" t="s">
        <v>24</v>
      </c>
      <c r="G3589" t="s">
        <v>25</v>
      </c>
      <c r="H3589" t="s">
        <v>26</v>
      </c>
      <c r="I3589" t="s">
        <v>57</v>
      </c>
    </row>
    <row r="3590" spans="1:9" x14ac:dyDescent="0.2">
      <c r="A3590" s="3">
        <v>42600</v>
      </c>
      <c r="B3590" t="s">
        <v>23</v>
      </c>
      <c r="C3590">
        <v>112</v>
      </c>
      <c r="D3590">
        <v>5</v>
      </c>
      <c r="E3590">
        <v>1</v>
      </c>
      <c r="F3590" t="s">
        <v>24</v>
      </c>
      <c r="G3590" t="s">
        <v>25</v>
      </c>
      <c r="H3590" t="s">
        <v>26</v>
      </c>
      <c r="I3590" t="s">
        <v>57</v>
      </c>
    </row>
    <row r="3591" spans="1:9" x14ac:dyDescent="0.2">
      <c r="A3591" s="3">
        <v>42600</v>
      </c>
      <c r="B3591" t="s">
        <v>23</v>
      </c>
      <c r="C3591">
        <v>112</v>
      </c>
      <c r="D3591">
        <v>3</v>
      </c>
      <c r="E3591">
        <v>2</v>
      </c>
      <c r="F3591" t="s">
        <v>24</v>
      </c>
      <c r="G3591" t="s">
        <v>25</v>
      </c>
      <c r="H3591" t="s">
        <v>26</v>
      </c>
      <c r="I3591" t="s">
        <v>57</v>
      </c>
    </row>
    <row r="3592" spans="1:9" x14ac:dyDescent="0.2">
      <c r="A3592" s="3">
        <v>42600</v>
      </c>
      <c r="B3592" t="s">
        <v>23</v>
      </c>
      <c r="C3592">
        <v>113</v>
      </c>
      <c r="D3592">
        <v>6</v>
      </c>
      <c r="E3592">
        <v>2</v>
      </c>
      <c r="F3592" t="s">
        <v>24</v>
      </c>
      <c r="G3592" t="s">
        <v>25</v>
      </c>
      <c r="H3592" t="s">
        <v>26</v>
      </c>
      <c r="I3592" t="s">
        <v>57</v>
      </c>
    </row>
    <row r="3593" spans="1:9" x14ac:dyDescent="0.2">
      <c r="A3593" s="3">
        <v>42600</v>
      </c>
      <c r="B3593" t="s">
        <v>23</v>
      </c>
      <c r="C3593">
        <v>113</v>
      </c>
      <c r="D3593">
        <v>5</v>
      </c>
      <c r="E3593">
        <v>1</v>
      </c>
      <c r="F3593" t="s">
        <v>24</v>
      </c>
      <c r="G3593" t="s">
        <v>25</v>
      </c>
      <c r="H3593" t="s">
        <v>26</v>
      </c>
      <c r="I3593" t="s">
        <v>57</v>
      </c>
    </row>
    <row r="3594" spans="1:9" x14ac:dyDescent="0.2">
      <c r="A3594" s="3">
        <v>42600</v>
      </c>
      <c r="B3594" t="s">
        <v>23</v>
      </c>
      <c r="C3594">
        <v>402</v>
      </c>
      <c r="D3594">
        <v>10</v>
      </c>
      <c r="E3594">
        <v>1</v>
      </c>
      <c r="F3594" t="s">
        <v>24</v>
      </c>
      <c r="G3594" t="s">
        <v>25</v>
      </c>
      <c r="H3594" t="s">
        <v>26</v>
      </c>
      <c r="I3594" t="s">
        <v>57</v>
      </c>
    </row>
    <row r="3595" spans="1:9" x14ac:dyDescent="0.2">
      <c r="A3595" s="3">
        <v>42600</v>
      </c>
      <c r="B3595" t="s">
        <v>23</v>
      </c>
      <c r="C3595">
        <v>402</v>
      </c>
      <c r="D3595">
        <v>2</v>
      </c>
      <c r="E3595">
        <v>1</v>
      </c>
      <c r="F3595" t="s">
        <v>24</v>
      </c>
      <c r="G3595" t="s">
        <v>25</v>
      </c>
      <c r="H3595" t="s">
        <v>26</v>
      </c>
      <c r="I3595" t="s">
        <v>57</v>
      </c>
    </row>
    <row r="3596" spans="1:9" x14ac:dyDescent="0.2">
      <c r="A3596" s="3">
        <v>42600</v>
      </c>
      <c r="B3596" t="s">
        <v>23</v>
      </c>
      <c r="C3596">
        <v>402</v>
      </c>
      <c r="D3596">
        <v>1</v>
      </c>
      <c r="E3596">
        <v>2</v>
      </c>
      <c r="F3596" t="s">
        <v>24</v>
      </c>
      <c r="G3596" t="s">
        <v>25</v>
      </c>
      <c r="H3596" t="s">
        <v>26</v>
      </c>
      <c r="I3596" t="s">
        <v>57</v>
      </c>
    </row>
    <row r="3597" spans="1:9" x14ac:dyDescent="0.2">
      <c r="A3597" s="3">
        <v>42600</v>
      </c>
      <c r="B3597" t="s">
        <v>23</v>
      </c>
      <c r="C3597">
        <v>304</v>
      </c>
      <c r="D3597">
        <v>1</v>
      </c>
      <c r="E3597">
        <v>1</v>
      </c>
      <c r="F3597" t="s">
        <v>24</v>
      </c>
      <c r="G3597" t="s">
        <v>25</v>
      </c>
      <c r="H3597" t="s">
        <v>26</v>
      </c>
      <c r="I3597" t="s">
        <v>57</v>
      </c>
    </row>
    <row r="3598" spans="1:9" x14ac:dyDescent="0.2">
      <c r="A3598" s="3">
        <v>42600</v>
      </c>
      <c r="B3598" t="s">
        <v>23</v>
      </c>
      <c r="C3598">
        <v>304</v>
      </c>
      <c r="D3598">
        <v>2</v>
      </c>
      <c r="E3598">
        <v>2</v>
      </c>
      <c r="F3598" t="s">
        <v>66</v>
      </c>
      <c r="G3598" t="s">
        <v>25</v>
      </c>
      <c r="H3598" t="s">
        <v>26</v>
      </c>
      <c r="I3598" t="s">
        <v>57</v>
      </c>
    </row>
    <row r="3599" spans="1:9" x14ac:dyDescent="0.2">
      <c r="A3599" s="3">
        <v>42600</v>
      </c>
      <c r="B3599" t="s">
        <v>23</v>
      </c>
      <c r="C3599">
        <v>201</v>
      </c>
      <c r="D3599">
        <v>4</v>
      </c>
      <c r="E3599">
        <v>2</v>
      </c>
      <c r="F3599" t="s">
        <v>64</v>
      </c>
      <c r="G3599" t="s">
        <v>25</v>
      </c>
      <c r="H3599" t="s">
        <v>26</v>
      </c>
      <c r="I3599" t="s">
        <v>57</v>
      </c>
    </row>
    <row r="3600" spans="1:9" x14ac:dyDescent="0.2">
      <c r="A3600" s="3">
        <v>42600</v>
      </c>
      <c r="B3600" t="s">
        <v>23</v>
      </c>
      <c r="C3600">
        <v>201</v>
      </c>
      <c r="D3600">
        <v>6</v>
      </c>
      <c r="E3600">
        <v>1</v>
      </c>
      <c r="F3600" t="s">
        <v>64</v>
      </c>
      <c r="G3600" t="s">
        <v>25</v>
      </c>
      <c r="H3600" t="s">
        <v>26</v>
      </c>
      <c r="I3600" t="s">
        <v>57</v>
      </c>
    </row>
    <row r="3601" spans="1:9" x14ac:dyDescent="0.2">
      <c r="A3601" s="3">
        <v>42600</v>
      </c>
      <c r="B3601" t="s">
        <v>23</v>
      </c>
      <c r="C3601">
        <v>201</v>
      </c>
      <c r="D3601">
        <v>7</v>
      </c>
      <c r="E3601">
        <v>1</v>
      </c>
      <c r="F3601" t="s">
        <v>64</v>
      </c>
      <c r="G3601" t="s">
        <v>25</v>
      </c>
      <c r="H3601" t="s">
        <v>26</v>
      </c>
      <c r="I3601" t="s">
        <v>57</v>
      </c>
    </row>
    <row r="3602" spans="1:9" x14ac:dyDescent="0.2">
      <c r="A3602" s="3">
        <v>42600</v>
      </c>
      <c r="B3602" t="s">
        <v>23</v>
      </c>
      <c r="C3602">
        <v>201</v>
      </c>
      <c r="D3602">
        <v>9</v>
      </c>
      <c r="E3602">
        <v>1</v>
      </c>
      <c r="F3602" t="s">
        <v>64</v>
      </c>
      <c r="G3602" t="s">
        <v>25</v>
      </c>
      <c r="H3602" t="s">
        <v>26</v>
      </c>
      <c r="I3602" t="s">
        <v>57</v>
      </c>
    </row>
    <row r="3603" spans="1:9" x14ac:dyDescent="0.2">
      <c r="A3603" s="3">
        <v>42600</v>
      </c>
      <c r="B3603" t="s">
        <v>23</v>
      </c>
      <c r="C3603">
        <v>201</v>
      </c>
      <c r="D3603">
        <v>9</v>
      </c>
      <c r="E3603">
        <v>2</v>
      </c>
      <c r="F3603" t="s">
        <v>64</v>
      </c>
      <c r="G3603" t="s">
        <v>25</v>
      </c>
      <c r="H3603" t="s">
        <v>26</v>
      </c>
      <c r="I3603" t="s">
        <v>57</v>
      </c>
    </row>
    <row r="3604" spans="1:9" x14ac:dyDescent="0.2">
      <c r="A3604" s="3">
        <v>42600</v>
      </c>
      <c r="B3604" t="s">
        <v>23</v>
      </c>
      <c r="C3604">
        <v>201</v>
      </c>
      <c r="D3604">
        <v>10</v>
      </c>
      <c r="E3604">
        <v>1</v>
      </c>
      <c r="F3604" t="s">
        <v>64</v>
      </c>
      <c r="G3604" t="s">
        <v>25</v>
      </c>
      <c r="H3604" t="s">
        <v>26</v>
      </c>
      <c r="I3604" t="s">
        <v>57</v>
      </c>
    </row>
    <row r="3605" spans="1:9" x14ac:dyDescent="0.2">
      <c r="A3605" s="3">
        <v>42600</v>
      </c>
      <c r="B3605" t="s">
        <v>23</v>
      </c>
      <c r="C3605">
        <v>203</v>
      </c>
      <c r="D3605">
        <v>2</v>
      </c>
      <c r="E3605">
        <v>1</v>
      </c>
      <c r="F3605" t="s">
        <v>64</v>
      </c>
      <c r="G3605" t="s">
        <v>25</v>
      </c>
      <c r="H3605" t="s">
        <v>26</v>
      </c>
      <c r="I3605" t="s">
        <v>57</v>
      </c>
    </row>
    <row r="3606" spans="1:9" x14ac:dyDescent="0.2">
      <c r="A3606" s="3">
        <v>42600</v>
      </c>
      <c r="B3606" t="s">
        <v>23</v>
      </c>
      <c r="C3606">
        <v>203</v>
      </c>
      <c r="D3606">
        <v>3</v>
      </c>
      <c r="E3606">
        <v>1</v>
      </c>
      <c r="F3606" t="s">
        <v>64</v>
      </c>
      <c r="G3606" t="s">
        <v>25</v>
      </c>
      <c r="H3606" t="s">
        <v>26</v>
      </c>
      <c r="I3606" t="s">
        <v>57</v>
      </c>
    </row>
    <row r="3607" spans="1:9" x14ac:dyDescent="0.2">
      <c r="A3607" s="3">
        <v>42600</v>
      </c>
      <c r="B3607" t="s">
        <v>23</v>
      </c>
      <c r="C3607">
        <v>203</v>
      </c>
      <c r="D3607">
        <v>5</v>
      </c>
      <c r="E3607">
        <v>2</v>
      </c>
      <c r="F3607" t="s">
        <v>64</v>
      </c>
      <c r="G3607" t="s">
        <v>25</v>
      </c>
      <c r="H3607" t="s">
        <v>26</v>
      </c>
      <c r="I3607" t="s">
        <v>57</v>
      </c>
    </row>
    <row r="3608" spans="1:9" x14ac:dyDescent="0.2">
      <c r="A3608" s="3">
        <v>42600</v>
      </c>
      <c r="B3608" t="s">
        <v>23</v>
      </c>
      <c r="C3608">
        <v>202</v>
      </c>
      <c r="D3608">
        <v>2</v>
      </c>
      <c r="E3608">
        <v>1</v>
      </c>
      <c r="F3608" t="s">
        <v>64</v>
      </c>
      <c r="G3608" t="s">
        <v>25</v>
      </c>
      <c r="H3608" t="s">
        <v>26</v>
      </c>
      <c r="I3608" t="s">
        <v>57</v>
      </c>
    </row>
    <row r="3609" spans="1:9" x14ac:dyDescent="0.2">
      <c r="A3609" s="3">
        <v>42600</v>
      </c>
      <c r="B3609" t="s">
        <v>23</v>
      </c>
      <c r="C3609">
        <v>202</v>
      </c>
      <c r="D3609">
        <v>4</v>
      </c>
      <c r="E3609">
        <v>1</v>
      </c>
      <c r="F3609" t="s">
        <v>64</v>
      </c>
      <c r="G3609" t="s">
        <v>25</v>
      </c>
      <c r="H3609" t="s">
        <v>26</v>
      </c>
      <c r="I3609" t="s">
        <v>57</v>
      </c>
    </row>
    <row r="3610" spans="1:9" x14ac:dyDescent="0.2">
      <c r="A3610" s="3">
        <v>42600</v>
      </c>
      <c r="B3610" t="s">
        <v>23</v>
      </c>
      <c r="C3610">
        <v>202</v>
      </c>
      <c r="D3610">
        <v>4</v>
      </c>
      <c r="E3610">
        <v>2</v>
      </c>
      <c r="F3610" t="s">
        <v>64</v>
      </c>
      <c r="G3610" t="s">
        <v>25</v>
      </c>
      <c r="H3610" t="s">
        <v>26</v>
      </c>
      <c r="I3610" t="s">
        <v>57</v>
      </c>
    </row>
    <row r="3611" spans="1:9" x14ac:dyDescent="0.2">
      <c r="A3611" s="3">
        <v>42600</v>
      </c>
      <c r="B3611" t="s">
        <v>23</v>
      </c>
      <c r="C3611">
        <v>202</v>
      </c>
      <c r="D3611">
        <v>7</v>
      </c>
      <c r="E3611">
        <v>1</v>
      </c>
      <c r="F3611" t="s">
        <v>64</v>
      </c>
      <c r="G3611" t="s">
        <v>25</v>
      </c>
      <c r="H3611" t="s">
        <v>26</v>
      </c>
      <c r="I3611" t="s">
        <v>57</v>
      </c>
    </row>
    <row r="3612" spans="1:9" x14ac:dyDescent="0.2">
      <c r="A3612" s="3">
        <v>42600</v>
      </c>
      <c r="B3612" t="s">
        <v>23</v>
      </c>
      <c r="C3612">
        <v>202</v>
      </c>
      <c r="D3612">
        <v>8</v>
      </c>
      <c r="E3612">
        <v>1</v>
      </c>
      <c r="F3612" t="s">
        <v>64</v>
      </c>
      <c r="G3612" t="s">
        <v>25</v>
      </c>
      <c r="H3612" t="s">
        <v>26</v>
      </c>
      <c r="I3612" t="s">
        <v>57</v>
      </c>
    </row>
    <row r="3613" spans="1:9" x14ac:dyDescent="0.2">
      <c r="A3613" s="3">
        <v>42600</v>
      </c>
      <c r="B3613" t="s">
        <v>23</v>
      </c>
      <c r="C3613">
        <v>202</v>
      </c>
      <c r="D3613">
        <v>8</v>
      </c>
      <c r="E3613">
        <v>2</v>
      </c>
      <c r="F3613" t="s">
        <v>64</v>
      </c>
      <c r="G3613" t="s">
        <v>25</v>
      </c>
      <c r="H3613" t="s">
        <v>26</v>
      </c>
      <c r="I3613" t="s">
        <v>57</v>
      </c>
    </row>
    <row r="3614" spans="1:9" x14ac:dyDescent="0.2">
      <c r="A3614" s="3">
        <v>42600</v>
      </c>
      <c r="B3614" t="s">
        <v>23</v>
      </c>
      <c r="C3614">
        <v>202</v>
      </c>
      <c r="D3614">
        <v>9</v>
      </c>
      <c r="E3614">
        <v>1</v>
      </c>
      <c r="F3614" t="s">
        <v>64</v>
      </c>
      <c r="G3614" t="s">
        <v>25</v>
      </c>
      <c r="H3614" t="s">
        <v>26</v>
      </c>
      <c r="I3614" t="s">
        <v>57</v>
      </c>
    </row>
    <row r="3615" spans="1:9" x14ac:dyDescent="0.2">
      <c r="A3615" s="3">
        <v>42600</v>
      </c>
      <c r="B3615" t="s">
        <v>23</v>
      </c>
      <c r="C3615">
        <v>304</v>
      </c>
      <c r="D3615">
        <v>10</v>
      </c>
      <c r="E3615">
        <v>2</v>
      </c>
      <c r="F3615" t="s">
        <v>64</v>
      </c>
      <c r="G3615" t="s">
        <v>25</v>
      </c>
      <c r="H3615" t="s">
        <v>26</v>
      </c>
      <c r="I3615" t="s">
        <v>57</v>
      </c>
    </row>
    <row r="3616" spans="1:9" x14ac:dyDescent="0.2">
      <c r="A3616" s="3">
        <v>42600</v>
      </c>
      <c r="B3616" t="s">
        <v>23</v>
      </c>
      <c r="C3616">
        <v>304</v>
      </c>
      <c r="D3616">
        <v>9</v>
      </c>
      <c r="E3616">
        <v>1</v>
      </c>
      <c r="F3616" t="s">
        <v>64</v>
      </c>
      <c r="G3616" t="s">
        <v>25</v>
      </c>
      <c r="H3616" t="s">
        <v>26</v>
      </c>
      <c r="I3616" t="s">
        <v>57</v>
      </c>
    </row>
    <row r="3617" spans="1:9" x14ac:dyDescent="0.2">
      <c r="A3617" s="3">
        <v>42600</v>
      </c>
      <c r="B3617" t="s">
        <v>23</v>
      </c>
      <c r="C3617">
        <v>304</v>
      </c>
      <c r="D3617">
        <v>9</v>
      </c>
      <c r="E3617">
        <v>2</v>
      </c>
      <c r="F3617" t="s">
        <v>64</v>
      </c>
      <c r="G3617" t="s">
        <v>25</v>
      </c>
      <c r="H3617" t="s">
        <v>26</v>
      </c>
      <c r="I3617" t="s">
        <v>57</v>
      </c>
    </row>
    <row r="3618" spans="1:9" x14ac:dyDescent="0.2">
      <c r="A3618" s="3">
        <v>42600</v>
      </c>
      <c r="B3618" t="s">
        <v>23</v>
      </c>
      <c r="C3618">
        <v>304</v>
      </c>
      <c r="D3618">
        <v>7</v>
      </c>
      <c r="E3618">
        <v>1</v>
      </c>
      <c r="F3618" t="s">
        <v>64</v>
      </c>
      <c r="G3618" t="s">
        <v>25</v>
      </c>
      <c r="H3618" t="s">
        <v>26</v>
      </c>
      <c r="I3618" t="s">
        <v>57</v>
      </c>
    </row>
    <row r="3619" spans="1:9" x14ac:dyDescent="0.2">
      <c r="A3619" s="3">
        <v>42600</v>
      </c>
      <c r="B3619" t="s">
        <v>23</v>
      </c>
      <c r="C3619">
        <v>304</v>
      </c>
      <c r="D3619">
        <v>4</v>
      </c>
      <c r="E3619">
        <v>1</v>
      </c>
      <c r="F3619" t="s">
        <v>64</v>
      </c>
      <c r="G3619" t="s">
        <v>25</v>
      </c>
      <c r="H3619" t="s">
        <v>26</v>
      </c>
      <c r="I3619" t="s">
        <v>57</v>
      </c>
    </row>
    <row r="3620" spans="1:9" x14ac:dyDescent="0.2">
      <c r="A3620" s="3">
        <v>42600</v>
      </c>
      <c r="B3620" t="s">
        <v>23</v>
      </c>
      <c r="C3620">
        <v>304</v>
      </c>
      <c r="D3620">
        <v>4</v>
      </c>
      <c r="E3620">
        <v>2</v>
      </c>
      <c r="F3620" t="s">
        <v>64</v>
      </c>
      <c r="G3620" t="s">
        <v>25</v>
      </c>
      <c r="H3620" t="s">
        <v>26</v>
      </c>
      <c r="I3620" t="s">
        <v>57</v>
      </c>
    </row>
    <row r="3621" spans="1:9" x14ac:dyDescent="0.2">
      <c r="A3621" s="3">
        <v>42604</v>
      </c>
      <c r="B3621" t="s">
        <v>23</v>
      </c>
      <c r="C3621">
        <v>703</v>
      </c>
      <c r="D3621">
        <v>2</v>
      </c>
      <c r="E3621">
        <v>1</v>
      </c>
      <c r="F3621" t="s">
        <v>24</v>
      </c>
      <c r="G3621" t="s">
        <v>25</v>
      </c>
      <c r="H3621" t="s">
        <v>26</v>
      </c>
      <c r="I3621" t="s">
        <v>57</v>
      </c>
    </row>
    <row r="3622" spans="1:9" x14ac:dyDescent="0.2">
      <c r="A3622" s="3">
        <v>42604</v>
      </c>
      <c r="B3622" t="s">
        <v>23</v>
      </c>
      <c r="C3622">
        <v>703</v>
      </c>
      <c r="D3622">
        <v>4</v>
      </c>
      <c r="E3622">
        <v>1</v>
      </c>
      <c r="F3622" t="s">
        <v>24</v>
      </c>
      <c r="G3622" t="s">
        <v>25</v>
      </c>
      <c r="H3622" t="s">
        <v>26</v>
      </c>
      <c r="I3622" t="s">
        <v>57</v>
      </c>
    </row>
    <row r="3623" spans="1:9" x14ac:dyDescent="0.2">
      <c r="A3623" s="3">
        <v>42604</v>
      </c>
      <c r="B3623" t="s">
        <v>23</v>
      </c>
      <c r="C3623">
        <v>703</v>
      </c>
      <c r="D3623">
        <v>4</v>
      </c>
      <c r="E3623">
        <v>2</v>
      </c>
      <c r="F3623" t="s">
        <v>24</v>
      </c>
      <c r="G3623" t="s">
        <v>25</v>
      </c>
      <c r="H3623" t="s">
        <v>26</v>
      </c>
      <c r="I3623" t="s">
        <v>57</v>
      </c>
    </row>
    <row r="3624" spans="1:9" x14ac:dyDescent="0.2">
      <c r="A3624" s="3">
        <v>42604</v>
      </c>
      <c r="B3624" t="s">
        <v>23</v>
      </c>
      <c r="C3624">
        <v>703</v>
      </c>
      <c r="D3624">
        <v>5</v>
      </c>
      <c r="E3624">
        <v>1</v>
      </c>
      <c r="F3624" t="s">
        <v>24</v>
      </c>
      <c r="G3624" t="s">
        <v>25</v>
      </c>
      <c r="H3624" t="s">
        <v>26</v>
      </c>
      <c r="I3624" t="s">
        <v>57</v>
      </c>
    </row>
    <row r="3625" spans="1:9" x14ac:dyDescent="0.2">
      <c r="A3625" s="3">
        <v>42604</v>
      </c>
      <c r="B3625" t="s">
        <v>23</v>
      </c>
      <c r="C3625">
        <v>703</v>
      </c>
      <c r="D3625">
        <v>7</v>
      </c>
      <c r="E3625">
        <v>1</v>
      </c>
      <c r="F3625" t="s">
        <v>24</v>
      </c>
      <c r="G3625" t="s">
        <v>25</v>
      </c>
      <c r="H3625" t="s">
        <v>26</v>
      </c>
      <c r="I3625" t="s">
        <v>57</v>
      </c>
    </row>
    <row r="3626" spans="1:9" x14ac:dyDescent="0.2">
      <c r="A3626" s="3">
        <v>42604</v>
      </c>
      <c r="B3626" t="s">
        <v>23</v>
      </c>
      <c r="C3626">
        <v>703</v>
      </c>
      <c r="D3626">
        <v>9</v>
      </c>
      <c r="E3626">
        <v>1</v>
      </c>
      <c r="F3626" t="s">
        <v>24</v>
      </c>
      <c r="G3626" t="s">
        <v>25</v>
      </c>
      <c r="H3626" t="s">
        <v>26</v>
      </c>
      <c r="I3626" t="s">
        <v>57</v>
      </c>
    </row>
    <row r="3627" spans="1:9" x14ac:dyDescent="0.2">
      <c r="A3627" s="3">
        <v>42604</v>
      </c>
      <c r="B3627" t="s">
        <v>23</v>
      </c>
      <c r="C3627">
        <v>703</v>
      </c>
      <c r="D3627">
        <v>10</v>
      </c>
      <c r="E3627">
        <v>1</v>
      </c>
      <c r="F3627" t="s">
        <v>24</v>
      </c>
      <c r="G3627" t="s">
        <v>25</v>
      </c>
      <c r="H3627" t="s">
        <v>26</v>
      </c>
      <c r="I3627" t="s">
        <v>57</v>
      </c>
    </row>
    <row r="3628" spans="1:9" x14ac:dyDescent="0.2">
      <c r="A3628" s="3">
        <v>42604</v>
      </c>
      <c r="B3628" t="s">
        <v>23</v>
      </c>
      <c r="C3628">
        <v>701</v>
      </c>
      <c r="D3628">
        <v>2</v>
      </c>
      <c r="E3628">
        <v>1</v>
      </c>
      <c r="F3628" t="s">
        <v>24</v>
      </c>
      <c r="G3628" t="s">
        <v>25</v>
      </c>
      <c r="H3628" t="s">
        <v>26</v>
      </c>
      <c r="I3628" t="s">
        <v>57</v>
      </c>
    </row>
    <row r="3629" spans="1:9" x14ac:dyDescent="0.2">
      <c r="A3629" s="3">
        <v>42604</v>
      </c>
      <c r="B3629" t="s">
        <v>23</v>
      </c>
      <c r="C3629">
        <v>701</v>
      </c>
      <c r="D3629">
        <v>3</v>
      </c>
      <c r="E3629">
        <v>1</v>
      </c>
      <c r="F3629" t="s">
        <v>24</v>
      </c>
      <c r="G3629" t="s">
        <v>25</v>
      </c>
      <c r="H3629" t="s">
        <v>26</v>
      </c>
      <c r="I3629" t="s">
        <v>57</v>
      </c>
    </row>
    <row r="3630" spans="1:9" x14ac:dyDescent="0.2">
      <c r="A3630" s="3">
        <v>42604</v>
      </c>
      <c r="B3630" t="s">
        <v>23</v>
      </c>
      <c r="C3630">
        <v>701</v>
      </c>
      <c r="D3630">
        <v>5</v>
      </c>
      <c r="E3630">
        <v>1</v>
      </c>
      <c r="F3630" t="s">
        <v>24</v>
      </c>
      <c r="G3630" t="s">
        <v>25</v>
      </c>
      <c r="H3630" t="s">
        <v>26</v>
      </c>
      <c r="I3630" t="s">
        <v>57</v>
      </c>
    </row>
    <row r="3631" spans="1:9" x14ac:dyDescent="0.2">
      <c r="A3631" s="3">
        <v>42604</v>
      </c>
      <c r="B3631" t="s">
        <v>23</v>
      </c>
      <c r="C3631">
        <v>701</v>
      </c>
      <c r="D3631">
        <v>7</v>
      </c>
      <c r="E3631">
        <v>1</v>
      </c>
      <c r="F3631" t="s">
        <v>24</v>
      </c>
      <c r="G3631" t="s">
        <v>25</v>
      </c>
      <c r="H3631" t="s">
        <v>26</v>
      </c>
      <c r="I3631" t="s">
        <v>57</v>
      </c>
    </row>
    <row r="3632" spans="1:9" x14ac:dyDescent="0.2">
      <c r="A3632" s="3">
        <v>42604</v>
      </c>
      <c r="B3632" t="s">
        <v>23</v>
      </c>
      <c r="C3632">
        <v>701</v>
      </c>
      <c r="D3632">
        <v>7</v>
      </c>
      <c r="E3632">
        <v>2</v>
      </c>
      <c r="F3632" t="s">
        <v>24</v>
      </c>
      <c r="G3632" t="s">
        <v>25</v>
      </c>
      <c r="H3632" t="s">
        <v>26</v>
      </c>
      <c r="I3632" t="s">
        <v>57</v>
      </c>
    </row>
    <row r="3633" spans="1:9" x14ac:dyDescent="0.2">
      <c r="A3633" s="3">
        <v>42604</v>
      </c>
      <c r="B3633" t="s">
        <v>23</v>
      </c>
      <c r="C3633">
        <v>701</v>
      </c>
      <c r="D3633">
        <v>8</v>
      </c>
      <c r="E3633">
        <v>1</v>
      </c>
      <c r="F3633" t="s">
        <v>24</v>
      </c>
      <c r="G3633" t="s">
        <v>25</v>
      </c>
      <c r="H3633" t="s">
        <v>26</v>
      </c>
      <c r="I3633" t="s">
        <v>57</v>
      </c>
    </row>
    <row r="3634" spans="1:9" x14ac:dyDescent="0.2">
      <c r="A3634" s="3">
        <v>42604</v>
      </c>
      <c r="B3634" t="s">
        <v>23</v>
      </c>
      <c r="C3634">
        <v>701</v>
      </c>
      <c r="D3634">
        <v>9</v>
      </c>
      <c r="E3634">
        <v>1</v>
      </c>
      <c r="F3634" t="s">
        <v>24</v>
      </c>
      <c r="G3634" t="s">
        <v>25</v>
      </c>
      <c r="H3634" t="s">
        <v>26</v>
      </c>
      <c r="I3634" t="s">
        <v>57</v>
      </c>
    </row>
    <row r="3635" spans="1:9" x14ac:dyDescent="0.2">
      <c r="A3635" s="3">
        <v>42604</v>
      </c>
      <c r="B3635" t="s">
        <v>23</v>
      </c>
      <c r="C3635">
        <v>801</v>
      </c>
      <c r="D3635">
        <v>1</v>
      </c>
      <c r="E3635">
        <v>1</v>
      </c>
      <c r="F3635" t="s">
        <v>24</v>
      </c>
      <c r="G3635" t="s">
        <v>25</v>
      </c>
      <c r="H3635" t="s">
        <v>26</v>
      </c>
      <c r="I3635" t="s">
        <v>57</v>
      </c>
    </row>
    <row r="3636" spans="1:9" x14ac:dyDescent="0.2">
      <c r="A3636" s="3">
        <v>42604</v>
      </c>
      <c r="B3636" t="s">
        <v>23</v>
      </c>
      <c r="C3636">
        <v>801</v>
      </c>
      <c r="D3636">
        <v>1</v>
      </c>
      <c r="E3636">
        <v>2</v>
      </c>
      <c r="F3636" t="s">
        <v>24</v>
      </c>
      <c r="G3636" t="s">
        <v>25</v>
      </c>
      <c r="H3636" t="s">
        <v>26</v>
      </c>
      <c r="I3636" t="s">
        <v>57</v>
      </c>
    </row>
    <row r="3637" spans="1:9" x14ac:dyDescent="0.2">
      <c r="A3637" s="3">
        <v>42604</v>
      </c>
      <c r="B3637" t="s">
        <v>23</v>
      </c>
      <c r="C3637">
        <v>801</v>
      </c>
      <c r="D3637">
        <v>3</v>
      </c>
      <c r="E3637">
        <v>1</v>
      </c>
      <c r="F3637" t="s">
        <v>24</v>
      </c>
      <c r="G3637" t="s">
        <v>25</v>
      </c>
      <c r="H3637" t="s">
        <v>26</v>
      </c>
      <c r="I3637" t="s">
        <v>57</v>
      </c>
    </row>
    <row r="3638" spans="1:9" x14ac:dyDescent="0.2">
      <c r="A3638" s="3">
        <v>42604</v>
      </c>
      <c r="B3638" t="s">
        <v>23</v>
      </c>
      <c r="C3638">
        <v>801</v>
      </c>
      <c r="D3638">
        <v>3</v>
      </c>
      <c r="E3638">
        <v>2</v>
      </c>
      <c r="F3638" t="s">
        <v>24</v>
      </c>
      <c r="G3638" t="s">
        <v>25</v>
      </c>
      <c r="H3638" t="s">
        <v>26</v>
      </c>
      <c r="I3638" t="s">
        <v>57</v>
      </c>
    </row>
    <row r="3639" spans="1:9" x14ac:dyDescent="0.2">
      <c r="A3639" s="3">
        <v>42604</v>
      </c>
      <c r="B3639" t="s">
        <v>23</v>
      </c>
      <c r="C3639">
        <v>801</v>
      </c>
      <c r="D3639">
        <v>4</v>
      </c>
      <c r="E3639">
        <v>1</v>
      </c>
      <c r="F3639" t="s">
        <v>24</v>
      </c>
      <c r="G3639" t="s">
        <v>25</v>
      </c>
      <c r="H3639" t="s">
        <v>26</v>
      </c>
      <c r="I3639" t="s">
        <v>57</v>
      </c>
    </row>
    <row r="3640" spans="1:9" x14ac:dyDescent="0.2">
      <c r="A3640" s="3">
        <v>42604</v>
      </c>
      <c r="B3640" t="s">
        <v>23</v>
      </c>
      <c r="C3640">
        <v>801</v>
      </c>
      <c r="D3640">
        <v>6</v>
      </c>
      <c r="E3640">
        <v>1</v>
      </c>
      <c r="F3640" t="s">
        <v>24</v>
      </c>
      <c r="G3640" t="s">
        <v>25</v>
      </c>
      <c r="H3640" t="s">
        <v>26</v>
      </c>
      <c r="I3640" t="s">
        <v>57</v>
      </c>
    </row>
    <row r="3641" spans="1:9" x14ac:dyDescent="0.2">
      <c r="A3641" s="3">
        <v>42604</v>
      </c>
      <c r="B3641" t="s">
        <v>23</v>
      </c>
      <c r="C3641">
        <v>801</v>
      </c>
      <c r="D3641">
        <v>8</v>
      </c>
      <c r="E3641">
        <v>1</v>
      </c>
      <c r="F3641" t="s">
        <v>24</v>
      </c>
      <c r="G3641" t="s">
        <v>25</v>
      </c>
      <c r="H3641" t="s">
        <v>26</v>
      </c>
      <c r="I3641" t="s">
        <v>57</v>
      </c>
    </row>
    <row r="3642" spans="1:9" x14ac:dyDescent="0.2">
      <c r="A3642" s="3">
        <v>42604</v>
      </c>
      <c r="B3642" t="s">
        <v>23</v>
      </c>
      <c r="C3642">
        <v>803</v>
      </c>
      <c r="D3642">
        <v>9</v>
      </c>
      <c r="E3642">
        <v>1</v>
      </c>
      <c r="F3642" t="s">
        <v>24</v>
      </c>
      <c r="G3642" t="s">
        <v>25</v>
      </c>
      <c r="H3642" t="s">
        <v>26</v>
      </c>
      <c r="I3642" t="s">
        <v>57</v>
      </c>
    </row>
    <row r="3643" spans="1:9" x14ac:dyDescent="0.2">
      <c r="A3643" s="3">
        <v>42604</v>
      </c>
      <c r="B3643" t="s">
        <v>23</v>
      </c>
      <c r="C3643">
        <v>803</v>
      </c>
      <c r="D3643">
        <v>8</v>
      </c>
      <c r="E3643">
        <v>1</v>
      </c>
      <c r="F3643" t="s">
        <v>24</v>
      </c>
      <c r="G3643" t="s">
        <v>25</v>
      </c>
      <c r="H3643" t="s">
        <v>26</v>
      </c>
      <c r="I3643" t="s">
        <v>57</v>
      </c>
    </row>
    <row r="3644" spans="1:9" x14ac:dyDescent="0.2">
      <c r="A3644" s="3">
        <v>42604</v>
      </c>
      <c r="B3644" t="s">
        <v>23</v>
      </c>
      <c r="C3644">
        <v>803</v>
      </c>
      <c r="D3644">
        <v>8</v>
      </c>
      <c r="E3644">
        <v>2</v>
      </c>
      <c r="F3644" t="s">
        <v>24</v>
      </c>
      <c r="G3644" t="s">
        <v>25</v>
      </c>
      <c r="H3644" t="s">
        <v>26</v>
      </c>
      <c r="I3644" t="s">
        <v>57</v>
      </c>
    </row>
    <row r="3645" spans="1:9" x14ac:dyDescent="0.2">
      <c r="A3645" s="3">
        <v>42604</v>
      </c>
      <c r="B3645" t="s">
        <v>23</v>
      </c>
      <c r="C3645">
        <v>803</v>
      </c>
      <c r="D3645">
        <v>7</v>
      </c>
      <c r="E3645">
        <v>1</v>
      </c>
      <c r="F3645" t="s">
        <v>24</v>
      </c>
      <c r="G3645" t="s">
        <v>25</v>
      </c>
      <c r="H3645" t="s">
        <v>26</v>
      </c>
      <c r="I3645" t="s">
        <v>57</v>
      </c>
    </row>
    <row r="3646" spans="1:9" x14ac:dyDescent="0.2">
      <c r="A3646" s="3">
        <v>42604</v>
      </c>
      <c r="B3646" t="s">
        <v>23</v>
      </c>
      <c r="C3646">
        <v>803</v>
      </c>
      <c r="D3646">
        <v>7</v>
      </c>
      <c r="E3646">
        <v>2</v>
      </c>
      <c r="F3646" t="s">
        <v>24</v>
      </c>
      <c r="G3646" t="s">
        <v>25</v>
      </c>
      <c r="H3646" t="s">
        <v>26</v>
      </c>
      <c r="I3646" t="s">
        <v>57</v>
      </c>
    </row>
    <row r="3647" spans="1:9" x14ac:dyDescent="0.2">
      <c r="A3647" s="3">
        <v>42604</v>
      </c>
      <c r="B3647" t="s">
        <v>23</v>
      </c>
      <c r="C3647">
        <v>803</v>
      </c>
      <c r="D3647">
        <v>3</v>
      </c>
      <c r="E3647">
        <v>1</v>
      </c>
      <c r="F3647" t="s">
        <v>24</v>
      </c>
      <c r="G3647" t="s">
        <v>25</v>
      </c>
      <c r="H3647" t="s">
        <v>26</v>
      </c>
      <c r="I3647" t="s">
        <v>57</v>
      </c>
    </row>
    <row r="3648" spans="1:9" x14ac:dyDescent="0.2">
      <c r="A3648" s="3">
        <v>42604</v>
      </c>
      <c r="B3648" t="s">
        <v>23</v>
      </c>
      <c r="C3648">
        <v>803</v>
      </c>
      <c r="D3648">
        <v>3</v>
      </c>
      <c r="E3648">
        <v>2</v>
      </c>
      <c r="F3648" t="s">
        <v>24</v>
      </c>
      <c r="G3648" t="s">
        <v>25</v>
      </c>
      <c r="H3648" t="s">
        <v>26</v>
      </c>
      <c r="I3648" t="s">
        <v>57</v>
      </c>
    </row>
    <row r="3649" spans="1:9" x14ac:dyDescent="0.2">
      <c r="A3649" s="3">
        <v>42604</v>
      </c>
      <c r="B3649" t="s">
        <v>23</v>
      </c>
      <c r="C3649">
        <v>803</v>
      </c>
      <c r="D3649">
        <v>2</v>
      </c>
      <c r="E3649">
        <v>1</v>
      </c>
      <c r="F3649" t="s">
        <v>24</v>
      </c>
      <c r="G3649" t="s">
        <v>25</v>
      </c>
      <c r="H3649" t="s">
        <v>26</v>
      </c>
      <c r="I3649" t="s">
        <v>57</v>
      </c>
    </row>
    <row r="3650" spans="1:9" x14ac:dyDescent="0.2">
      <c r="A3650" s="3">
        <v>42604</v>
      </c>
      <c r="B3650" t="s">
        <v>23</v>
      </c>
      <c r="C3650">
        <v>803</v>
      </c>
      <c r="D3650">
        <v>1</v>
      </c>
      <c r="E3650">
        <v>1</v>
      </c>
      <c r="F3650" t="s">
        <v>24</v>
      </c>
      <c r="G3650" t="s">
        <v>25</v>
      </c>
      <c r="H3650" t="s">
        <v>26</v>
      </c>
      <c r="I3650" t="s">
        <v>57</v>
      </c>
    </row>
    <row r="3651" spans="1:9" x14ac:dyDescent="0.2">
      <c r="A3651" s="3">
        <v>42604</v>
      </c>
      <c r="B3651" t="s">
        <v>23</v>
      </c>
      <c r="C3651">
        <v>901</v>
      </c>
      <c r="D3651">
        <v>1</v>
      </c>
      <c r="E3651">
        <v>1</v>
      </c>
      <c r="F3651" t="s">
        <v>24</v>
      </c>
      <c r="G3651" t="s">
        <v>25</v>
      </c>
      <c r="H3651" t="s">
        <v>26</v>
      </c>
      <c r="I3651" t="s">
        <v>57</v>
      </c>
    </row>
    <row r="3652" spans="1:9" x14ac:dyDescent="0.2">
      <c r="A3652" s="3">
        <v>42604</v>
      </c>
      <c r="B3652" t="s">
        <v>23</v>
      </c>
      <c r="C3652">
        <v>901</v>
      </c>
      <c r="D3652">
        <v>1</v>
      </c>
      <c r="E3652">
        <v>2</v>
      </c>
      <c r="F3652" t="s">
        <v>24</v>
      </c>
      <c r="G3652" t="s">
        <v>25</v>
      </c>
      <c r="H3652" t="s">
        <v>26</v>
      </c>
      <c r="I3652" t="s">
        <v>57</v>
      </c>
    </row>
    <row r="3653" spans="1:9" x14ac:dyDescent="0.2">
      <c r="A3653" s="3">
        <v>42604</v>
      </c>
      <c r="B3653" t="s">
        <v>23</v>
      </c>
      <c r="C3653">
        <v>901</v>
      </c>
      <c r="D3653">
        <v>5</v>
      </c>
      <c r="E3653">
        <v>1</v>
      </c>
      <c r="F3653" t="s">
        <v>24</v>
      </c>
      <c r="G3653" t="s">
        <v>25</v>
      </c>
      <c r="H3653" t="s">
        <v>26</v>
      </c>
      <c r="I3653" t="s">
        <v>57</v>
      </c>
    </row>
    <row r="3654" spans="1:9" x14ac:dyDescent="0.2">
      <c r="A3654" s="3">
        <v>42604</v>
      </c>
      <c r="B3654" t="s">
        <v>23</v>
      </c>
      <c r="C3654">
        <v>901</v>
      </c>
      <c r="D3654">
        <v>5</v>
      </c>
      <c r="E3654">
        <v>2</v>
      </c>
      <c r="F3654" t="s">
        <v>24</v>
      </c>
      <c r="G3654" t="s">
        <v>25</v>
      </c>
      <c r="H3654" t="s">
        <v>26</v>
      </c>
      <c r="I3654" t="s">
        <v>57</v>
      </c>
    </row>
    <row r="3655" spans="1:9" x14ac:dyDescent="0.2">
      <c r="A3655" s="3">
        <v>42604</v>
      </c>
      <c r="B3655" t="s">
        <v>23</v>
      </c>
      <c r="C3655">
        <v>901</v>
      </c>
      <c r="D3655">
        <v>10</v>
      </c>
      <c r="E3655">
        <v>1</v>
      </c>
      <c r="F3655" t="s">
        <v>24</v>
      </c>
      <c r="G3655" t="s">
        <v>25</v>
      </c>
      <c r="H3655" t="s">
        <v>26</v>
      </c>
      <c r="I3655" t="s">
        <v>57</v>
      </c>
    </row>
    <row r="3656" spans="1:9" x14ac:dyDescent="0.2">
      <c r="A3656" s="3">
        <v>42604</v>
      </c>
      <c r="B3656" t="s">
        <v>23</v>
      </c>
      <c r="C3656">
        <v>901</v>
      </c>
      <c r="D3656">
        <v>10</v>
      </c>
      <c r="E3656">
        <v>2</v>
      </c>
      <c r="F3656" t="s">
        <v>24</v>
      </c>
      <c r="G3656" t="s">
        <v>25</v>
      </c>
      <c r="H3656" t="s">
        <v>26</v>
      </c>
      <c r="I3656" t="s">
        <v>57</v>
      </c>
    </row>
    <row r="3657" spans="1:9" x14ac:dyDescent="0.2">
      <c r="A3657" s="3">
        <v>42604</v>
      </c>
      <c r="B3657" t="s">
        <v>23</v>
      </c>
      <c r="C3657">
        <v>501</v>
      </c>
      <c r="D3657">
        <v>5</v>
      </c>
      <c r="E3657">
        <v>2</v>
      </c>
      <c r="F3657" t="s">
        <v>64</v>
      </c>
      <c r="G3657" t="s">
        <v>25</v>
      </c>
      <c r="H3657" t="s">
        <v>26</v>
      </c>
      <c r="I3657" t="s">
        <v>57</v>
      </c>
    </row>
    <row r="3658" spans="1:9" x14ac:dyDescent="0.2">
      <c r="A3658" s="3">
        <v>42604</v>
      </c>
      <c r="B3658" t="s">
        <v>23</v>
      </c>
      <c r="C3658">
        <v>501</v>
      </c>
      <c r="D3658">
        <v>10</v>
      </c>
      <c r="E3658">
        <v>1</v>
      </c>
      <c r="F3658" t="s">
        <v>64</v>
      </c>
      <c r="G3658" t="s">
        <v>25</v>
      </c>
      <c r="H3658" t="s">
        <v>26</v>
      </c>
      <c r="I3658" t="s">
        <v>57</v>
      </c>
    </row>
    <row r="3659" spans="1:9" x14ac:dyDescent="0.2">
      <c r="A3659" s="3">
        <v>42604</v>
      </c>
      <c r="B3659" t="s">
        <v>23</v>
      </c>
      <c r="C3659">
        <v>503</v>
      </c>
      <c r="D3659">
        <v>2</v>
      </c>
      <c r="E3659">
        <v>1</v>
      </c>
      <c r="F3659" t="s">
        <v>64</v>
      </c>
      <c r="G3659" t="s">
        <v>25</v>
      </c>
      <c r="H3659" t="s">
        <v>26</v>
      </c>
      <c r="I3659" t="s">
        <v>57</v>
      </c>
    </row>
    <row r="3660" spans="1:9" x14ac:dyDescent="0.2">
      <c r="A3660" s="3">
        <v>42604</v>
      </c>
      <c r="B3660" t="s">
        <v>23</v>
      </c>
      <c r="C3660">
        <v>503</v>
      </c>
      <c r="D3660">
        <v>4</v>
      </c>
      <c r="E3660">
        <v>1</v>
      </c>
      <c r="F3660" t="s">
        <v>64</v>
      </c>
      <c r="G3660" t="s">
        <v>25</v>
      </c>
      <c r="H3660" t="s">
        <v>26</v>
      </c>
      <c r="I3660" t="s">
        <v>57</v>
      </c>
    </row>
    <row r="3661" spans="1:9" x14ac:dyDescent="0.2">
      <c r="A3661" s="3">
        <v>42604</v>
      </c>
      <c r="B3661" t="s">
        <v>23</v>
      </c>
      <c r="C3661">
        <v>503</v>
      </c>
      <c r="D3661">
        <v>5</v>
      </c>
      <c r="E3661">
        <v>1</v>
      </c>
      <c r="F3661" t="s">
        <v>64</v>
      </c>
      <c r="G3661" t="s">
        <v>25</v>
      </c>
      <c r="H3661" t="s">
        <v>26</v>
      </c>
      <c r="I3661" t="s">
        <v>57</v>
      </c>
    </row>
    <row r="3662" spans="1:9" x14ac:dyDescent="0.2">
      <c r="A3662" s="3">
        <v>42604</v>
      </c>
      <c r="B3662" t="s">
        <v>23</v>
      </c>
      <c r="C3662">
        <v>503</v>
      </c>
      <c r="D3662">
        <v>6</v>
      </c>
      <c r="E3662">
        <v>1</v>
      </c>
      <c r="F3662" t="s">
        <v>64</v>
      </c>
      <c r="G3662" t="s">
        <v>25</v>
      </c>
      <c r="H3662" t="s">
        <v>26</v>
      </c>
      <c r="I3662" t="s">
        <v>57</v>
      </c>
    </row>
    <row r="3663" spans="1:9" x14ac:dyDescent="0.2">
      <c r="A3663" s="3">
        <v>42604</v>
      </c>
      <c r="B3663" t="s">
        <v>23</v>
      </c>
      <c r="C3663">
        <v>503</v>
      </c>
      <c r="D3663">
        <v>8</v>
      </c>
      <c r="E3663">
        <v>1</v>
      </c>
      <c r="F3663" t="s">
        <v>64</v>
      </c>
      <c r="G3663" t="s">
        <v>25</v>
      </c>
      <c r="H3663" t="s">
        <v>26</v>
      </c>
      <c r="I3663" t="s">
        <v>57</v>
      </c>
    </row>
    <row r="3664" spans="1:9" x14ac:dyDescent="0.2">
      <c r="A3664" s="3">
        <v>42604</v>
      </c>
      <c r="B3664" t="s">
        <v>23</v>
      </c>
      <c r="C3664">
        <v>503</v>
      </c>
      <c r="D3664">
        <v>9</v>
      </c>
      <c r="E3664">
        <v>1</v>
      </c>
      <c r="F3664" t="s">
        <v>64</v>
      </c>
      <c r="G3664" t="s">
        <v>25</v>
      </c>
      <c r="H3664" t="s">
        <v>26</v>
      </c>
      <c r="I3664" t="s">
        <v>57</v>
      </c>
    </row>
    <row r="3665" spans="1:9" x14ac:dyDescent="0.2">
      <c r="A3665" s="3">
        <v>42604</v>
      </c>
      <c r="B3665" t="s">
        <v>23</v>
      </c>
      <c r="C3665">
        <v>503</v>
      </c>
      <c r="D3665">
        <v>10</v>
      </c>
      <c r="E3665">
        <v>1</v>
      </c>
      <c r="F3665" t="s">
        <v>64</v>
      </c>
      <c r="G3665" t="s">
        <v>25</v>
      </c>
      <c r="H3665" t="s">
        <v>26</v>
      </c>
      <c r="I3665" t="s">
        <v>57</v>
      </c>
    </row>
    <row r="3666" spans="1:9" x14ac:dyDescent="0.2">
      <c r="A3666" s="3">
        <v>42604</v>
      </c>
      <c r="B3666" t="s">
        <v>23</v>
      </c>
      <c r="C3666">
        <v>503</v>
      </c>
      <c r="D3666">
        <v>10</v>
      </c>
      <c r="E3666">
        <v>2</v>
      </c>
      <c r="F3666" t="s">
        <v>64</v>
      </c>
      <c r="G3666" t="s">
        <v>25</v>
      </c>
      <c r="H3666" t="s">
        <v>26</v>
      </c>
      <c r="I3666" t="s">
        <v>57</v>
      </c>
    </row>
    <row r="3667" spans="1:9" x14ac:dyDescent="0.2">
      <c r="A3667" s="3">
        <v>42604</v>
      </c>
      <c r="B3667" t="s">
        <v>23</v>
      </c>
      <c r="C3667">
        <v>303</v>
      </c>
      <c r="D3667">
        <v>1</v>
      </c>
      <c r="E3667">
        <v>1</v>
      </c>
      <c r="F3667" t="s">
        <v>64</v>
      </c>
      <c r="G3667" t="s">
        <v>25</v>
      </c>
      <c r="H3667" t="s">
        <v>26</v>
      </c>
      <c r="I3667" t="s">
        <v>57</v>
      </c>
    </row>
    <row r="3668" spans="1:9" x14ac:dyDescent="0.2">
      <c r="A3668" s="3">
        <v>42604</v>
      </c>
      <c r="B3668" t="s">
        <v>23</v>
      </c>
      <c r="C3668">
        <v>303</v>
      </c>
      <c r="D3668">
        <v>2</v>
      </c>
      <c r="E3668">
        <v>1</v>
      </c>
      <c r="F3668" t="s">
        <v>64</v>
      </c>
      <c r="G3668" t="s">
        <v>25</v>
      </c>
      <c r="H3668" t="s">
        <v>26</v>
      </c>
      <c r="I3668" t="s">
        <v>57</v>
      </c>
    </row>
    <row r="3669" spans="1:9" x14ac:dyDescent="0.2">
      <c r="A3669" s="3">
        <v>42604</v>
      </c>
      <c r="B3669" t="s">
        <v>23</v>
      </c>
      <c r="C3669">
        <v>303</v>
      </c>
      <c r="D3669">
        <v>3</v>
      </c>
      <c r="E3669">
        <v>1</v>
      </c>
      <c r="F3669" t="s">
        <v>64</v>
      </c>
      <c r="G3669" t="s">
        <v>25</v>
      </c>
      <c r="H3669" t="s">
        <v>26</v>
      </c>
      <c r="I3669" t="s">
        <v>57</v>
      </c>
    </row>
    <row r="3670" spans="1:9" x14ac:dyDescent="0.2">
      <c r="A3670" s="3">
        <v>42604</v>
      </c>
      <c r="B3670" t="s">
        <v>23</v>
      </c>
      <c r="C3670">
        <v>303</v>
      </c>
      <c r="D3670">
        <v>5</v>
      </c>
      <c r="E3670">
        <v>1</v>
      </c>
      <c r="F3670" t="s">
        <v>64</v>
      </c>
      <c r="G3670" t="s">
        <v>25</v>
      </c>
      <c r="H3670" t="s">
        <v>26</v>
      </c>
      <c r="I3670" t="s">
        <v>57</v>
      </c>
    </row>
    <row r="3671" spans="1:9" x14ac:dyDescent="0.2">
      <c r="A3671" s="3">
        <v>42604</v>
      </c>
      <c r="B3671" t="s">
        <v>23</v>
      </c>
      <c r="C3671">
        <v>303</v>
      </c>
      <c r="D3671">
        <v>8</v>
      </c>
      <c r="E3671">
        <v>1</v>
      </c>
      <c r="F3671" t="s">
        <v>64</v>
      </c>
      <c r="G3671" t="s">
        <v>25</v>
      </c>
      <c r="H3671" t="s">
        <v>26</v>
      </c>
      <c r="I3671" t="s">
        <v>57</v>
      </c>
    </row>
    <row r="3672" spans="1:9" x14ac:dyDescent="0.2">
      <c r="A3672" s="3">
        <v>42604</v>
      </c>
      <c r="B3672" t="s">
        <v>23</v>
      </c>
      <c r="C3672">
        <v>303</v>
      </c>
      <c r="D3672">
        <v>9</v>
      </c>
      <c r="E3672">
        <v>1</v>
      </c>
      <c r="F3672" t="s">
        <v>64</v>
      </c>
      <c r="G3672" t="s">
        <v>25</v>
      </c>
      <c r="H3672" t="s">
        <v>26</v>
      </c>
      <c r="I3672" t="s">
        <v>57</v>
      </c>
    </row>
    <row r="3673" spans="1:9" x14ac:dyDescent="0.2">
      <c r="A3673" s="3">
        <v>42604</v>
      </c>
      <c r="B3673" t="s">
        <v>23</v>
      </c>
      <c r="C3673">
        <v>303</v>
      </c>
      <c r="D3673">
        <v>10</v>
      </c>
      <c r="E3673">
        <v>1</v>
      </c>
      <c r="F3673" t="s">
        <v>64</v>
      </c>
      <c r="G3673" t="s">
        <v>25</v>
      </c>
      <c r="H3673" t="s">
        <v>26</v>
      </c>
      <c r="I3673" t="s">
        <v>57</v>
      </c>
    </row>
    <row r="3674" spans="1:9" x14ac:dyDescent="0.2">
      <c r="A3674" s="3">
        <v>42604</v>
      </c>
      <c r="B3674" t="s">
        <v>23</v>
      </c>
      <c r="C3674">
        <v>401</v>
      </c>
      <c r="D3674">
        <v>1</v>
      </c>
      <c r="E3674">
        <v>2</v>
      </c>
      <c r="F3674" t="s">
        <v>64</v>
      </c>
      <c r="G3674" t="s">
        <v>25</v>
      </c>
      <c r="H3674" t="s">
        <v>26</v>
      </c>
      <c r="I3674" t="s">
        <v>57</v>
      </c>
    </row>
    <row r="3675" spans="1:9" x14ac:dyDescent="0.2">
      <c r="A3675" s="3">
        <v>42604</v>
      </c>
      <c r="B3675" t="s">
        <v>23</v>
      </c>
      <c r="C3675">
        <v>401</v>
      </c>
      <c r="D3675">
        <v>2</v>
      </c>
      <c r="E3675">
        <v>1</v>
      </c>
      <c r="F3675" t="s">
        <v>64</v>
      </c>
      <c r="G3675" t="s">
        <v>25</v>
      </c>
      <c r="H3675" t="s">
        <v>26</v>
      </c>
      <c r="I3675" t="s">
        <v>57</v>
      </c>
    </row>
    <row r="3676" spans="1:9" x14ac:dyDescent="0.2">
      <c r="A3676" s="3">
        <v>42604</v>
      </c>
      <c r="B3676" t="s">
        <v>23</v>
      </c>
      <c r="C3676">
        <v>401</v>
      </c>
      <c r="D3676">
        <v>2</v>
      </c>
      <c r="E3676">
        <v>2</v>
      </c>
      <c r="F3676" t="s">
        <v>64</v>
      </c>
      <c r="G3676" t="s">
        <v>25</v>
      </c>
      <c r="H3676" t="s">
        <v>26</v>
      </c>
      <c r="I3676" t="s">
        <v>57</v>
      </c>
    </row>
    <row r="3677" spans="1:9" x14ac:dyDescent="0.2">
      <c r="A3677" s="3">
        <v>42604</v>
      </c>
      <c r="B3677" t="s">
        <v>23</v>
      </c>
      <c r="C3677">
        <v>401</v>
      </c>
      <c r="D3677">
        <v>4</v>
      </c>
      <c r="E3677">
        <v>2</v>
      </c>
      <c r="F3677" t="s">
        <v>64</v>
      </c>
      <c r="G3677" t="s">
        <v>25</v>
      </c>
      <c r="H3677" t="s">
        <v>26</v>
      </c>
      <c r="I3677" t="s">
        <v>57</v>
      </c>
    </row>
    <row r="3678" spans="1:9" x14ac:dyDescent="0.2">
      <c r="A3678" s="3">
        <v>42604</v>
      </c>
      <c r="B3678" t="s">
        <v>23</v>
      </c>
      <c r="C3678">
        <v>401</v>
      </c>
      <c r="D3678">
        <v>6</v>
      </c>
      <c r="E3678">
        <v>2</v>
      </c>
      <c r="F3678" t="s">
        <v>64</v>
      </c>
      <c r="G3678" t="s">
        <v>25</v>
      </c>
      <c r="H3678" t="s">
        <v>26</v>
      </c>
      <c r="I3678" t="s">
        <v>57</v>
      </c>
    </row>
    <row r="3679" spans="1:9" x14ac:dyDescent="0.2">
      <c r="A3679" s="3">
        <v>42604</v>
      </c>
      <c r="B3679" t="s">
        <v>23</v>
      </c>
      <c r="C3679">
        <v>401</v>
      </c>
      <c r="D3679">
        <v>7</v>
      </c>
      <c r="E3679">
        <v>1</v>
      </c>
      <c r="F3679" t="s">
        <v>64</v>
      </c>
      <c r="G3679" t="s">
        <v>25</v>
      </c>
      <c r="H3679" t="s">
        <v>26</v>
      </c>
      <c r="I3679" t="s">
        <v>57</v>
      </c>
    </row>
    <row r="3680" spans="1:9" x14ac:dyDescent="0.2">
      <c r="A3680" s="3">
        <v>42604</v>
      </c>
      <c r="B3680" t="s">
        <v>23</v>
      </c>
      <c r="C3680">
        <v>401</v>
      </c>
      <c r="D3680">
        <v>7</v>
      </c>
      <c r="E3680">
        <v>2</v>
      </c>
      <c r="F3680" t="s">
        <v>64</v>
      </c>
      <c r="G3680" t="s">
        <v>25</v>
      </c>
      <c r="H3680" t="s">
        <v>26</v>
      </c>
      <c r="I3680" t="s">
        <v>57</v>
      </c>
    </row>
    <row r="3681" spans="1:29" x14ac:dyDescent="0.2">
      <c r="A3681" s="3">
        <v>42604</v>
      </c>
      <c r="B3681" t="s">
        <v>23</v>
      </c>
      <c r="C3681">
        <v>401</v>
      </c>
      <c r="D3681">
        <v>8</v>
      </c>
      <c r="E3681">
        <v>1</v>
      </c>
      <c r="F3681" t="s">
        <v>64</v>
      </c>
      <c r="G3681" t="s">
        <v>25</v>
      </c>
      <c r="H3681" t="s">
        <v>26</v>
      </c>
      <c r="I3681" t="s">
        <v>57</v>
      </c>
    </row>
    <row r="3682" spans="1:29" x14ac:dyDescent="0.2">
      <c r="A3682" s="3">
        <v>42604</v>
      </c>
      <c r="B3682" t="s">
        <v>23</v>
      </c>
      <c r="C3682">
        <v>401</v>
      </c>
      <c r="D3682">
        <v>9</v>
      </c>
      <c r="E3682">
        <v>1</v>
      </c>
      <c r="F3682" t="s">
        <v>64</v>
      </c>
      <c r="G3682" t="s">
        <v>25</v>
      </c>
      <c r="H3682" t="s">
        <v>26</v>
      </c>
      <c r="I3682" t="s">
        <v>57</v>
      </c>
    </row>
    <row r="3683" spans="1:29" x14ac:dyDescent="0.2">
      <c r="A3683" s="3">
        <v>42604</v>
      </c>
      <c r="B3683" t="s">
        <v>23</v>
      </c>
      <c r="C3683">
        <v>401</v>
      </c>
      <c r="D3683">
        <v>9</v>
      </c>
      <c r="E3683">
        <v>2</v>
      </c>
      <c r="F3683" t="s">
        <v>64</v>
      </c>
      <c r="G3683" t="s">
        <v>25</v>
      </c>
      <c r="H3683" t="s">
        <v>26</v>
      </c>
      <c r="I3683" t="s">
        <v>57</v>
      </c>
    </row>
    <row r="3684" spans="1:29" x14ac:dyDescent="0.2">
      <c r="A3684" s="3">
        <v>42605</v>
      </c>
      <c r="B3684" t="s">
        <v>23</v>
      </c>
      <c r="C3684">
        <v>703</v>
      </c>
      <c r="D3684">
        <v>4</v>
      </c>
      <c r="E3684">
        <v>1</v>
      </c>
      <c r="F3684" t="s">
        <v>24</v>
      </c>
      <c r="G3684" t="s">
        <v>25</v>
      </c>
      <c r="H3684" t="s">
        <v>26</v>
      </c>
      <c r="I3684" t="s">
        <v>57</v>
      </c>
    </row>
    <row r="3685" spans="1:29" x14ac:dyDescent="0.2">
      <c r="A3685" s="3">
        <v>42605</v>
      </c>
      <c r="B3685" t="s">
        <v>23</v>
      </c>
      <c r="C3685">
        <v>703</v>
      </c>
      <c r="D3685">
        <v>4</v>
      </c>
      <c r="E3685">
        <v>2</v>
      </c>
      <c r="F3685" t="s">
        <v>24</v>
      </c>
      <c r="G3685" t="s">
        <v>25</v>
      </c>
      <c r="H3685" t="s">
        <v>26</v>
      </c>
      <c r="I3685" t="s">
        <v>57</v>
      </c>
    </row>
    <row r="3686" spans="1:29" x14ac:dyDescent="0.2">
      <c r="A3686" s="3">
        <v>42605</v>
      </c>
      <c r="B3686" t="s">
        <v>23</v>
      </c>
      <c r="C3686">
        <v>703</v>
      </c>
      <c r="D3686">
        <v>5</v>
      </c>
      <c r="E3686">
        <v>2</v>
      </c>
      <c r="F3686" t="s">
        <v>24</v>
      </c>
      <c r="G3686" t="s">
        <v>25</v>
      </c>
      <c r="H3686" t="s">
        <v>26</v>
      </c>
      <c r="I3686" t="s">
        <v>57</v>
      </c>
    </row>
    <row r="3687" spans="1:29" x14ac:dyDescent="0.2">
      <c r="A3687" s="3">
        <v>42605</v>
      </c>
      <c r="B3687" t="s">
        <v>23</v>
      </c>
      <c r="C3687">
        <v>703</v>
      </c>
      <c r="D3687">
        <v>7</v>
      </c>
      <c r="E3687">
        <v>1</v>
      </c>
      <c r="F3687" t="s">
        <v>24</v>
      </c>
      <c r="G3687" t="s">
        <v>25</v>
      </c>
      <c r="H3687" t="s">
        <v>26</v>
      </c>
      <c r="I3687" t="s">
        <v>57</v>
      </c>
    </row>
    <row r="3688" spans="1:29" x14ac:dyDescent="0.2">
      <c r="A3688" s="3">
        <v>42605</v>
      </c>
      <c r="B3688" t="s">
        <v>23</v>
      </c>
      <c r="C3688">
        <v>703</v>
      </c>
      <c r="D3688">
        <v>9</v>
      </c>
      <c r="E3688">
        <v>1</v>
      </c>
      <c r="F3688" t="s">
        <v>24</v>
      </c>
      <c r="G3688" t="s">
        <v>25</v>
      </c>
      <c r="H3688" t="s">
        <v>26</v>
      </c>
      <c r="I3688" t="s">
        <v>57</v>
      </c>
    </row>
    <row r="3689" spans="1:29" x14ac:dyDescent="0.2">
      <c r="A3689" s="3">
        <v>42605</v>
      </c>
      <c r="B3689" t="s">
        <v>23</v>
      </c>
      <c r="C3689">
        <v>703</v>
      </c>
      <c r="D3689">
        <v>10</v>
      </c>
      <c r="E3689">
        <v>1</v>
      </c>
      <c r="F3689" t="s">
        <v>24</v>
      </c>
      <c r="G3689" t="s">
        <v>25</v>
      </c>
      <c r="H3689" t="s">
        <v>26</v>
      </c>
      <c r="I3689" t="s">
        <v>57</v>
      </c>
    </row>
    <row r="3690" spans="1:29" x14ac:dyDescent="0.2">
      <c r="A3690" s="3">
        <v>42605</v>
      </c>
      <c r="B3690" t="s">
        <v>23</v>
      </c>
      <c r="C3690">
        <v>701</v>
      </c>
      <c r="D3690">
        <v>5</v>
      </c>
      <c r="E3690">
        <v>1</v>
      </c>
      <c r="F3690" t="s">
        <v>24</v>
      </c>
      <c r="G3690" t="s">
        <v>25</v>
      </c>
      <c r="H3690" t="s">
        <v>26</v>
      </c>
      <c r="I3690" t="s">
        <v>57</v>
      </c>
    </row>
    <row r="3691" spans="1:29" x14ac:dyDescent="0.2">
      <c r="A3691" s="3">
        <v>42605</v>
      </c>
      <c r="B3691" t="s">
        <v>23</v>
      </c>
      <c r="C3691">
        <v>701</v>
      </c>
      <c r="D3691">
        <v>5</v>
      </c>
      <c r="E3691">
        <v>2</v>
      </c>
      <c r="F3691" t="s">
        <v>24</v>
      </c>
      <c r="G3691" t="s">
        <v>25</v>
      </c>
      <c r="H3691" t="s">
        <v>26</v>
      </c>
      <c r="I3691" t="s">
        <v>57</v>
      </c>
    </row>
    <row r="3692" spans="1:29" x14ac:dyDescent="0.2">
      <c r="A3692" s="3">
        <v>42605</v>
      </c>
      <c r="B3692" t="s">
        <v>23</v>
      </c>
      <c r="C3692">
        <v>701</v>
      </c>
      <c r="D3692">
        <v>10</v>
      </c>
      <c r="E3692">
        <v>1</v>
      </c>
      <c r="F3692" t="s">
        <v>24</v>
      </c>
      <c r="G3692" t="s">
        <v>25</v>
      </c>
      <c r="H3692" t="s">
        <v>26</v>
      </c>
      <c r="I3692" t="s">
        <v>57</v>
      </c>
      <c r="AB3692" t="s">
        <v>44</v>
      </c>
      <c r="AC3692" t="s">
        <v>59</v>
      </c>
    </row>
    <row r="3693" spans="1:29" x14ac:dyDescent="0.2">
      <c r="A3693" s="3">
        <v>42605</v>
      </c>
      <c r="B3693" t="s">
        <v>23</v>
      </c>
      <c r="C3693">
        <v>801</v>
      </c>
      <c r="D3693">
        <v>1</v>
      </c>
      <c r="E3693">
        <v>1</v>
      </c>
      <c r="F3693" t="s">
        <v>24</v>
      </c>
      <c r="G3693" t="s">
        <v>25</v>
      </c>
      <c r="H3693" t="s">
        <v>26</v>
      </c>
      <c r="I3693" t="s">
        <v>57</v>
      </c>
    </row>
    <row r="3694" spans="1:29" x14ac:dyDescent="0.2">
      <c r="A3694" s="3">
        <v>42605</v>
      </c>
      <c r="B3694" t="s">
        <v>23</v>
      </c>
      <c r="C3694">
        <v>801</v>
      </c>
      <c r="D3694">
        <v>2</v>
      </c>
      <c r="E3694">
        <v>1</v>
      </c>
      <c r="F3694" t="s">
        <v>24</v>
      </c>
      <c r="G3694" t="s">
        <v>25</v>
      </c>
      <c r="H3694" t="s">
        <v>26</v>
      </c>
      <c r="I3694" t="s">
        <v>57</v>
      </c>
    </row>
    <row r="3695" spans="1:29" x14ac:dyDescent="0.2">
      <c r="A3695" s="3">
        <v>42605</v>
      </c>
      <c r="B3695" t="s">
        <v>23</v>
      </c>
      <c r="C3695">
        <v>801</v>
      </c>
      <c r="D3695">
        <v>3</v>
      </c>
      <c r="E3695">
        <v>1</v>
      </c>
      <c r="F3695" t="s">
        <v>24</v>
      </c>
      <c r="G3695" t="s">
        <v>25</v>
      </c>
      <c r="H3695" t="s">
        <v>26</v>
      </c>
      <c r="I3695" t="s">
        <v>57</v>
      </c>
    </row>
    <row r="3696" spans="1:29" x14ac:dyDescent="0.2">
      <c r="A3696" s="3">
        <v>42605</v>
      </c>
      <c r="B3696" t="s">
        <v>23</v>
      </c>
      <c r="C3696">
        <v>801</v>
      </c>
      <c r="D3696">
        <v>4</v>
      </c>
      <c r="E3696">
        <v>1</v>
      </c>
      <c r="F3696" t="s">
        <v>24</v>
      </c>
      <c r="G3696" t="s">
        <v>25</v>
      </c>
      <c r="H3696" t="s">
        <v>26</v>
      </c>
      <c r="I3696" t="s">
        <v>57</v>
      </c>
    </row>
    <row r="3697" spans="1:9" x14ac:dyDescent="0.2">
      <c r="A3697" s="3">
        <v>42605</v>
      </c>
      <c r="B3697" t="s">
        <v>23</v>
      </c>
      <c r="C3697">
        <v>801</v>
      </c>
      <c r="D3697">
        <v>4</v>
      </c>
      <c r="E3697">
        <v>2</v>
      </c>
      <c r="F3697" t="s">
        <v>24</v>
      </c>
      <c r="G3697" t="s">
        <v>25</v>
      </c>
      <c r="H3697" t="s">
        <v>26</v>
      </c>
      <c r="I3697" t="s">
        <v>57</v>
      </c>
    </row>
    <row r="3698" spans="1:9" x14ac:dyDescent="0.2">
      <c r="A3698" s="3">
        <v>42605</v>
      </c>
      <c r="B3698" t="s">
        <v>23</v>
      </c>
      <c r="C3698">
        <v>801</v>
      </c>
      <c r="D3698">
        <v>5</v>
      </c>
      <c r="E3698">
        <v>1</v>
      </c>
      <c r="F3698" t="s">
        <v>24</v>
      </c>
      <c r="G3698" t="s">
        <v>25</v>
      </c>
      <c r="H3698" t="s">
        <v>26</v>
      </c>
      <c r="I3698" t="s">
        <v>57</v>
      </c>
    </row>
    <row r="3699" spans="1:9" x14ac:dyDescent="0.2">
      <c r="A3699" s="3">
        <v>42605</v>
      </c>
      <c r="B3699" t="s">
        <v>23</v>
      </c>
      <c r="C3699">
        <v>801</v>
      </c>
      <c r="D3699">
        <v>7</v>
      </c>
      <c r="E3699">
        <v>1</v>
      </c>
      <c r="F3699" t="s">
        <v>24</v>
      </c>
      <c r="G3699" t="s">
        <v>25</v>
      </c>
      <c r="H3699" t="s">
        <v>26</v>
      </c>
      <c r="I3699" t="s">
        <v>57</v>
      </c>
    </row>
    <row r="3700" spans="1:9" x14ac:dyDescent="0.2">
      <c r="A3700" s="3">
        <v>42605</v>
      </c>
      <c r="B3700" t="s">
        <v>23</v>
      </c>
      <c r="C3700">
        <v>801</v>
      </c>
      <c r="D3700">
        <v>8</v>
      </c>
      <c r="E3700">
        <v>1</v>
      </c>
      <c r="F3700" t="s">
        <v>24</v>
      </c>
      <c r="G3700" t="s">
        <v>25</v>
      </c>
      <c r="H3700" t="s">
        <v>26</v>
      </c>
      <c r="I3700" t="s">
        <v>57</v>
      </c>
    </row>
    <row r="3701" spans="1:9" x14ac:dyDescent="0.2">
      <c r="A3701" s="3">
        <v>42605</v>
      </c>
      <c r="B3701" t="s">
        <v>23</v>
      </c>
      <c r="C3701">
        <v>801</v>
      </c>
      <c r="D3701">
        <v>9</v>
      </c>
      <c r="E3701">
        <v>1</v>
      </c>
      <c r="F3701" t="s">
        <v>24</v>
      </c>
      <c r="G3701" t="s">
        <v>25</v>
      </c>
      <c r="H3701" t="s">
        <v>26</v>
      </c>
      <c r="I3701" t="s">
        <v>57</v>
      </c>
    </row>
    <row r="3702" spans="1:9" x14ac:dyDescent="0.2">
      <c r="A3702" s="3">
        <v>42605</v>
      </c>
      <c r="B3702" t="s">
        <v>23</v>
      </c>
      <c r="C3702">
        <v>801</v>
      </c>
      <c r="D3702">
        <v>10</v>
      </c>
      <c r="E3702">
        <v>1</v>
      </c>
      <c r="F3702" t="s">
        <v>24</v>
      </c>
      <c r="G3702" t="s">
        <v>25</v>
      </c>
      <c r="H3702" t="s">
        <v>26</v>
      </c>
      <c r="I3702" t="s">
        <v>57</v>
      </c>
    </row>
    <row r="3703" spans="1:9" x14ac:dyDescent="0.2">
      <c r="A3703" s="3">
        <v>42605</v>
      </c>
      <c r="B3703" t="s">
        <v>23</v>
      </c>
      <c r="C3703">
        <v>803</v>
      </c>
      <c r="D3703">
        <v>10</v>
      </c>
      <c r="E3703">
        <v>1</v>
      </c>
      <c r="F3703" t="s">
        <v>24</v>
      </c>
      <c r="G3703" t="s">
        <v>25</v>
      </c>
      <c r="H3703" t="s">
        <v>26</v>
      </c>
      <c r="I3703" t="s">
        <v>57</v>
      </c>
    </row>
    <row r="3704" spans="1:9" x14ac:dyDescent="0.2">
      <c r="A3704" s="3">
        <v>42605</v>
      </c>
      <c r="B3704" t="s">
        <v>23</v>
      </c>
      <c r="C3704">
        <v>803</v>
      </c>
      <c r="D3704">
        <v>8</v>
      </c>
      <c r="E3704">
        <v>1</v>
      </c>
      <c r="F3704" t="s">
        <v>24</v>
      </c>
      <c r="G3704" t="s">
        <v>25</v>
      </c>
      <c r="H3704" t="s">
        <v>26</v>
      </c>
      <c r="I3704" t="s">
        <v>57</v>
      </c>
    </row>
    <row r="3705" spans="1:9" x14ac:dyDescent="0.2">
      <c r="A3705" s="3">
        <v>42605</v>
      </c>
      <c r="B3705" t="s">
        <v>23</v>
      </c>
      <c r="C3705">
        <v>803</v>
      </c>
      <c r="D3705">
        <v>7</v>
      </c>
      <c r="E3705">
        <v>1</v>
      </c>
      <c r="F3705" t="s">
        <v>24</v>
      </c>
      <c r="G3705" t="s">
        <v>25</v>
      </c>
      <c r="H3705" t="s">
        <v>26</v>
      </c>
      <c r="I3705" t="s">
        <v>57</v>
      </c>
    </row>
    <row r="3706" spans="1:9" x14ac:dyDescent="0.2">
      <c r="A3706" s="3">
        <v>42605</v>
      </c>
      <c r="B3706" t="s">
        <v>23</v>
      </c>
      <c r="C3706">
        <v>803</v>
      </c>
      <c r="D3706">
        <v>6</v>
      </c>
      <c r="E3706">
        <v>1</v>
      </c>
      <c r="F3706" t="s">
        <v>24</v>
      </c>
      <c r="G3706" t="s">
        <v>25</v>
      </c>
      <c r="H3706" t="s">
        <v>26</v>
      </c>
      <c r="I3706" t="s">
        <v>57</v>
      </c>
    </row>
    <row r="3707" spans="1:9" x14ac:dyDescent="0.2">
      <c r="A3707" s="3">
        <v>42605</v>
      </c>
      <c r="B3707" t="s">
        <v>23</v>
      </c>
      <c r="C3707">
        <v>803</v>
      </c>
      <c r="D3707">
        <v>5</v>
      </c>
      <c r="E3707">
        <v>1</v>
      </c>
      <c r="F3707" t="s">
        <v>24</v>
      </c>
      <c r="G3707" t="s">
        <v>25</v>
      </c>
      <c r="H3707" t="s">
        <v>26</v>
      </c>
      <c r="I3707" t="s">
        <v>57</v>
      </c>
    </row>
    <row r="3708" spans="1:9" x14ac:dyDescent="0.2">
      <c r="A3708" s="3">
        <v>42605</v>
      </c>
      <c r="B3708" t="s">
        <v>23</v>
      </c>
      <c r="C3708">
        <v>803</v>
      </c>
      <c r="D3708">
        <v>5</v>
      </c>
      <c r="E3708">
        <v>2</v>
      </c>
      <c r="F3708" t="s">
        <v>24</v>
      </c>
      <c r="G3708" t="s">
        <v>25</v>
      </c>
      <c r="H3708" t="s">
        <v>26</v>
      </c>
      <c r="I3708" t="s">
        <v>57</v>
      </c>
    </row>
    <row r="3709" spans="1:9" x14ac:dyDescent="0.2">
      <c r="A3709" s="3">
        <v>42605</v>
      </c>
      <c r="B3709" t="s">
        <v>23</v>
      </c>
      <c r="C3709">
        <v>803</v>
      </c>
      <c r="D3709">
        <v>4</v>
      </c>
      <c r="E3709">
        <v>1</v>
      </c>
      <c r="F3709" t="s">
        <v>24</v>
      </c>
      <c r="G3709" t="s">
        <v>25</v>
      </c>
      <c r="H3709" t="s">
        <v>26</v>
      </c>
      <c r="I3709" t="s">
        <v>57</v>
      </c>
    </row>
    <row r="3710" spans="1:9" x14ac:dyDescent="0.2">
      <c r="A3710" s="3">
        <v>42605</v>
      </c>
      <c r="B3710" t="s">
        <v>23</v>
      </c>
      <c r="C3710">
        <v>803</v>
      </c>
      <c r="D3710">
        <v>4</v>
      </c>
      <c r="E3710">
        <v>2</v>
      </c>
      <c r="F3710" t="s">
        <v>24</v>
      </c>
      <c r="G3710" t="s">
        <v>25</v>
      </c>
      <c r="H3710" t="s">
        <v>26</v>
      </c>
      <c r="I3710" t="s">
        <v>57</v>
      </c>
    </row>
    <row r="3711" spans="1:9" x14ac:dyDescent="0.2">
      <c r="A3711" s="3">
        <v>42605</v>
      </c>
      <c r="B3711" t="s">
        <v>23</v>
      </c>
      <c r="C3711">
        <v>803</v>
      </c>
      <c r="D3711">
        <v>3</v>
      </c>
      <c r="E3711">
        <v>1</v>
      </c>
      <c r="F3711" t="s">
        <v>24</v>
      </c>
      <c r="G3711" t="s">
        <v>25</v>
      </c>
      <c r="H3711" t="s">
        <v>26</v>
      </c>
      <c r="I3711" t="s">
        <v>57</v>
      </c>
    </row>
    <row r="3712" spans="1:9" x14ac:dyDescent="0.2">
      <c r="A3712" s="3">
        <v>42605</v>
      </c>
      <c r="B3712" t="s">
        <v>23</v>
      </c>
      <c r="C3712">
        <v>803</v>
      </c>
      <c r="D3712">
        <v>2</v>
      </c>
      <c r="E3712">
        <v>1</v>
      </c>
      <c r="F3712" t="s">
        <v>24</v>
      </c>
      <c r="G3712" t="s">
        <v>25</v>
      </c>
      <c r="H3712" t="s">
        <v>26</v>
      </c>
      <c r="I3712" t="s">
        <v>57</v>
      </c>
    </row>
    <row r="3713" spans="1:9" x14ac:dyDescent="0.2">
      <c r="A3713" s="3">
        <v>42605</v>
      </c>
      <c r="B3713" t="s">
        <v>23</v>
      </c>
      <c r="C3713">
        <v>901</v>
      </c>
      <c r="D3713">
        <v>1</v>
      </c>
      <c r="E3713">
        <v>1</v>
      </c>
      <c r="F3713" t="s">
        <v>24</v>
      </c>
      <c r="G3713" t="s">
        <v>25</v>
      </c>
      <c r="H3713" t="s">
        <v>26</v>
      </c>
      <c r="I3713" t="s">
        <v>57</v>
      </c>
    </row>
    <row r="3714" spans="1:9" x14ac:dyDescent="0.2">
      <c r="A3714" s="3">
        <v>42605</v>
      </c>
      <c r="B3714" t="s">
        <v>23</v>
      </c>
      <c r="C3714">
        <v>901</v>
      </c>
      <c r="D3714">
        <v>1</v>
      </c>
      <c r="E3714">
        <v>2</v>
      </c>
      <c r="F3714" t="s">
        <v>24</v>
      </c>
      <c r="G3714" t="s">
        <v>25</v>
      </c>
      <c r="H3714" t="s">
        <v>26</v>
      </c>
      <c r="I3714" t="s">
        <v>57</v>
      </c>
    </row>
    <row r="3715" spans="1:9" x14ac:dyDescent="0.2">
      <c r="A3715" s="3">
        <v>42605</v>
      </c>
      <c r="B3715" t="s">
        <v>23</v>
      </c>
      <c r="C3715">
        <v>901</v>
      </c>
      <c r="D3715">
        <v>5</v>
      </c>
      <c r="E3715">
        <v>1</v>
      </c>
      <c r="F3715" t="s">
        <v>24</v>
      </c>
      <c r="G3715" t="s">
        <v>25</v>
      </c>
      <c r="H3715" t="s">
        <v>26</v>
      </c>
      <c r="I3715" t="s">
        <v>57</v>
      </c>
    </row>
    <row r="3716" spans="1:9" x14ac:dyDescent="0.2">
      <c r="A3716" s="3">
        <v>42605</v>
      </c>
      <c r="B3716" t="s">
        <v>23</v>
      </c>
      <c r="C3716">
        <v>901</v>
      </c>
      <c r="D3716">
        <v>7</v>
      </c>
      <c r="E3716">
        <v>1</v>
      </c>
      <c r="F3716" t="s">
        <v>24</v>
      </c>
      <c r="G3716" t="s">
        <v>25</v>
      </c>
      <c r="H3716" t="s">
        <v>26</v>
      </c>
      <c r="I3716" t="s">
        <v>57</v>
      </c>
    </row>
    <row r="3717" spans="1:9" x14ac:dyDescent="0.2">
      <c r="A3717" s="3">
        <v>42605</v>
      </c>
      <c r="B3717" t="s">
        <v>23</v>
      </c>
      <c r="C3717">
        <v>901</v>
      </c>
      <c r="D3717">
        <v>7</v>
      </c>
      <c r="E3717">
        <v>2</v>
      </c>
      <c r="F3717" t="s">
        <v>24</v>
      </c>
      <c r="G3717" t="s">
        <v>25</v>
      </c>
      <c r="H3717" t="s">
        <v>26</v>
      </c>
      <c r="I3717" t="s">
        <v>57</v>
      </c>
    </row>
    <row r="3718" spans="1:9" x14ac:dyDescent="0.2">
      <c r="A3718" s="3">
        <v>42605</v>
      </c>
      <c r="B3718" t="s">
        <v>23</v>
      </c>
      <c r="C3718">
        <v>501</v>
      </c>
      <c r="D3718">
        <v>1</v>
      </c>
      <c r="E3718">
        <v>1</v>
      </c>
      <c r="F3718" t="s">
        <v>64</v>
      </c>
      <c r="G3718" t="s">
        <v>25</v>
      </c>
      <c r="H3718" t="s">
        <v>26</v>
      </c>
      <c r="I3718" t="s">
        <v>57</v>
      </c>
    </row>
    <row r="3719" spans="1:9" x14ac:dyDescent="0.2">
      <c r="A3719" s="3">
        <v>42605</v>
      </c>
      <c r="B3719" t="s">
        <v>23</v>
      </c>
      <c r="C3719">
        <v>501</v>
      </c>
      <c r="D3719">
        <v>1</v>
      </c>
      <c r="E3719">
        <v>2</v>
      </c>
      <c r="F3719" t="s">
        <v>64</v>
      </c>
      <c r="G3719" t="s">
        <v>25</v>
      </c>
      <c r="H3719" t="s">
        <v>26</v>
      </c>
      <c r="I3719" t="s">
        <v>57</v>
      </c>
    </row>
    <row r="3720" spans="1:9" x14ac:dyDescent="0.2">
      <c r="A3720" s="3">
        <v>42605</v>
      </c>
      <c r="B3720" t="s">
        <v>23</v>
      </c>
      <c r="C3720">
        <v>501</v>
      </c>
      <c r="D3720">
        <v>2</v>
      </c>
      <c r="E3720">
        <v>1</v>
      </c>
      <c r="F3720" t="s">
        <v>64</v>
      </c>
      <c r="G3720" t="s">
        <v>25</v>
      </c>
      <c r="H3720" t="s">
        <v>26</v>
      </c>
      <c r="I3720" t="s">
        <v>57</v>
      </c>
    </row>
    <row r="3721" spans="1:9" x14ac:dyDescent="0.2">
      <c r="A3721" s="3">
        <v>42605</v>
      </c>
      <c r="B3721" t="s">
        <v>23</v>
      </c>
      <c r="C3721">
        <v>501</v>
      </c>
      <c r="D3721">
        <v>3</v>
      </c>
      <c r="E3721">
        <v>1</v>
      </c>
      <c r="F3721" t="s">
        <v>64</v>
      </c>
      <c r="G3721" t="s">
        <v>25</v>
      </c>
      <c r="H3721" t="s">
        <v>26</v>
      </c>
      <c r="I3721" t="s">
        <v>57</v>
      </c>
    </row>
    <row r="3722" spans="1:9" x14ac:dyDescent="0.2">
      <c r="A3722" s="3">
        <v>42605</v>
      </c>
      <c r="B3722" t="s">
        <v>23</v>
      </c>
      <c r="C3722">
        <v>501</v>
      </c>
      <c r="D3722">
        <v>3</v>
      </c>
      <c r="E3722">
        <v>2</v>
      </c>
      <c r="F3722" t="s">
        <v>64</v>
      </c>
      <c r="G3722" t="s">
        <v>25</v>
      </c>
      <c r="H3722" t="s">
        <v>26</v>
      </c>
      <c r="I3722" t="s">
        <v>57</v>
      </c>
    </row>
    <row r="3723" spans="1:9" x14ac:dyDescent="0.2">
      <c r="A3723" s="3">
        <v>42605</v>
      </c>
      <c r="B3723" t="s">
        <v>23</v>
      </c>
      <c r="C3723">
        <v>501</v>
      </c>
      <c r="D3723">
        <v>5</v>
      </c>
      <c r="E3723">
        <v>1</v>
      </c>
      <c r="F3723" t="s">
        <v>64</v>
      </c>
      <c r="G3723" t="s">
        <v>25</v>
      </c>
      <c r="H3723" t="s">
        <v>26</v>
      </c>
      <c r="I3723" t="s">
        <v>57</v>
      </c>
    </row>
    <row r="3724" spans="1:9" x14ac:dyDescent="0.2">
      <c r="A3724" s="3">
        <v>42605</v>
      </c>
      <c r="B3724" t="s">
        <v>23</v>
      </c>
      <c r="C3724">
        <v>501</v>
      </c>
      <c r="D3724">
        <v>5</v>
      </c>
      <c r="E3724">
        <v>2</v>
      </c>
      <c r="F3724" t="s">
        <v>64</v>
      </c>
      <c r="G3724" t="s">
        <v>25</v>
      </c>
      <c r="H3724" t="s">
        <v>26</v>
      </c>
      <c r="I3724" t="s">
        <v>57</v>
      </c>
    </row>
    <row r="3725" spans="1:9" x14ac:dyDescent="0.2">
      <c r="A3725" s="3">
        <v>42605</v>
      </c>
      <c r="B3725" t="s">
        <v>23</v>
      </c>
      <c r="C3725">
        <v>501</v>
      </c>
      <c r="D3725">
        <v>7</v>
      </c>
      <c r="E3725">
        <v>1</v>
      </c>
      <c r="F3725" t="s">
        <v>64</v>
      </c>
      <c r="G3725" t="s">
        <v>25</v>
      </c>
      <c r="H3725" t="s">
        <v>26</v>
      </c>
      <c r="I3725" t="s">
        <v>57</v>
      </c>
    </row>
    <row r="3726" spans="1:9" x14ac:dyDescent="0.2">
      <c r="A3726" s="3">
        <v>42605</v>
      </c>
      <c r="B3726" t="s">
        <v>23</v>
      </c>
      <c r="C3726">
        <v>501</v>
      </c>
      <c r="D3726">
        <v>10</v>
      </c>
      <c r="E3726">
        <v>1</v>
      </c>
      <c r="F3726" t="s">
        <v>64</v>
      </c>
      <c r="G3726" t="s">
        <v>25</v>
      </c>
      <c r="H3726" t="s">
        <v>26</v>
      </c>
      <c r="I3726" t="s">
        <v>57</v>
      </c>
    </row>
    <row r="3727" spans="1:9" x14ac:dyDescent="0.2">
      <c r="A3727" s="3">
        <v>42605</v>
      </c>
      <c r="B3727" t="s">
        <v>23</v>
      </c>
      <c r="C3727">
        <v>501</v>
      </c>
      <c r="D3727">
        <v>10</v>
      </c>
      <c r="E3727">
        <v>2</v>
      </c>
      <c r="F3727" t="s">
        <v>64</v>
      </c>
      <c r="G3727" t="s">
        <v>25</v>
      </c>
      <c r="H3727" t="s">
        <v>26</v>
      </c>
      <c r="I3727" t="s">
        <v>57</v>
      </c>
    </row>
    <row r="3728" spans="1:9" x14ac:dyDescent="0.2">
      <c r="A3728" s="3">
        <v>42605</v>
      </c>
      <c r="B3728" t="s">
        <v>23</v>
      </c>
      <c r="C3728">
        <v>503</v>
      </c>
      <c r="D3728">
        <v>1</v>
      </c>
      <c r="E3728">
        <v>1</v>
      </c>
      <c r="F3728" t="s">
        <v>64</v>
      </c>
      <c r="G3728" t="s">
        <v>25</v>
      </c>
      <c r="H3728" t="s">
        <v>26</v>
      </c>
      <c r="I3728" t="s">
        <v>57</v>
      </c>
    </row>
    <row r="3729" spans="1:9" x14ac:dyDescent="0.2">
      <c r="A3729" s="3">
        <v>42605</v>
      </c>
      <c r="B3729" t="s">
        <v>23</v>
      </c>
      <c r="C3729">
        <v>503</v>
      </c>
      <c r="D3729">
        <v>2</v>
      </c>
      <c r="E3729">
        <v>1</v>
      </c>
      <c r="F3729" t="s">
        <v>64</v>
      </c>
      <c r="G3729" t="s">
        <v>25</v>
      </c>
      <c r="H3729" t="s">
        <v>26</v>
      </c>
      <c r="I3729" t="s">
        <v>57</v>
      </c>
    </row>
    <row r="3730" spans="1:9" x14ac:dyDescent="0.2">
      <c r="A3730" s="3">
        <v>42605</v>
      </c>
      <c r="B3730" t="s">
        <v>23</v>
      </c>
      <c r="C3730">
        <v>503</v>
      </c>
      <c r="D3730">
        <v>2</v>
      </c>
      <c r="E3730">
        <v>2</v>
      </c>
      <c r="F3730" t="s">
        <v>64</v>
      </c>
      <c r="G3730" t="s">
        <v>25</v>
      </c>
      <c r="H3730" t="s">
        <v>26</v>
      </c>
      <c r="I3730" t="s">
        <v>57</v>
      </c>
    </row>
    <row r="3731" spans="1:9" x14ac:dyDescent="0.2">
      <c r="A3731" s="3">
        <v>42605</v>
      </c>
      <c r="B3731" t="s">
        <v>23</v>
      </c>
      <c r="C3731">
        <v>503</v>
      </c>
      <c r="D3731">
        <v>3</v>
      </c>
      <c r="E3731">
        <v>1</v>
      </c>
      <c r="F3731" t="s">
        <v>64</v>
      </c>
      <c r="G3731" t="s">
        <v>25</v>
      </c>
      <c r="H3731" t="s">
        <v>26</v>
      </c>
      <c r="I3731" t="s">
        <v>57</v>
      </c>
    </row>
    <row r="3732" spans="1:9" x14ac:dyDescent="0.2">
      <c r="A3732" s="3">
        <v>42605</v>
      </c>
      <c r="B3732" t="s">
        <v>23</v>
      </c>
      <c r="C3732">
        <v>503</v>
      </c>
      <c r="D3732">
        <v>4</v>
      </c>
      <c r="E3732">
        <v>1</v>
      </c>
      <c r="F3732" t="s">
        <v>64</v>
      </c>
      <c r="G3732" t="s">
        <v>25</v>
      </c>
      <c r="H3732" t="s">
        <v>26</v>
      </c>
      <c r="I3732" t="s">
        <v>57</v>
      </c>
    </row>
    <row r="3733" spans="1:9" x14ac:dyDescent="0.2">
      <c r="A3733" s="3">
        <v>42605</v>
      </c>
      <c r="B3733" t="s">
        <v>23</v>
      </c>
      <c r="C3733">
        <v>503</v>
      </c>
      <c r="D3733">
        <v>4</v>
      </c>
      <c r="E3733">
        <v>2</v>
      </c>
      <c r="F3733" t="s">
        <v>64</v>
      </c>
      <c r="G3733" t="s">
        <v>25</v>
      </c>
      <c r="H3733" t="s">
        <v>26</v>
      </c>
      <c r="I3733" t="s">
        <v>57</v>
      </c>
    </row>
    <row r="3734" spans="1:9" x14ac:dyDescent="0.2">
      <c r="A3734" s="3">
        <v>42605</v>
      </c>
      <c r="B3734" t="s">
        <v>23</v>
      </c>
      <c r="C3734">
        <v>503</v>
      </c>
      <c r="D3734">
        <v>6</v>
      </c>
      <c r="E3734">
        <v>2</v>
      </c>
      <c r="F3734" t="s">
        <v>64</v>
      </c>
      <c r="G3734" t="s">
        <v>25</v>
      </c>
      <c r="H3734" t="s">
        <v>26</v>
      </c>
      <c r="I3734" t="s">
        <v>57</v>
      </c>
    </row>
    <row r="3735" spans="1:9" x14ac:dyDescent="0.2">
      <c r="A3735" s="3">
        <v>42605</v>
      </c>
      <c r="B3735" t="s">
        <v>23</v>
      </c>
      <c r="C3735">
        <v>503</v>
      </c>
      <c r="D3735">
        <v>8</v>
      </c>
      <c r="E3735">
        <v>2</v>
      </c>
      <c r="F3735" t="s">
        <v>64</v>
      </c>
      <c r="G3735" t="s">
        <v>25</v>
      </c>
      <c r="H3735" t="s">
        <v>26</v>
      </c>
      <c r="I3735" t="s">
        <v>57</v>
      </c>
    </row>
    <row r="3736" spans="1:9" x14ac:dyDescent="0.2">
      <c r="A3736" s="3">
        <v>42605</v>
      </c>
      <c r="B3736" t="s">
        <v>23</v>
      </c>
      <c r="C3736">
        <v>503</v>
      </c>
      <c r="D3736">
        <v>10</v>
      </c>
      <c r="E3736">
        <v>1</v>
      </c>
      <c r="F3736" t="s">
        <v>64</v>
      </c>
      <c r="G3736" t="s">
        <v>25</v>
      </c>
      <c r="H3736" t="s">
        <v>26</v>
      </c>
      <c r="I3736" t="s">
        <v>57</v>
      </c>
    </row>
    <row r="3737" spans="1:9" x14ac:dyDescent="0.2">
      <c r="A3737" s="3">
        <v>42605</v>
      </c>
      <c r="B3737" t="s">
        <v>23</v>
      </c>
      <c r="C3737">
        <v>303</v>
      </c>
      <c r="D3737">
        <v>2</v>
      </c>
      <c r="E3737">
        <v>2</v>
      </c>
      <c r="F3737" t="s">
        <v>64</v>
      </c>
      <c r="G3737" t="s">
        <v>25</v>
      </c>
      <c r="H3737" t="s">
        <v>26</v>
      </c>
      <c r="I3737" t="s">
        <v>57</v>
      </c>
    </row>
    <row r="3738" spans="1:9" x14ac:dyDescent="0.2">
      <c r="A3738" s="3">
        <v>42605</v>
      </c>
      <c r="B3738" t="s">
        <v>23</v>
      </c>
      <c r="C3738">
        <v>303</v>
      </c>
      <c r="D3738">
        <v>3</v>
      </c>
      <c r="E3738">
        <v>1</v>
      </c>
      <c r="F3738" t="s">
        <v>64</v>
      </c>
      <c r="G3738" t="s">
        <v>25</v>
      </c>
      <c r="H3738" t="s">
        <v>26</v>
      </c>
      <c r="I3738" t="s">
        <v>57</v>
      </c>
    </row>
    <row r="3739" spans="1:9" x14ac:dyDescent="0.2">
      <c r="A3739" s="3">
        <v>42605</v>
      </c>
      <c r="B3739" t="s">
        <v>23</v>
      </c>
      <c r="C3739">
        <v>303</v>
      </c>
      <c r="D3739">
        <v>6</v>
      </c>
      <c r="E3739">
        <v>2</v>
      </c>
      <c r="F3739" t="s">
        <v>64</v>
      </c>
      <c r="G3739" t="s">
        <v>25</v>
      </c>
      <c r="H3739" t="s">
        <v>26</v>
      </c>
      <c r="I3739" t="s">
        <v>57</v>
      </c>
    </row>
    <row r="3740" spans="1:9" x14ac:dyDescent="0.2">
      <c r="A3740" s="3">
        <v>42605</v>
      </c>
      <c r="B3740" t="s">
        <v>23</v>
      </c>
      <c r="C3740">
        <v>303</v>
      </c>
      <c r="D3740">
        <v>7</v>
      </c>
      <c r="E3740">
        <v>1</v>
      </c>
      <c r="F3740" t="s">
        <v>64</v>
      </c>
      <c r="G3740" t="s">
        <v>25</v>
      </c>
      <c r="H3740" t="s">
        <v>26</v>
      </c>
      <c r="I3740" t="s">
        <v>57</v>
      </c>
    </row>
    <row r="3741" spans="1:9" x14ac:dyDescent="0.2">
      <c r="A3741" s="3">
        <v>42605</v>
      </c>
      <c r="B3741" t="s">
        <v>23</v>
      </c>
      <c r="C3741">
        <v>401</v>
      </c>
      <c r="D3741">
        <v>1</v>
      </c>
      <c r="E3741">
        <v>1</v>
      </c>
      <c r="F3741" t="s">
        <v>64</v>
      </c>
      <c r="G3741" t="s">
        <v>25</v>
      </c>
      <c r="H3741" t="s">
        <v>26</v>
      </c>
      <c r="I3741" t="s">
        <v>57</v>
      </c>
    </row>
    <row r="3742" spans="1:9" x14ac:dyDescent="0.2">
      <c r="A3742" s="3">
        <v>42605</v>
      </c>
      <c r="B3742" t="s">
        <v>23</v>
      </c>
      <c r="C3742">
        <v>401</v>
      </c>
      <c r="D3742">
        <v>1</v>
      </c>
      <c r="E3742">
        <v>2</v>
      </c>
      <c r="F3742" t="s">
        <v>64</v>
      </c>
      <c r="G3742" t="s">
        <v>25</v>
      </c>
      <c r="H3742" t="s">
        <v>26</v>
      </c>
      <c r="I3742" t="s">
        <v>57</v>
      </c>
    </row>
    <row r="3743" spans="1:9" x14ac:dyDescent="0.2">
      <c r="A3743" s="3">
        <v>42605</v>
      </c>
      <c r="B3743" t="s">
        <v>23</v>
      </c>
      <c r="C3743">
        <v>401</v>
      </c>
      <c r="D3743">
        <v>2</v>
      </c>
      <c r="E3743">
        <v>1</v>
      </c>
      <c r="F3743" t="s">
        <v>64</v>
      </c>
      <c r="G3743" t="s">
        <v>25</v>
      </c>
      <c r="H3743" t="s">
        <v>26</v>
      </c>
      <c r="I3743" t="s">
        <v>57</v>
      </c>
    </row>
    <row r="3744" spans="1:9" x14ac:dyDescent="0.2">
      <c r="A3744" s="3">
        <v>42605</v>
      </c>
      <c r="B3744" t="s">
        <v>23</v>
      </c>
      <c r="C3744">
        <v>401</v>
      </c>
      <c r="D3744">
        <v>2</v>
      </c>
      <c r="E3744">
        <v>2</v>
      </c>
      <c r="F3744" t="s">
        <v>64</v>
      </c>
      <c r="G3744" t="s">
        <v>25</v>
      </c>
      <c r="H3744" t="s">
        <v>26</v>
      </c>
      <c r="I3744" t="s">
        <v>57</v>
      </c>
    </row>
    <row r="3745" spans="1:9" x14ac:dyDescent="0.2">
      <c r="A3745" s="3">
        <v>42605</v>
      </c>
      <c r="B3745" t="s">
        <v>23</v>
      </c>
      <c r="C3745">
        <v>401</v>
      </c>
      <c r="D3745">
        <v>3</v>
      </c>
      <c r="E3745">
        <v>1</v>
      </c>
      <c r="F3745" t="s">
        <v>64</v>
      </c>
      <c r="G3745" t="s">
        <v>25</v>
      </c>
      <c r="H3745" t="s">
        <v>26</v>
      </c>
      <c r="I3745" t="s">
        <v>57</v>
      </c>
    </row>
    <row r="3746" spans="1:9" x14ac:dyDescent="0.2">
      <c r="A3746" s="3">
        <v>42605</v>
      </c>
      <c r="B3746" t="s">
        <v>23</v>
      </c>
      <c r="C3746">
        <v>401</v>
      </c>
      <c r="D3746">
        <v>6</v>
      </c>
      <c r="E3746">
        <v>1</v>
      </c>
      <c r="F3746" t="s">
        <v>64</v>
      </c>
      <c r="G3746" t="s">
        <v>25</v>
      </c>
      <c r="H3746" t="s">
        <v>26</v>
      </c>
      <c r="I3746" t="s">
        <v>57</v>
      </c>
    </row>
    <row r="3747" spans="1:9" x14ac:dyDescent="0.2">
      <c r="A3747" s="3">
        <v>42605</v>
      </c>
      <c r="B3747" t="s">
        <v>23</v>
      </c>
      <c r="C3747">
        <v>401</v>
      </c>
      <c r="D3747">
        <v>7</v>
      </c>
      <c r="E3747">
        <v>1</v>
      </c>
      <c r="F3747" t="s">
        <v>64</v>
      </c>
      <c r="G3747" t="s">
        <v>25</v>
      </c>
      <c r="H3747" t="s">
        <v>26</v>
      </c>
      <c r="I3747" t="s">
        <v>57</v>
      </c>
    </row>
    <row r="3748" spans="1:9" x14ac:dyDescent="0.2">
      <c r="A3748" s="3">
        <v>42605</v>
      </c>
      <c r="B3748" t="s">
        <v>23</v>
      </c>
      <c r="C3748">
        <v>401</v>
      </c>
      <c r="D3748">
        <v>8</v>
      </c>
      <c r="E3748">
        <v>1</v>
      </c>
      <c r="F3748" t="s">
        <v>64</v>
      </c>
      <c r="G3748" t="s">
        <v>25</v>
      </c>
      <c r="H3748" t="s">
        <v>26</v>
      </c>
      <c r="I3748" t="s">
        <v>57</v>
      </c>
    </row>
    <row r="3749" spans="1:9" x14ac:dyDescent="0.2">
      <c r="A3749" s="3">
        <v>42605</v>
      </c>
      <c r="B3749" t="s">
        <v>23</v>
      </c>
      <c r="C3749">
        <v>401</v>
      </c>
      <c r="D3749">
        <v>8</v>
      </c>
      <c r="E3749">
        <v>2</v>
      </c>
      <c r="F3749" t="s">
        <v>64</v>
      </c>
      <c r="G3749" t="s">
        <v>25</v>
      </c>
      <c r="H3749" t="s">
        <v>26</v>
      </c>
      <c r="I3749" t="s">
        <v>57</v>
      </c>
    </row>
    <row r="3750" spans="1:9" x14ac:dyDescent="0.2">
      <c r="A3750" s="3">
        <v>42605</v>
      </c>
      <c r="B3750" t="s">
        <v>23</v>
      </c>
      <c r="C3750">
        <v>401</v>
      </c>
      <c r="D3750">
        <v>10</v>
      </c>
      <c r="E3750">
        <v>1</v>
      </c>
      <c r="F3750" t="s">
        <v>64</v>
      </c>
      <c r="G3750" t="s">
        <v>25</v>
      </c>
      <c r="H3750" t="s">
        <v>26</v>
      </c>
      <c r="I3750" t="s">
        <v>57</v>
      </c>
    </row>
    <row r="3751" spans="1:9" x14ac:dyDescent="0.2">
      <c r="A3751" s="3">
        <v>42606</v>
      </c>
      <c r="B3751" t="s">
        <v>23</v>
      </c>
      <c r="C3751">
        <v>501</v>
      </c>
      <c r="D3751">
        <v>1</v>
      </c>
      <c r="E3751">
        <v>2</v>
      </c>
      <c r="F3751" t="s">
        <v>64</v>
      </c>
      <c r="G3751" t="s">
        <v>25</v>
      </c>
      <c r="H3751" t="s">
        <v>26</v>
      </c>
      <c r="I3751" t="s">
        <v>57</v>
      </c>
    </row>
    <row r="3752" spans="1:9" x14ac:dyDescent="0.2">
      <c r="A3752" s="3">
        <v>42606</v>
      </c>
      <c r="B3752" t="s">
        <v>23</v>
      </c>
      <c r="C3752">
        <v>501</v>
      </c>
      <c r="D3752">
        <v>2</v>
      </c>
      <c r="E3752">
        <v>1</v>
      </c>
      <c r="F3752" t="s">
        <v>64</v>
      </c>
      <c r="G3752" t="s">
        <v>25</v>
      </c>
      <c r="H3752" t="s">
        <v>26</v>
      </c>
      <c r="I3752" t="s">
        <v>57</v>
      </c>
    </row>
    <row r="3753" spans="1:9" x14ac:dyDescent="0.2">
      <c r="A3753" s="3">
        <v>42606</v>
      </c>
      <c r="B3753" t="s">
        <v>23</v>
      </c>
      <c r="C3753">
        <v>501</v>
      </c>
      <c r="D3753">
        <v>2</v>
      </c>
      <c r="E3753">
        <v>2</v>
      </c>
      <c r="F3753" t="s">
        <v>64</v>
      </c>
      <c r="G3753" t="s">
        <v>25</v>
      </c>
      <c r="H3753" t="s">
        <v>26</v>
      </c>
      <c r="I3753" t="s">
        <v>57</v>
      </c>
    </row>
    <row r="3754" spans="1:9" x14ac:dyDescent="0.2">
      <c r="A3754" s="3">
        <v>42606</v>
      </c>
      <c r="B3754" t="s">
        <v>23</v>
      </c>
      <c r="C3754">
        <v>501</v>
      </c>
      <c r="D3754">
        <v>5</v>
      </c>
      <c r="E3754">
        <v>1</v>
      </c>
      <c r="F3754" t="s">
        <v>64</v>
      </c>
      <c r="G3754" t="s">
        <v>25</v>
      </c>
      <c r="H3754" t="s">
        <v>26</v>
      </c>
      <c r="I3754" t="s">
        <v>57</v>
      </c>
    </row>
    <row r="3755" spans="1:9" x14ac:dyDescent="0.2">
      <c r="A3755" s="3">
        <v>42606</v>
      </c>
      <c r="B3755" t="s">
        <v>23</v>
      </c>
      <c r="C3755">
        <v>501</v>
      </c>
      <c r="D3755">
        <v>5</v>
      </c>
      <c r="E3755">
        <v>2</v>
      </c>
      <c r="F3755" t="s">
        <v>64</v>
      </c>
      <c r="G3755" t="s">
        <v>25</v>
      </c>
      <c r="H3755" t="s">
        <v>26</v>
      </c>
      <c r="I3755" t="s">
        <v>57</v>
      </c>
    </row>
    <row r="3756" spans="1:9" x14ac:dyDescent="0.2">
      <c r="A3756" s="3">
        <v>42606</v>
      </c>
      <c r="B3756" t="s">
        <v>23</v>
      </c>
      <c r="C3756">
        <v>501</v>
      </c>
      <c r="D3756">
        <v>6</v>
      </c>
      <c r="E3756">
        <v>1</v>
      </c>
      <c r="F3756" t="s">
        <v>64</v>
      </c>
      <c r="G3756" t="s">
        <v>25</v>
      </c>
      <c r="H3756" t="s">
        <v>26</v>
      </c>
      <c r="I3756" t="s">
        <v>57</v>
      </c>
    </row>
    <row r="3757" spans="1:9" x14ac:dyDescent="0.2">
      <c r="A3757" s="3">
        <v>42606</v>
      </c>
      <c r="B3757" t="s">
        <v>23</v>
      </c>
      <c r="C3757">
        <v>501</v>
      </c>
      <c r="D3757">
        <v>6</v>
      </c>
      <c r="E3757">
        <v>2</v>
      </c>
      <c r="F3757" t="s">
        <v>64</v>
      </c>
      <c r="G3757" t="s">
        <v>25</v>
      </c>
      <c r="H3757" t="s">
        <v>26</v>
      </c>
      <c r="I3757" t="s">
        <v>57</v>
      </c>
    </row>
    <row r="3758" spans="1:9" x14ac:dyDescent="0.2">
      <c r="A3758" s="3">
        <v>42606</v>
      </c>
      <c r="B3758" t="s">
        <v>23</v>
      </c>
      <c r="C3758">
        <v>501</v>
      </c>
      <c r="D3758">
        <v>7</v>
      </c>
      <c r="E3758">
        <v>1</v>
      </c>
      <c r="F3758" t="s">
        <v>64</v>
      </c>
      <c r="G3758" t="s">
        <v>25</v>
      </c>
      <c r="H3758" t="s">
        <v>26</v>
      </c>
      <c r="I3758" t="s">
        <v>57</v>
      </c>
    </row>
    <row r="3759" spans="1:9" x14ac:dyDescent="0.2">
      <c r="A3759" s="3">
        <v>42606</v>
      </c>
      <c r="B3759" t="s">
        <v>23</v>
      </c>
      <c r="C3759">
        <v>501</v>
      </c>
      <c r="D3759">
        <v>8</v>
      </c>
      <c r="E3759">
        <v>2</v>
      </c>
      <c r="F3759" t="s">
        <v>64</v>
      </c>
      <c r="G3759" t="s">
        <v>25</v>
      </c>
      <c r="H3759" t="s">
        <v>26</v>
      </c>
      <c r="I3759" t="s">
        <v>57</v>
      </c>
    </row>
    <row r="3760" spans="1:9" x14ac:dyDescent="0.2">
      <c r="A3760" s="3">
        <v>42606</v>
      </c>
      <c r="B3760" t="s">
        <v>23</v>
      </c>
      <c r="C3760">
        <v>501</v>
      </c>
      <c r="D3760">
        <v>9</v>
      </c>
      <c r="E3760">
        <v>1</v>
      </c>
      <c r="F3760" t="s">
        <v>64</v>
      </c>
      <c r="G3760" t="s">
        <v>25</v>
      </c>
      <c r="H3760" t="s">
        <v>26</v>
      </c>
      <c r="I3760" t="s">
        <v>57</v>
      </c>
    </row>
    <row r="3761" spans="1:9" x14ac:dyDescent="0.2">
      <c r="A3761" s="3">
        <v>42606</v>
      </c>
      <c r="B3761" t="s">
        <v>23</v>
      </c>
      <c r="C3761">
        <v>501</v>
      </c>
      <c r="D3761">
        <v>10</v>
      </c>
      <c r="E3761">
        <v>1</v>
      </c>
      <c r="F3761" t="s">
        <v>64</v>
      </c>
      <c r="G3761" t="s">
        <v>25</v>
      </c>
      <c r="H3761" t="s">
        <v>26</v>
      </c>
      <c r="I3761" t="s">
        <v>57</v>
      </c>
    </row>
    <row r="3762" spans="1:9" x14ac:dyDescent="0.2">
      <c r="A3762" s="3">
        <v>42606</v>
      </c>
      <c r="B3762" t="s">
        <v>23</v>
      </c>
      <c r="C3762">
        <v>503</v>
      </c>
      <c r="D3762">
        <v>2</v>
      </c>
      <c r="E3762">
        <v>2</v>
      </c>
      <c r="F3762" t="s">
        <v>64</v>
      </c>
      <c r="G3762" t="s">
        <v>25</v>
      </c>
      <c r="H3762" t="s">
        <v>26</v>
      </c>
      <c r="I3762" t="s">
        <v>57</v>
      </c>
    </row>
    <row r="3763" spans="1:9" x14ac:dyDescent="0.2">
      <c r="A3763" s="3">
        <v>42606</v>
      </c>
      <c r="B3763" t="s">
        <v>23</v>
      </c>
      <c r="C3763">
        <v>503</v>
      </c>
      <c r="D3763">
        <v>3</v>
      </c>
      <c r="E3763">
        <v>1</v>
      </c>
      <c r="F3763" t="s">
        <v>64</v>
      </c>
      <c r="G3763" t="s">
        <v>25</v>
      </c>
      <c r="H3763" t="s">
        <v>26</v>
      </c>
      <c r="I3763" t="s">
        <v>57</v>
      </c>
    </row>
    <row r="3764" spans="1:9" x14ac:dyDescent="0.2">
      <c r="A3764" s="3">
        <v>42606</v>
      </c>
      <c r="B3764" t="s">
        <v>23</v>
      </c>
      <c r="C3764">
        <v>503</v>
      </c>
      <c r="D3764">
        <v>4</v>
      </c>
      <c r="E3764">
        <v>1</v>
      </c>
      <c r="F3764" t="s">
        <v>64</v>
      </c>
      <c r="G3764" t="s">
        <v>25</v>
      </c>
      <c r="H3764" t="s">
        <v>26</v>
      </c>
      <c r="I3764" t="s">
        <v>57</v>
      </c>
    </row>
    <row r="3765" spans="1:9" x14ac:dyDescent="0.2">
      <c r="A3765" s="3">
        <v>42606</v>
      </c>
      <c r="B3765" t="s">
        <v>23</v>
      </c>
      <c r="C3765">
        <v>503</v>
      </c>
      <c r="D3765">
        <v>4</v>
      </c>
      <c r="E3765">
        <v>2</v>
      </c>
      <c r="F3765" t="s">
        <v>64</v>
      </c>
      <c r="G3765" t="s">
        <v>25</v>
      </c>
      <c r="H3765" t="s">
        <v>26</v>
      </c>
      <c r="I3765" t="s">
        <v>57</v>
      </c>
    </row>
    <row r="3766" spans="1:9" x14ac:dyDescent="0.2">
      <c r="A3766" s="3">
        <v>42606</v>
      </c>
      <c r="B3766" t="s">
        <v>23</v>
      </c>
      <c r="C3766">
        <v>503</v>
      </c>
      <c r="D3766">
        <v>5</v>
      </c>
      <c r="E3766">
        <v>1</v>
      </c>
      <c r="F3766" t="s">
        <v>64</v>
      </c>
      <c r="G3766" t="s">
        <v>25</v>
      </c>
      <c r="H3766" t="s">
        <v>26</v>
      </c>
      <c r="I3766" t="s">
        <v>57</v>
      </c>
    </row>
    <row r="3767" spans="1:9" x14ac:dyDescent="0.2">
      <c r="A3767" s="3">
        <v>42606</v>
      </c>
      <c r="B3767" t="s">
        <v>23</v>
      </c>
      <c r="C3767">
        <v>503</v>
      </c>
      <c r="D3767">
        <v>6</v>
      </c>
      <c r="E3767">
        <v>2</v>
      </c>
      <c r="F3767" t="s">
        <v>64</v>
      </c>
      <c r="G3767" t="s">
        <v>25</v>
      </c>
      <c r="H3767" t="s">
        <v>26</v>
      </c>
      <c r="I3767" t="s">
        <v>57</v>
      </c>
    </row>
    <row r="3768" spans="1:9" x14ac:dyDescent="0.2">
      <c r="A3768" s="3">
        <v>42606</v>
      </c>
      <c r="B3768" t="s">
        <v>23</v>
      </c>
      <c r="C3768">
        <v>503</v>
      </c>
      <c r="D3768">
        <v>9</v>
      </c>
      <c r="E3768">
        <v>2</v>
      </c>
      <c r="F3768" t="s">
        <v>64</v>
      </c>
      <c r="G3768" t="s">
        <v>25</v>
      </c>
      <c r="H3768" t="s">
        <v>26</v>
      </c>
      <c r="I3768" t="s">
        <v>57</v>
      </c>
    </row>
    <row r="3769" spans="1:9" x14ac:dyDescent="0.2">
      <c r="A3769" s="3">
        <v>42606</v>
      </c>
      <c r="B3769" t="s">
        <v>23</v>
      </c>
      <c r="C3769">
        <v>503</v>
      </c>
      <c r="D3769">
        <v>10</v>
      </c>
      <c r="E3769">
        <v>1</v>
      </c>
      <c r="F3769" t="s">
        <v>64</v>
      </c>
      <c r="G3769" t="s">
        <v>25</v>
      </c>
      <c r="H3769" t="s">
        <v>26</v>
      </c>
      <c r="I3769" t="s">
        <v>57</v>
      </c>
    </row>
    <row r="3770" spans="1:9" x14ac:dyDescent="0.2">
      <c r="A3770" s="3">
        <v>42606</v>
      </c>
      <c r="B3770" t="s">
        <v>23</v>
      </c>
      <c r="C3770">
        <v>303</v>
      </c>
      <c r="D3770">
        <v>1</v>
      </c>
      <c r="E3770">
        <v>1</v>
      </c>
      <c r="F3770" t="s">
        <v>64</v>
      </c>
      <c r="G3770" t="s">
        <v>25</v>
      </c>
      <c r="H3770" t="s">
        <v>26</v>
      </c>
      <c r="I3770" t="s">
        <v>57</v>
      </c>
    </row>
    <row r="3771" spans="1:9" x14ac:dyDescent="0.2">
      <c r="A3771" s="3">
        <v>42606</v>
      </c>
      <c r="B3771" t="s">
        <v>23</v>
      </c>
      <c r="C3771">
        <v>303</v>
      </c>
      <c r="D3771">
        <v>1</v>
      </c>
      <c r="E3771">
        <v>2</v>
      </c>
      <c r="F3771" t="s">
        <v>64</v>
      </c>
      <c r="G3771" t="s">
        <v>25</v>
      </c>
      <c r="H3771" t="s">
        <v>26</v>
      </c>
      <c r="I3771" t="s">
        <v>57</v>
      </c>
    </row>
    <row r="3772" spans="1:9" x14ac:dyDescent="0.2">
      <c r="A3772" s="3">
        <v>42606</v>
      </c>
      <c r="B3772" t="s">
        <v>23</v>
      </c>
      <c r="C3772">
        <v>303</v>
      </c>
      <c r="D3772">
        <v>2</v>
      </c>
      <c r="E3772">
        <v>1</v>
      </c>
      <c r="F3772" t="s">
        <v>64</v>
      </c>
      <c r="G3772" t="s">
        <v>25</v>
      </c>
      <c r="H3772" t="s">
        <v>26</v>
      </c>
      <c r="I3772" t="s">
        <v>57</v>
      </c>
    </row>
    <row r="3773" spans="1:9" x14ac:dyDescent="0.2">
      <c r="A3773" s="3">
        <v>42606</v>
      </c>
      <c r="B3773" t="s">
        <v>23</v>
      </c>
      <c r="C3773">
        <v>303</v>
      </c>
      <c r="D3773">
        <v>4</v>
      </c>
      <c r="E3773">
        <v>2</v>
      </c>
      <c r="F3773" t="s">
        <v>64</v>
      </c>
      <c r="G3773" t="s">
        <v>25</v>
      </c>
      <c r="H3773" t="s">
        <v>26</v>
      </c>
      <c r="I3773" t="s">
        <v>57</v>
      </c>
    </row>
    <row r="3774" spans="1:9" x14ac:dyDescent="0.2">
      <c r="A3774" s="3">
        <v>42606</v>
      </c>
      <c r="B3774" t="s">
        <v>23</v>
      </c>
      <c r="C3774">
        <v>303</v>
      </c>
      <c r="D3774">
        <v>5</v>
      </c>
      <c r="E3774">
        <v>1</v>
      </c>
      <c r="F3774" t="s">
        <v>64</v>
      </c>
      <c r="G3774" t="s">
        <v>25</v>
      </c>
      <c r="H3774" t="s">
        <v>26</v>
      </c>
      <c r="I3774" t="s">
        <v>57</v>
      </c>
    </row>
    <row r="3775" spans="1:9" x14ac:dyDescent="0.2">
      <c r="A3775" s="3">
        <v>42606</v>
      </c>
      <c r="B3775" t="s">
        <v>23</v>
      </c>
      <c r="C3775">
        <v>303</v>
      </c>
      <c r="D3775">
        <v>6</v>
      </c>
      <c r="E3775">
        <v>1</v>
      </c>
      <c r="F3775" t="s">
        <v>64</v>
      </c>
      <c r="G3775" t="s">
        <v>25</v>
      </c>
      <c r="H3775" t="s">
        <v>26</v>
      </c>
      <c r="I3775" t="s">
        <v>57</v>
      </c>
    </row>
    <row r="3776" spans="1:9" x14ac:dyDescent="0.2">
      <c r="A3776" s="3">
        <v>42606</v>
      </c>
      <c r="B3776" t="s">
        <v>23</v>
      </c>
      <c r="C3776">
        <v>303</v>
      </c>
      <c r="D3776">
        <v>6</v>
      </c>
      <c r="E3776">
        <v>2</v>
      </c>
      <c r="F3776" t="s">
        <v>64</v>
      </c>
      <c r="G3776" t="s">
        <v>25</v>
      </c>
      <c r="H3776" t="s">
        <v>26</v>
      </c>
      <c r="I3776" t="s">
        <v>57</v>
      </c>
    </row>
    <row r="3777" spans="1:9" x14ac:dyDescent="0.2">
      <c r="A3777" s="3">
        <v>42606</v>
      </c>
      <c r="B3777" t="s">
        <v>23</v>
      </c>
      <c r="C3777">
        <v>303</v>
      </c>
      <c r="D3777">
        <v>8</v>
      </c>
      <c r="E3777">
        <v>1</v>
      </c>
      <c r="F3777" t="s">
        <v>64</v>
      </c>
      <c r="G3777" t="s">
        <v>25</v>
      </c>
      <c r="H3777" t="s">
        <v>26</v>
      </c>
      <c r="I3777" t="s">
        <v>57</v>
      </c>
    </row>
    <row r="3778" spans="1:9" x14ac:dyDescent="0.2">
      <c r="A3778" s="3">
        <v>42606</v>
      </c>
      <c r="B3778" t="s">
        <v>23</v>
      </c>
      <c r="C3778">
        <v>303</v>
      </c>
      <c r="D3778">
        <v>8</v>
      </c>
      <c r="E3778">
        <v>2</v>
      </c>
      <c r="F3778" t="s">
        <v>64</v>
      </c>
      <c r="G3778" t="s">
        <v>25</v>
      </c>
      <c r="H3778" t="s">
        <v>26</v>
      </c>
      <c r="I3778" t="s">
        <v>57</v>
      </c>
    </row>
    <row r="3779" spans="1:9" x14ac:dyDescent="0.2">
      <c r="A3779" s="3">
        <v>42606</v>
      </c>
      <c r="B3779" t="s">
        <v>23</v>
      </c>
      <c r="C3779">
        <v>303</v>
      </c>
      <c r="D3779">
        <v>10</v>
      </c>
      <c r="E3779">
        <v>1</v>
      </c>
      <c r="F3779" t="s">
        <v>64</v>
      </c>
      <c r="G3779" t="s">
        <v>25</v>
      </c>
      <c r="H3779" t="s">
        <v>26</v>
      </c>
      <c r="I3779" t="s">
        <v>57</v>
      </c>
    </row>
    <row r="3780" spans="1:9" x14ac:dyDescent="0.2">
      <c r="A3780" s="3">
        <v>42606</v>
      </c>
      <c r="B3780" t="s">
        <v>23</v>
      </c>
      <c r="C3780">
        <v>401</v>
      </c>
      <c r="D3780">
        <v>2</v>
      </c>
      <c r="E3780">
        <v>1</v>
      </c>
      <c r="F3780" t="s">
        <v>64</v>
      </c>
      <c r="G3780" t="s">
        <v>25</v>
      </c>
      <c r="H3780" t="s">
        <v>26</v>
      </c>
      <c r="I3780" t="s">
        <v>57</v>
      </c>
    </row>
    <row r="3781" spans="1:9" x14ac:dyDescent="0.2">
      <c r="A3781" s="3">
        <v>42606</v>
      </c>
      <c r="B3781" t="s">
        <v>23</v>
      </c>
      <c r="C3781">
        <v>401</v>
      </c>
      <c r="D3781">
        <v>2</v>
      </c>
      <c r="E3781">
        <v>2</v>
      </c>
      <c r="F3781" t="s">
        <v>64</v>
      </c>
      <c r="G3781" t="s">
        <v>25</v>
      </c>
      <c r="H3781" t="s">
        <v>26</v>
      </c>
      <c r="I3781" t="s">
        <v>57</v>
      </c>
    </row>
    <row r="3782" spans="1:9" x14ac:dyDescent="0.2">
      <c r="A3782" s="3">
        <v>42606</v>
      </c>
      <c r="B3782" t="s">
        <v>23</v>
      </c>
      <c r="C3782">
        <v>401</v>
      </c>
      <c r="D3782">
        <v>6</v>
      </c>
      <c r="E3782">
        <v>2</v>
      </c>
      <c r="F3782" t="s">
        <v>64</v>
      </c>
      <c r="G3782" t="s">
        <v>25</v>
      </c>
      <c r="H3782" t="s">
        <v>26</v>
      </c>
      <c r="I3782" t="s">
        <v>57</v>
      </c>
    </row>
    <row r="3783" spans="1:9" x14ac:dyDescent="0.2">
      <c r="A3783" s="3">
        <v>42606</v>
      </c>
      <c r="B3783" t="s">
        <v>23</v>
      </c>
      <c r="C3783">
        <v>401</v>
      </c>
      <c r="D3783">
        <v>7</v>
      </c>
      <c r="E3783">
        <v>1</v>
      </c>
      <c r="F3783" t="s">
        <v>64</v>
      </c>
      <c r="G3783" t="s">
        <v>25</v>
      </c>
      <c r="H3783" t="s">
        <v>26</v>
      </c>
      <c r="I3783" t="s">
        <v>57</v>
      </c>
    </row>
    <row r="3784" spans="1:9" x14ac:dyDescent="0.2">
      <c r="A3784" s="3">
        <v>42606</v>
      </c>
      <c r="B3784" t="s">
        <v>23</v>
      </c>
      <c r="C3784">
        <v>401</v>
      </c>
      <c r="D3784">
        <v>8</v>
      </c>
      <c r="E3784">
        <v>1</v>
      </c>
      <c r="F3784" t="s">
        <v>64</v>
      </c>
      <c r="G3784" t="s">
        <v>25</v>
      </c>
      <c r="H3784" t="s">
        <v>26</v>
      </c>
      <c r="I3784" t="s">
        <v>57</v>
      </c>
    </row>
    <row r="3785" spans="1:9" x14ac:dyDescent="0.2">
      <c r="A3785" s="3">
        <v>42606</v>
      </c>
      <c r="B3785" t="s">
        <v>23</v>
      </c>
      <c r="C3785">
        <v>401</v>
      </c>
      <c r="D3785">
        <v>9</v>
      </c>
      <c r="E3785">
        <v>1</v>
      </c>
      <c r="F3785" t="s">
        <v>64</v>
      </c>
      <c r="G3785" t="s">
        <v>25</v>
      </c>
      <c r="H3785" t="s">
        <v>26</v>
      </c>
      <c r="I3785" t="s">
        <v>57</v>
      </c>
    </row>
    <row r="3786" spans="1:9" x14ac:dyDescent="0.2">
      <c r="A3786" s="3">
        <v>42606</v>
      </c>
      <c r="B3786" t="s">
        <v>23</v>
      </c>
      <c r="C3786">
        <v>401</v>
      </c>
      <c r="D3786">
        <v>9</v>
      </c>
      <c r="E3786">
        <v>2</v>
      </c>
      <c r="F3786" t="s">
        <v>64</v>
      </c>
      <c r="G3786" t="s">
        <v>25</v>
      </c>
      <c r="H3786" t="s">
        <v>26</v>
      </c>
      <c r="I3786" t="s">
        <v>57</v>
      </c>
    </row>
    <row r="3787" spans="1:9" x14ac:dyDescent="0.2">
      <c r="A3787" s="3">
        <v>42606</v>
      </c>
      <c r="B3787" t="s">
        <v>23</v>
      </c>
      <c r="C3787">
        <v>703</v>
      </c>
      <c r="D3787">
        <v>1</v>
      </c>
      <c r="E3787">
        <v>1</v>
      </c>
      <c r="F3787" t="s">
        <v>24</v>
      </c>
      <c r="G3787" t="s">
        <v>25</v>
      </c>
      <c r="H3787" t="s">
        <v>26</v>
      </c>
      <c r="I3787" t="s">
        <v>57</v>
      </c>
    </row>
    <row r="3788" spans="1:9" x14ac:dyDescent="0.2">
      <c r="A3788" s="3">
        <v>42606</v>
      </c>
      <c r="B3788" t="s">
        <v>23</v>
      </c>
      <c r="C3788">
        <v>703</v>
      </c>
      <c r="D3788">
        <v>2</v>
      </c>
      <c r="E3788">
        <v>2</v>
      </c>
      <c r="F3788" t="s">
        <v>24</v>
      </c>
      <c r="G3788" t="s">
        <v>25</v>
      </c>
      <c r="H3788" t="s">
        <v>26</v>
      </c>
      <c r="I3788" t="s">
        <v>57</v>
      </c>
    </row>
    <row r="3789" spans="1:9" x14ac:dyDescent="0.2">
      <c r="A3789" s="3">
        <v>42606</v>
      </c>
      <c r="B3789" t="s">
        <v>23</v>
      </c>
      <c r="C3789">
        <v>703</v>
      </c>
      <c r="D3789">
        <v>3</v>
      </c>
      <c r="E3789">
        <v>1</v>
      </c>
      <c r="F3789" t="s">
        <v>24</v>
      </c>
      <c r="G3789" t="s">
        <v>25</v>
      </c>
      <c r="H3789" t="s">
        <v>26</v>
      </c>
      <c r="I3789" t="s">
        <v>57</v>
      </c>
    </row>
    <row r="3790" spans="1:9" x14ac:dyDescent="0.2">
      <c r="A3790" s="3">
        <v>42606</v>
      </c>
      <c r="B3790" t="s">
        <v>23</v>
      </c>
      <c r="C3790">
        <v>703</v>
      </c>
      <c r="D3790">
        <v>4</v>
      </c>
      <c r="E3790">
        <v>1</v>
      </c>
      <c r="F3790" t="s">
        <v>24</v>
      </c>
      <c r="G3790" t="s">
        <v>25</v>
      </c>
      <c r="H3790" t="s">
        <v>26</v>
      </c>
      <c r="I3790" t="s">
        <v>57</v>
      </c>
    </row>
    <row r="3791" spans="1:9" x14ac:dyDescent="0.2">
      <c r="A3791" s="3">
        <v>42606</v>
      </c>
      <c r="B3791" t="s">
        <v>23</v>
      </c>
      <c r="C3791">
        <v>703</v>
      </c>
      <c r="D3791">
        <v>4</v>
      </c>
      <c r="E3791">
        <v>2</v>
      </c>
      <c r="F3791" t="s">
        <v>24</v>
      </c>
      <c r="G3791" t="s">
        <v>25</v>
      </c>
      <c r="H3791" t="s">
        <v>26</v>
      </c>
      <c r="I3791" t="s">
        <v>57</v>
      </c>
    </row>
    <row r="3792" spans="1:9" x14ac:dyDescent="0.2">
      <c r="A3792" s="3">
        <v>42606</v>
      </c>
      <c r="B3792" t="s">
        <v>23</v>
      </c>
      <c r="C3792">
        <v>703</v>
      </c>
      <c r="D3792">
        <v>5</v>
      </c>
      <c r="E3792">
        <v>1</v>
      </c>
      <c r="F3792" t="s">
        <v>24</v>
      </c>
      <c r="G3792" t="s">
        <v>25</v>
      </c>
      <c r="H3792" t="s">
        <v>26</v>
      </c>
      <c r="I3792" t="s">
        <v>57</v>
      </c>
    </row>
    <row r="3793" spans="1:9" x14ac:dyDescent="0.2">
      <c r="A3793" s="3">
        <v>42606</v>
      </c>
      <c r="B3793" t="s">
        <v>23</v>
      </c>
      <c r="C3793">
        <v>703</v>
      </c>
      <c r="D3793">
        <v>8</v>
      </c>
      <c r="E3793">
        <v>1</v>
      </c>
      <c r="F3793" t="s">
        <v>24</v>
      </c>
      <c r="G3793" t="s">
        <v>25</v>
      </c>
      <c r="H3793" t="s">
        <v>26</v>
      </c>
      <c r="I3793" t="s">
        <v>57</v>
      </c>
    </row>
    <row r="3794" spans="1:9" x14ac:dyDescent="0.2">
      <c r="A3794" s="3">
        <v>42606</v>
      </c>
      <c r="B3794" t="s">
        <v>23</v>
      </c>
      <c r="C3794">
        <v>703</v>
      </c>
      <c r="D3794">
        <v>8</v>
      </c>
      <c r="E3794">
        <v>2</v>
      </c>
      <c r="F3794" t="s">
        <v>24</v>
      </c>
      <c r="G3794" t="s">
        <v>25</v>
      </c>
      <c r="H3794" t="s">
        <v>26</v>
      </c>
      <c r="I3794" t="s">
        <v>57</v>
      </c>
    </row>
    <row r="3795" spans="1:9" x14ac:dyDescent="0.2">
      <c r="A3795" s="3">
        <v>42606</v>
      </c>
      <c r="B3795" t="s">
        <v>23</v>
      </c>
      <c r="C3795">
        <v>703</v>
      </c>
      <c r="D3795">
        <v>10</v>
      </c>
      <c r="E3795">
        <v>1</v>
      </c>
      <c r="F3795" t="s">
        <v>24</v>
      </c>
      <c r="G3795" t="s">
        <v>25</v>
      </c>
      <c r="H3795" t="s">
        <v>26</v>
      </c>
      <c r="I3795" t="s">
        <v>57</v>
      </c>
    </row>
    <row r="3796" spans="1:9" x14ac:dyDescent="0.2">
      <c r="A3796" s="3">
        <v>42606</v>
      </c>
      <c r="B3796" t="s">
        <v>23</v>
      </c>
      <c r="C3796">
        <v>701</v>
      </c>
      <c r="D3796">
        <v>1</v>
      </c>
      <c r="E3796">
        <v>1</v>
      </c>
      <c r="F3796" t="s">
        <v>24</v>
      </c>
      <c r="G3796" t="s">
        <v>25</v>
      </c>
      <c r="H3796" t="s">
        <v>26</v>
      </c>
      <c r="I3796" t="s">
        <v>57</v>
      </c>
    </row>
    <row r="3797" spans="1:9" x14ac:dyDescent="0.2">
      <c r="A3797" s="3">
        <v>42606</v>
      </c>
      <c r="B3797" t="s">
        <v>23</v>
      </c>
      <c r="C3797">
        <v>701</v>
      </c>
      <c r="D3797">
        <v>1</v>
      </c>
      <c r="E3797">
        <v>2</v>
      </c>
      <c r="F3797" t="s">
        <v>24</v>
      </c>
      <c r="G3797" t="s">
        <v>25</v>
      </c>
      <c r="H3797" t="s">
        <v>26</v>
      </c>
      <c r="I3797" t="s">
        <v>57</v>
      </c>
    </row>
    <row r="3798" spans="1:9" x14ac:dyDescent="0.2">
      <c r="A3798" s="3">
        <v>42606</v>
      </c>
      <c r="B3798" t="s">
        <v>23</v>
      </c>
      <c r="C3798">
        <v>701</v>
      </c>
      <c r="D3798">
        <v>2</v>
      </c>
      <c r="E3798">
        <v>1</v>
      </c>
      <c r="F3798" t="s">
        <v>24</v>
      </c>
      <c r="G3798" t="s">
        <v>25</v>
      </c>
      <c r="H3798" t="s">
        <v>26</v>
      </c>
      <c r="I3798" t="s">
        <v>57</v>
      </c>
    </row>
    <row r="3799" spans="1:9" x14ac:dyDescent="0.2">
      <c r="A3799" s="3">
        <v>42606</v>
      </c>
      <c r="B3799" t="s">
        <v>23</v>
      </c>
      <c r="C3799">
        <v>701</v>
      </c>
      <c r="D3799">
        <v>3</v>
      </c>
      <c r="E3799">
        <v>1</v>
      </c>
      <c r="F3799" t="s">
        <v>24</v>
      </c>
      <c r="G3799" t="s">
        <v>25</v>
      </c>
      <c r="H3799" t="s">
        <v>26</v>
      </c>
      <c r="I3799" t="s">
        <v>57</v>
      </c>
    </row>
    <row r="3800" spans="1:9" x14ac:dyDescent="0.2">
      <c r="A3800" s="3">
        <v>42606</v>
      </c>
      <c r="B3800" t="s">
        <v>23</v>
      </c>
      <c r="C3800">
        <v>701</v>
      </c>
      <c r="D3800">
        <v>6</v>
      </c>
      <c r="E3800">
        <v>1</v>
      </c>
      <c r="F3800" t="s">
        <v>24</v>
      </c>
      <c r="G3800" t="s">
        <v>25</v>
      </c>
      <c r="H3800" t="s">
        <v>26</v>
      </c>
      <c r="I3800" t="s">
        <v>57</v>
      </c>
    </row>
    <row r="3801" spans="1:9" x14ac:dyDescent="0.2">
      <c r="A3801" s="3">
        <v>42606</v>
      </c>
      <c r="B3801" t="s">
        <v>23</v>
      </c>
      <c r="C3801">
        <v>701</v>
      </c>
      <c r="D3801">
        <v>6</v>
      </c>
      <c r="E3801">
        <v>2</v>
      </c>
      <c r="F3801" t="s">
        <v>24</v>
      </c>
      <c r="G3801" t="s">
        <v>25</v>
      </c>
      <c r="H3801" t="s">
        <v>26</v>
      </c>
      <c r="I3801" t="s">
        <v>57</v>
      </c>
    </row>
    <row r="3802" spans="1:9" x14ac:dyDescent="0.2">
      <c r="A3802" s="3">
        <v>42606</v>
      </c>
      <c r="B3802" t="s">
        <v>23</v>
      </c>
      <c r="C3802">
        <v>701</v>
      </c>
      <c r="D3802">
        <v>9</v>
      </c>
      <c r="E3802">
        <v>1</v>
      </c>
      <c r="F3802" t="s">
        <v>24</v>
      </c>
      <c r="G3802" t="s">
        <v>25</v>
      </c>
      <c r="H3802" t="s">
        <v>26</v>
      </c>
      <c r="I3802" t="s">
        <v>57</v>
      </c>
    </row>
    <row r="3803" spans="1:9" x14ac:dyDescent="0.2">
      <c r="A3803" s="3">
        <v>42606</v>
      </c>
      <c r="B3803" t="s">
        <v>23</v>
      </c>
      <c r="C3803">
        <v>801</v>
      </c>
      <c r="D3803">
        <v>1</v>
      </c>
      <c r="E3803">
        <v>1</v>
      </c>
      <c r="F3803" t="s">
        <v>24</v>
      </c>
      <c r="G3803" t="s">
        <v>25</v>
      </c>
      <c r="H3803" t="s">
        <v>26</v>
      </c>
      <c r="I3803" t="s">
        <v>57</v>
      </c>
    </row>
    <row r="3804" spans="1:9" x14ac:dyDescent="0.2">
      <c r="A3804" s="3">
        <v>42606</v>
      </c>
      <c r="B3804" t="s">
        <v>23</v>
      </c>
      <c r="C3804">
        <v>801</v>
      </c>
      <c r="D3804">
        <v>3</v>
      </c>
      <c r="E3804">
        <v>1</v>
      </c>
      <c r="F3804" t="s">
        <v>24</v>
      </c>
      <c r="G3804" t="s">
        <v>25</v>
      </c>
      <c r="H3804" t="s">
        <v>26</v>
      </c>
      <c r="I3804" t="s">
        <v>57</v>
      </c>
    </row>
    <row r="3805" spans="1:9" x14ac:dyDescent="0.2">
      <c r="A3805" s="3">
        <v>42606</v>
      </c>
      <c r="B3805" t="s">
        <v>23</v>
      </c>
      <c r="C3805">
        <v>801</v>
      </c>
      <c r="D3805">
        <v>4</v>
      </c>
      <c r="E3805">
        <v>2</v>
      </c>
      <c r="F3805" t="s">
        <v>24</v>
      </c>
      <c r="G3805" t="s">
        <v>25</v>
      </c>
      <c r="H3805" t="s">
        <v>26</v>
      </c>
      <c r="I3805" t="s">
        <v>57</v>
      </c>
    </row>
    <row r="3806" spans="1:9" x14ac:dyDescent="0.2">
      <c r="A3806" s="3">
        <v>42606</v>
      </c>
      <c r="B3806" t="s">
        <v>23</v>
      </c>
      <c r="C3806">
        <v>801</v>
      </c>
      <c r="D3806">
        <v>5</v>
      </c>
      <c r="E3806">
        <v>1</v>
      </c>
      <c r="F3806" t="s">
        <v>24</v>
      </c>
      <c r="G3806" t="s">
        <v>25</v>
      </c>
      <c r="H3806" t="s">
        <v>26</v>
      </c>
      <c r="I3806" t="s">
        <v>57</v>
      </c>
    </row>
    <row r="3807" spans="1:9" x14ac:dyDescent="0.2">
      <c r="A3807" s="3">
        <v>42606</v>
      </c>
      <c r="B3807" t="s">
        <v>23</v>
      </c>
      <c r="C3807">
        <v>801</v>
      </c>
      <c r="D3807">
        <v>7</v>
      </c>
      <c r="E3807">
        <v>1</v>
      </c>
      <c r="F3807" t="s">
        <v>24</v>
      </c>
      <c r="G3807" t="s">
        <v>25</v>
      </c>
      <c r="H3807" t="s">
        <v>26</v>
      </c>
      <c r="I3807" t="s">
        <v>57</v>
      </c>
    </row>
    <row r="3808" spans="1:9" x14ac:dyDescent="0.2">
      <c r="A3808" s="3">
        <v>42606</v>
      </c>
      <c r="B3808" t="s">
        <v>23</v>
      </c>
      <c r="C3808">
        <v>801</v>
      </c>
      <c r="D3808">
        <v>10</v>
      </c>
      <c r="E3808">
        <v>2</v>
      </c>
      <c r="F3808" t="s">
        <v>24</v>
      </c>
      <c r="G3808" t="s">
        <v>25</v>
      </c>
      <c r="H3808" t="s">
        <v>26</v>
      </c>
      <c r="I3808" t="s">
        <v>57</v>
      </c>
    </row>
    <row r="3809" spans="1:30" x14ac:dyDescent="0.2">
      <c r="A3809" s="3">
        <v>42606</v>
      </c>
      <c r="B3809" t="s">
        <v>23</v>
      </c>
      <c r="C3809">
        <v>803</v>
      </c>
      <c r="D3809">
        <v>10</v>
      </c>
      <c r="E3809">
        <v>1</v>
      </c>
      <c r="F3809" t="s">
        <v>24</v>
      </c>
      <c r="G3809" t="s">
        <v>25</v>
      </c>
      <c r="H3809" t="s">
        <v>26</v>
      </c>
      <c r="I3809" t="s">
        <v>57</v>
      </c>
    </row>
    <row r="3810" spans="1:30" x14ac:dyDescent="0.2">
      <c r="A3810" s="3">
        <v>42606</v>
      </c>
      <c r="B3810" t="s">
        <v>23</v>
      </c>
      <c r="C3810">
        <v>803</v>
      </c>
      <c r="D3810">
        <v>6</v>
      </c>
      <c r="E3810">
        <v>1</v>
      </c>
      <c r="F3810" t="s">
        <v>24</v>
      </c>
      <c r="G3810" t="s">
        <v>25</v>
      </c>
      <c r="H3810" t="s">
        <v>26</v>
      </c>
      <c r="I3810" t="s">
        <v>57</v>
      </c>
    </row>
    <row r="3811" spans="1:30" x14ac:dyDescent="0.2">
      <c r="A3811" s="3">
        <v>42606</v>
      </c>
      <c r="B3811" t="s">
        <v>23</v>
      </c>
      <c r="C3811">
        <v>803</v>
      </c>
      <c r="D3811">
        <v>4</v>
      </c>
      <c r="E3811">
        <v>1</v>
      </c>
      <c r="F3811" t="s">
        <v>24</v>
      </c>
      <c r="G3811" t="s">
        <v>25</v>
      </c>
      <c r="H3811" t="s">
        <v>26</v>
      </c>
      <c r="I3811" t="s">
        <v>57</v>
      </c>
    </row>
    <row r="3812" spans="1:30" x14ac:dyDescent="0.2">
      <c r="A3812" s="3">
        <v>42606</v>
      </c>
      <c r="B3812" t="s">
        <v>23</v>
      </c>
      <c r="C3812">
        <v>803</v>
      </c>
      <c r="D3812">
        <v>4</v>
      </c>
      <c r="E3812">
        <v>2</v>
      </c>
      <c r="F3812" t="s">
        <v>24</v>
      </c>
      <c r="G3812" t="s">
        <v>25</v>
      </c>
      <c r="H3812" t="s">
        <v>26</v>
      </c>
      <c r="I3812" t="s">
        <v>57</v>
      </c>
    </row>
    <row r="3813" spans="1:30" x14ac:dyDescent="0.2">
      <c r="A3813" s="3">
        <v>42606</v>
      </c>
      <c r="B3813" t="s">
        <v>23</v>
      </c>
      <c r="C3813">
        <v>803</v>
      </c>
      <c r="D3813">
        <v>3</v>
      </c>
      <c r="E3813">
        <v>1</v>
      </c>
      <c r="F3813" t="s">
        <v>24</v>
      </c>
      <c r="G3813" t="s">
        <v>25</v>
      </c>
      <c r="H3813" t="s">
        <v>26</v>
      </c>
      <c r="I3813" t="s">
        <v>57</v>
      </c>
    </row>
    <row r="3814" spans="1:30" x14ac:dyDescent="0.2">
      <c r="A3814" s="3">
        <v>42606</v>
      </c>
      <c r="B3814" t="s">
        <v>23</v>
      </c>
      <c r="C3814">
        <v>901</v>
      </c>
      <c r="D3814">
        <v>10</v>
      </c>
      <c r="E3814">
        <v>1</v>
      </c>
      <c r="F3814" t="s">
        <v>24</v>
      </c>
      <c r="G3814" t="s">
        <v>25</v>
      </c>
      <c r="H3814" t="s">
        <v>26</v>
      </c>
      <c r="I3814" t="s">
        <v>57</v>
      </c>
    </row>
    <row r="3815" spans="1:30" x14ac:dyDescent="0.2">
      <c r="A3815" s="3">
        <v>42606</v>
      </c>
      <c r="B3815" t="s">
        <v>23</v>
      </c>
      <c r="C3815">
        <v>901</v>
      </c>
      <c r="D3815">
        <v>7</v>
      </c>
      <c r="E3815">
        <v>2</v>
      </c>
      <c r="F3815" t="s">
        <v>24</v>
      </c>
      <c r="G3815" t="s">
        <v>25</v>
      </c>
      <c r="H3815" t="s">
        <v>26</v>
      </c>
      <c r="I3815" t="s">
        <v>57</v>
      </c>
    </row>
    <row r="3816" spans="1:30" x14ac:dyDescent="0.2">
      <c r="A3816" s="3">
        <v>42606</v>
      </c>
      <c r="B3816" t="s">
        <v>23</v>
      </c>
      <c r="C3816">
        <v>901</v>
      </c>
      <c r="D3816">
        <v>1</v>
      </c>
      <c r="E3816">
        <v>1</v>
      </c>
      <c r="F3816" t="s">
        <v>24</v>
      </c>
      <c r="G3816" t="s">
        <v>25</v>
      </c>
      <c r="H3816" t="s">
        <v>26</v>
      </c>
      <c r="I3816" t="s">
        <v>57</v>
      </c>
    </row>
    <row r="3817" spans="1:30" x14ac:dyDescent="0.2">
      <c r="A3817" s="3">
        <v>42606</v>
      </c>
      <c r="B3817" t="s">
        <v>23</v>
      </c>
      <c r="C3817">
        <v>901</v>
      </c>
      <c r="D3817">
        <v>1</v>
      </c>
      <c r="E3817">
        <v>1</v>
      </c>
      <c r="F3817" t="s">
        <v>24</v>
      </c>
      <c r="G3817" t="s">
        <v>25</v>
      </c>
      <c r="H3817" t="s">
        <v>26</v>
      </c>
      <c r="I3817" t="s">
        <v>57</v>
      </c>
    </row>
    <row r="3818" spans="1:30" x14ac:dyDescent="0.2">
      <c r="A3818" s="3">
        <v>42515</v>
      </c>
      <c r="B3818" t="s">
        <v>23</v>
      </c>
      <c r="C3818">
        <v>503</v>
      </c>
      <c r="D3818">
        <v>1</v>
      </c>
      <c r="E3818">
        <v>1</v>
      </c>
      <c r="F3818" t="s">
        <v>33</v>
      </c>
      <c r="G3818" t="s">
        <v>25</v>
      </c>
      <c r="H3818" t="s">
        <v>26</v>
      </c>
      <c r="I3818" t="s">
        <v>143</v>
      </c>
      <c r="Z3818" t="s">
        <v>32</v>
      </c>
    </row>
    <row r="3819" spans="1:30" x14ac:dyDescent="0.2">
      <c r="A3819" s="3">
        <v>42528</v>
      </c>
      <c r="B3819" t="s">
        <v>23</v>
      </c>
      <c r="C3819">
        <v>111</v>
      </c>
      <c r="D3819">
        <v>7</v>
      </c>
      <c r="E3819">
        <v>1</v>
      </c>
      <c r="F3819" t="s">
        <v>33</v>
      </c>
      <c r="G3819" t="s">
        <v>25</v>
      </c>
      <c r="H3819" t="s">
        <v>26</v>
      </c>
      <c r="I3819" t="s">
        <v>143</v>
      </c>
      <c r="Z3819" t="s">
        <v>32</v>
      </c>
    </row>
    <row r="3820" spans="1:30" x14ac:dyDescent="0.2">
      <c r="A3820" s="3">
        <v>42535</v>
      </c>
      <c r="B3820" t="s">
        <v>23</v>
      </c>
      <c r="C3820">
        <v>701</v>
      </c>
      <c r="D3820">
        <v>6</v>
      </c>
      <c r="E3820">
        <v>1</v>
      </c>
      <c r="F3820" t="s">
        <v>33</v>
      </c>
      <c r="G3820" t="s">
        <v>25</v>
      </c>
      <c r="H3820" t="s">
        <v>26</v>
      </c>
      <c r="I3820" t="s">
        <v>143</v>
      </c>
      <c r="Z3820" t="s">
        <v>32</v>
      </c>
      <c r="AD3820" t="s">
        <v>207</v>
      </c>
    </row>
    <row r="3821" spans="1:30" x14ac:dyDescent="0.2">
      <c r="A3821" s="3">
        <v>42536</v>
      </c>
      <c r="B3821" t="s">
        <v>23</v>
      </c>
      <c r="C3821">
        <v>803</v>
      </c>
      <c r="D3821">
        <v>2</v>
      </c>
      <c r="E3821">
        <v>1</v>
      </c>
      <c r="F3821" t="s">
        <v>33</v>
      </c>
      <c r="G3821" t="s">
        <v>25</v>
      </c>
      <c r="H3821" t="s">
        <v>26</v>
      </c>
      <c r="I3821" t="s">
        <v>143</v>
      </c>
      <c r="Z3821" t="s">
        <v>32</v>
      </c>
    </row>
    <row r="3822" spans="1:30" x14ac:dyDescent="0.2">
      <c r="A3822" s="3">
        <v>42536</v>
      </c>
      <c r="B3822" t="s">
        <v>23</v>
      </c>
      <c r="C3822">
        <v>803</v>
      </c>
      <c r="D3822">
        <v>2</v>
      </c>
      <c r="E3822">
        <v>2</v>
      </c>
      <c r="F3822" t="s">
        <v>33</v>
      </c>
      <c r="G3822" t="s">
        <v>25</v>
      </c>
      <c r="H3822" t="s">
        <v>26</v>
      </c>
      <c r="I3822" t="s">
        <v>143</v>
      </c>
      <c r="Z3822" t="s">
        <v>32</v>
      </c>
    </row>
    <row r="3823" spans="1:30" x14ac:dyDescent="0.2">
      <c r="A3823" s="3">
        <v>42536</v>
      </c>
      <c r="B3823" t="s">
        <v>23</v>
      </c>
      <c r="C3823">
        <v>803</v>
      </c>
      <c r="D3823">
        <v>1</v>
      </c>
      <c r="E3823">
        <v>1</v>
      </c>
      <c r="F3823" t="s">
        <v>33</v>
      </c>
      <c r="G3823" t="s">
        <v>25</v>
      </c>
      <c r="H3823" t="s">
        <v>26</v>
      </c>
      <c r="I3823" t="s">
        <v>143</v>
      </c>
      <c r="Z3823" t="s">
        <v>32</v>
      </c>
    </row>
    <row r="3824" spans="1:30" x14ac:dyDescent="0.2">
      <c r="A3824" s="3">
        <v>42536</v>
      </c>
      <c r="B3824" t="s">
        <v>23</v>
      </c>
      <c r="C3824">
        <v>803</v>
      </c>
      <c r="D3824">
        <v>1</v>
      </c>
      <c r="E3824">
        <v>2</v>
      </c>
      <c r="F3824" t="s">
        <v>33</v>
      </c>
      <c r="G3824" t="s">
        <v>25</v>
      </c>
      <c r="H3824" t="s">
        <v>26</v>
      </c>
      <c r="I3824" t="s">
        <v>143</v>
      </c>
      <c r="Z3824" t="s">
        <v>32</v>
      </c>
    </row>
    <row r="3825" spans="1:30" x14ac:dyDescent="0.2">
      <c r="A3825" s="3">
        <v>42549</v>
      </c>
      <c r="B3825" t="s">
        <v>23</v>
      </c>
      <c r="C3825">
        <v>401</v>
      </c>
      <c r="D3825">
        <v>3</v>
      </c>
      <c r="E3825">
        <v>1</v>
      </c>
      <c r="F3825" t="s">
        <v>33</v>
      </c>
      <c r="G3825" t="s">
        <v>25</v>
      </c>
      <c r="H3825" t="s">
        <v>26</v>
      </c>
      <c r="I3825" t="s">
        <v>143</v>
      </c>
      <c r="Z3825" t="s">
        <v>32</v>
      </c>
    </row>
    <row r="3826" spans="1:30" x14ac:dyDescent="0.2">
      <c r="A3826" s="3">
        <v>42598</v>
      </c>
      <c r="B3826" t="s">
        <v>23</v>
      </c>
      <c r="C3826">
        <v>111</v>
      </c>
      <c r="D3826">
        <v>3</v>
      </c>
      <c r="E3826">
        <v>1</v>
      </c>
      <c r="F3826" t="s">
        <v>24</v>
      </c>
      <c r="G3826" t="s">
        <v>25</v>
      </c>
      <c r="H3826" t="s">
        <v>26</v>
      </c>
      <c r="I3826" t="s">
        <v>1792</v>
      </c>
      <c r="J3826" t="s">
        <v>258</v>
      </c>
    </row>
    <row r="3827" spans="1:30" x14ac:dyDescent="0.2">
      <c r="A3827" s="3">
        <v>42604</v>
      </c>
      <c r="B3827" t="s">
        <v>23</v>
      </c>
      <c r="C3827">
        <v>401</v>
      </c>
      <c r="D3827">
        <v>10</v>
      </c>
      <c r="E3827">
        <v>1</v>
      </c>
      <c r="F3827" t="s">
        <v>64</v>
      </c>
      <c r="G3827" t="s">
        <v>25</v>
      </c>
      <c r="H3827" t="s">
        <v>26</v>
      </c>
      <c r="I3827" t="s">
        <v>142</v>
      </c>
      <c r="J3827" t="s">
        <v>34</v>
      </c>
      <c r="K3827" t="s">
        <v>29</v>
      </c>
      <c r="L3827" t="s">
        <v>30</v>
      </c>
      <c r="M3827">
        <v>0</v>
      </c>
      <c r="N3827">
        <v>1</v>
      </c>
      <c r="O3827" s="17" t="s">
        <v>1710</v>
      </c>
      <c r="Q3827">
        <f>37-17.5</f>
        <v>19.5</v>
      </c>
      <c r="R3827" t="s">
        <v>31</v>
      </c>
      <c r="S3827" t="s">
        <v>32</v>
      </c>
      <c r="T3827">
        <v>29</v>
      </c>
      <c r="W3827">
        <v>13.1</v>
      </c>
      <c r="X3827">
        <v>25.5</v>
      </c>
      <c r="Z3827" t="s">
        <v>145</v>
      </c>
      <c r="AA3827" t="s">
        <v>260</v>
      </c>
      <c r="AB3827" t="s">
        <v>121</v>
      </c>
      <c r="AC3827" t="s">
        <v>59</v>
      </c>
      <c r="AD3827" t="s">
        <v>1579</v>
      </c>
    </row>
    <row r="3828" spans="1:30" x14ac:dyDescent="0.2">
      <c r="A3828" s="3">
        <v>42605</v>
      </c>
      <c r="B3828" t="s">
        <v>23</v>
      </c>
      <c r="C3828">
        <v>501</v>
      </c>
      <c r="D3828">
        <v>8</v>
      </c>
      <c r="E3828">
        <v>1</v>
      </c>
      <c r="F3828" t="s">
        <v>64</v>
      </c>
      <c r="G3828" t="s">
        <v>25</v>
      </c>
      <c r="H3828" t="s">
        <v>26</v>
      </c>
      <c r="I3828" t="s">
        <v>142</v>
      </c>
      <c r="J3828" t="s">
        <v>34</v>
      </c>
      <c r="K3828" t="s">
        <v>188</v>
      </c>
      <c r="L3828" t="s">
        <v>35</v>
      </c>
      <c r="M3828">
        <v>0</v>
      </c>
      <c r="N3828">
        <v>1</v>
      </c>
      <c r="O3828" s="17" t="s">
        <v>1719</v>
      </c>
      <c r="Q3828">
        <f>33-14</f>
        <v>19</v>
      </c>
      <c r="R3828" t="s">
        <v>63</v>
      </c>
      <c r="T3828">
        <v>30</v>
      </c>
      <c r="W3828">
        <v>12.9</v>
      </c>
      <c r="X3828">
        <v>24.8</v>
      </c>
      <c r="Z3828" t="s">
        <v>145</v>
      </c>
      <c r="AA3828" t="s">
        <v>260</v>
      </c>
      <c r="AB3828" t="s">
        <v>121</v>
      </c>
      <c r="AC3828" t="s">
        <v>59</v>
      </c>
      <c r="AD3828" t="s">
        <v>1579</v>
      </c>
    </row>
    <row r="3829" spans="1:30" x14ac:dyDescent="0.2">
      <c r="A3829" s="3">
        <v>42605</v>
      </c>
      <c r="B3829" t="s">
        <v>23</v>
      </c>
      <c r="C3829">
        <v>501</v>
      </c>
      <c r="D3829">
        <v>9</v>
      </c>
      <c r="E3829">
        <v>1</v>
      </c>
      <c r="F3829" t="s">
        <v>64</v>
      </c>
      <c r="G3829" t="s">
        <v>25</v>
      </c>
      <c r="H3829" t="s">
        <v>26</v>
      </c>
      <c r="I3829" t="s">
        <v>142</v>
      </c>
      <c r="J3829" t="s">
        <v>34</v>
      </c>
      <c r="K3829" t="s">
        <v>188</v>
      </c>
      <c r="L3829" t="s">
        <v>30</v>
      </c>
      <c r="M3829">
        <v>0</v>
      </c>
      <c r="N3829">
        <v>1</v>
      </c>
      <c r="O3829" s="17" t="s">
        <v>1720</v>
      </c>
      <c r="Q3829">
        <f>35-17.5</f>
        <v>17.5</v>
      </c>
      <c r="R3829" t="s">
        <v>31</v>
      </c>
      <c r="S3829" t="s">
        <v>32</v>
      </c>
      <c r="T3829">
        <v>30</v>
      </c>
      <c r="W3829">
        <v>12.9</v>
      </c>
      <c r="X3829">
        <v>26.3</v>
      </c>
      <c r="Z3829" t="s">
        <v>145</v>
      </c>
      <c r="AA3829" t="s">
        <v>260</v>
      </c>
      <c r="AB3829" t="s">
        <v>121</v>
      </c>
      <c r="AC3829" t="s">
        <v>59</v>
      </c>
      <c r="AD3829" t="s">
        <v>1579</v>
      </c>
    </row>
    <row r="3830" spans="1:30" x14ac:dyDescent="0.2">
      <c r="A3830" s="3">
        <v>42606</v>
      </c>
      <c r="B3830" t="s">
        <v>23</v>
      </c>
      <c r="C3830">
        <v>401</v>
      </c>
      <c r="D3830">
        <v>10</v>
      </c>
      <c r="E3830">
        <v>1</v>
      </c>
      <c r="F3830" t="s">
        <v>64</v>
      </c>
      <c r="G3830" t="s">
        <v>25</v>
      </c>
      <c r="H3830" t="s">
        <v>26</v>
      </c>
      <c r="I3830" t="s">
        <v>142</v>
      </c>
      <c r="J3830" t="s">
        <v>28</v>
      </c>
      <c r="K3830" t="s">
        <v>29</v>
      </c>
      <c r="L3830" t="s">
        <v>30</v>
      </c>
      <c r="M3830">
        <v>0</v>
      </c>
      <c r="N3830">
        <v>0</v>
      </c>
      <c r="O3830" s="17" t="s">
        <v>1724</v>
      </c>
      <c r="Q3830">
        <f>34-13</f>
        <v>21</v>
      </c>
      <c r="R3830" t="s">
        <v>31</v>
      </c>
      <c r="S3830" t="s">
        <v>32</v>
      </c>
      <c r="T3830">
        <v>29</v>
      </c>
      <c r="W3830">
        <v>13.2</v>
      </c>
      <c r="X3830">
        <v>25.5</v>
      </c>
      <c r="Z3830" t="s">
        <v>32</v>
      </c>
      <c r="AB3830" t="s">
        <v>53</v>
      </c>
      <c r="AC3830" t="s">
        <v>122</v>
      </c>
      <c r="AD3830" t="s">
        <v>1478</v>
      </c>
    </row>
    <row r="3831" spans="1:30" x14ac:dyDescent="0.2">
      <c r="A3831" s="3">
        <v>42605</v>
      </c>
      <c r="B3831" t="s">
        <v>23</v>
      </c>
      <c r="C3831">
        <v>303</v>
      </c>
      <c r="D3831">
        <v>10</v>
      </c>
      <c r="E3831">
        <v>1</v>
      </c>
      <c r="F3831" t="s">
        <v>64</v>
      </c>
      <c r="G3831" t="s">
        <v>25</v>
      </c>
      <c r="H3831" t="s">
        <v>26</v>
      </c>
      <c r="I3831" t="s">
        <v>142</v>
      </c>
      <c r="J3831" t="s">
        <v>34</v>
      </c>
      <c r="K3831" t="s">
        <v>123</v>
      </c>
      <c r="L3831" t="s">
        <v>30</v>
      </c>
      <c r="M3831">
        <v>0</v>
      </c>
      <c r="N3831">
        <v>1</v>
      </c>
      <c r="O3831" s="17" t="s">
        <v>1735</v>
      </c>
      <c r="Q3831">
        <f>27-16</f>
        <v>11</v>
      </c>
      <c r="R3831" t="s">
        <v>31</v>
      </c>
      <c r="S3831" t="s">
        <v>32</v>
      </c>
      <c r="T3831">
        <v>27</v>
      </c>
      <c r="W3831">
        <v>12.7</v>
      </c>
      <c r="X3831">
        <v>23</v>
      </c>
      <c r="Z3831" t="s">
        <v>145</v>
      </c>
      <c r="AA3831" t="s">
        <v>260</v>
      </c>
      <c r="AB3831" t="s">
        <v>121</v>
      </c>
      <c r="AC3831" t="s">
        <v>59</v>
      </c>
      <c r="AD3831" t="s">
        <v>1579</v>
      </c>
    </row>
    <row r="3832" spans="1:30" x14ac:dyDescent="0.2">
      <c r="A3832" s="3">
        <v>42606</v>
      </c>
      <c r="B3832" t="s">
        <v>23</v>
      </c>
      <c r="C3832">
        <v>501</v>
      </c>
      <c r="D3832">
        <v>7</v>
      </c>
      <c r="E3832">
        <v>2</v>
      </c>
      <c r="F3832" t="s">
        <v>64</v>
      </c>
      <c r="G3832" t="s">
        <v>25</v>
      </c>
      <c r="H3832" t="s">
        <v>26</v>
      </c>
      <c r="I3832" t="s">
        <v>142</v>
      </c>
      <c r="J3832" t="s">
        <v>34</v>
      </c>
      <c r="K3832" t="s">
        <v>188</v>
      </c>
      <c r="L3832" t="s">
        <v>35</v>
      </c>
      <c r="M3832">
        <v>0</v>
      </c>
      <c r="N3832">
        <v>1</v>
      </c>
      <c r="O3832" s="17" t="s">
        <v>1754</v>
      </c>
      <c r="Q3832">
        <f>31.5-13</f>
        <v>18.5</v>
      </c>
      <c r="R3832" t="s">
        <v>63</v>
      </c>
      <c r="T3832">
        <v>29</v>
      </c>
      <c r="W3832">
        <v>13</v>
      </c>
      <c r="X3832">
        <v>24.8</v>
      </c>
      <c r="Z3832" t="s">
        <v>145</v>
      </c>
      <c r="AA3832" t="s">
        <v>260</v>
      </c>
      <c r="AB3832" t="s">
        <v>53</v>
      </c>
      <c r="AC3832" t="s">
        <v>122</v>
      </c>
      <c r="AD3832" t="s">
        <v>1579</v>
      </c>
    </row>
    <row r="3833" spans="1:30" x14ac:dyDescent="0.2">
      <c r="A3833" s="3">
        <v>42606</v>
      </c>
      <c r="B3833" t="s">
        <v>23</v>
      </c>
      <c r="C3833">
        <v>803</v>
      </c>
      <c r="D3833">
        <v>9</v>
      </c>
      <c r="E3833">
        <v>1</v>
      </c>
      <c r="F3833" t="s">
        <v>24</v>
      </c>
      <c r="G3833" t="s">
        <v>25</v>
      </c>
      <c r="H3833" t="s">
        <v>26</v>
      </c>
      <c r="I3833" t="s">
        <v>142</v>
      </c>
      <c r="J3833" t="s">
        <v>34</v>
      </c>
      <c r="K3833" t="s">
        <v>29</v>
      </c>
      <c r="L3833" t="s">
        <v>35</v>
      </c>
      <c r="M3833">
        <v>0</v>
      </c>
      <c r="N3833">
        <v>1</v>
      </c>
      <c r="O3833" s="17" t="s">
        <v>1934</v>
      </c>
      <c r="Q3833">
        <f>34-14</f>
        <v>20</v>
      </c>
      <c r="R3833" t="s">
        <v>63</v>
      </c>
      <c r="T3833">
        <v>29</v>
      </c>
      <c r="W3833">
        <v>13.1</v>
      </c>
      <c r="X3833">
        <v>22.5</v>
      </c>
      <c r="AB3833" t="s">
        <v>44</v>
      </c>
      <c r="AC3833" t="s">
        <v>59</v>
      </c>
    </row>
    <row r="3834" spans="1:30" x14ac:dyDescent="0.2">
      <c r="A3834" s="3">
        <v>42606</v>
      </c>
      <c r="B3834" t="s">
        <v>23</v>
      </c>
      <c r="C3834">
        <v>801</v>
      </c>
      <c r="D3834">
        <v>3</v>
      </c>
      <c r="E3834">
        <v>2</v>
      </c>
      <c r="F3834" t="s">
        <v>24</v>
      </c>
      <c r="G3834" t="s">
        <v>25</v>
      </c>
      <c r="H3834" t="s">
        <v>26</v>
      </c>
      <c r="I3834" t="s">
        <v>142</v>
      </c>
      <c r="J3834" t="s">
        <v>34</v>
      </c>
      <c r="K3834" t="s">
        <v>29</v>
      </c>
      <c r="L3834" t="s">
        <v>35</v>
      </c>
      <c r="M3834">
        <v>0</v>
      </c>
      <c r="N3834">
        <v>1</v>
      </c>
      <c r="O3834" s="17" t="s">
        <v>1932</v>
      </c>
      <c r="Q3834">
        <f>33-13.5</f>
        <v>19.5</v>
      </c>
      <c r="R3834" t="s">
        <v>63</v>
      </c>
      <c r="T3834">
        <v>27</v>
      </c>
      <c r="W3834">
        <v>12.4</v>
      </c>
      <c r="X3834">
        <v>25.2</v>
      </c>
      <c r="AB3834" t="s">
        <v>44</v>
      </c>
      <c r="AC3834" t="s">
        <v>59</v>
      </c>
    </row>
    <row r="3835" spans="1:30" x14ac:dyDescent="0.2">
      <c r="A3835" s="3">
        <v>42598</v>
      </c>
      <c r="B3835" t="s">
        <v>23</v>
      </c>
      <c r="C3835">
        <v>202</v>
      </c>
      <c r="D3835">
        <v>6</v>
      </c>
      <c r="E3835">
        <v>2</v>
      </c>
      <c r="F3835" t="s">
        <v>64</v>
      </c>
      <c r="G3835" t="s">
        <v>25</v>
      </c>
      <c r="H3835" t="s">
        <v>26</v>
      </c>
      <c r="I3835" t="s">
        <v>142</v>
      </c>
      <c r="J3835" t="s">
        <v>34</v>
      </c>
      <c r="K3835" t="s">
        <v>188</v>
      </c>
      <c r="L3835" t="s">
        <v>30</v>
      </c>
      <c r="M3835">
        <v>0</v>
      </c>
      <c r="N3835">
        <v>1</v>
      </c>
      <c r="O3835" s="17" t="s">
        <v>1578</v>
      </c>
      <c r="Q3835">
        <f>33-16.5</f>
        <v>16.5</v>
      </c>
      <c r="R3835" t="s">
        <v>31</v>
      </c>
      <c r="S3835" t="s">
        <v>32</v>
      </c>
      <c r="T3835">
        <v>29.5</v>
      </c>
      <c r="W3835">
        <v>13</v>
      </c>
      <c r="X3835">
        <v>24.9</v>
      </c>
      <c r="Z3835" t="s">
        <v>145</v>
      </c>
      <c r="AA3835" t="s">
        <v>260</v>
      </c>
      <c r="AB3835" t="s">
        <v>121</v>
      </c>
      <c r="AC3835" t="s">
        <v>122</v>
      </c>
      <c r="AD3835" t="s">
        <v>1579</v>
      </c>
    </row>
    <row r="3836" spans="1:30" x14ac:dyDescent="0.2">
      <c r="A3836" s="3">
        <v>42599</v>
      </c>
      <c r="B3836" t="s">
        <v>23</v>
      </c>
      <c r="C3836">
        <v>202</v>
      </c>
      <c r="D3836">
        <v>8</v>
      </c>
      <c r="E3836">
        <v>2</v>
      </c>
      <c r="F3836" t="s">
        <v>64</v>
      </c>
      <c r="G3836" t="s">
        <v>25</v>
      </c>
      <c r="H3836" t="s">
        <v>26</v>
      </c>
      <c r="I3836" t="s">
        <v>142</v>
      </c>
      <c r="J3836" t="s">
        <v>28</v>
      </c>
      <c r="K3836" t="s">
        <v>29</v>
      </c>
      <c r="L3836" t="s">
        <v>30</v>
      </c>
      <c r="M3836">
        <v>0</v>
      </c>
      <c r="N3836">
        <v>0</v>
      </c>
      <c r="O3836" s="17" t="s">
        <v>1578</v>
      </c>
      <c r="Q3836">
        <f>34-15</f>
        <v>19</v>
      </c>
      <c r="R3836" t="s">
        <v>31</v>
      </c>
      <c r="S3836" t="s">
        <v>32</v>
      </c>
      <c r="Z3836" t="s">
        <v>145</v>
      </c>
      <c r="AA3836" t="s">
        <v>260</v>
      </c>
      <c r="AB3836" t="s">
        <v>121</v>
      </c>
      <c r="AC3836" t="s">
        <v>59</v>
      </c>
    </row>
    <row r="3837" spans="1:30" x14ac:dyDescent="0.2">
      <c r="A3837" s="3">
        <v>42599</v>
      </c>
      <c r="B3837" t="s">
        <v>23</v>
      </c>
      <c r="C3837">
        <v>203</v>
      </c>
      <c r="D3837">
        <v>4</v>
      </c>
      <c r="E3837">
        <v>1</v>
      </c>
      <c r="F3837" t="s">
        <v>64</v>
      </c>
      <c r="G3837" t="s">
        <v>25</v>
      </c>
      <c r="H3837" t="s">
        <v>26</v>
      </c>
      <c r="I3837" t="s">
        <v>142</v>
      </c>
      <c r="J3837" t="s">
        <v>34</v>
      </c>
      <c r="K3837" t="s">
        <v>188</v>
      </c>
      <c r="L3837" t="s">
        <v>35</v>
      </c>
      <c r="M3837">
        <v>0</v>
      </c>
      <c r="N3837">
        <v>1</v>
      </c>
      <c r="O3837" s="17" t="s">
        <v>1624</v>
      </c>
      <c r="Q3837">
        <f>30-13.5</f>
        <v>16.5</v>
      </c>
      <c r="R3837" t="s">
        <v>39</v>
      </c>
      <c r="T3837">
        <v>29</v>
      </c>
      <c r="W3837">
        <v>13.2</v>
      </c>
      <c r="X3837">
        <v>24.7</v>
      </c>
      <c r="Z3837" t="s">
        <v>32</v>
      </c>
      <c r="AB3837" t="s">
        <v>121</v>
      </c>
      <c r="AC3837" t="s">
        <v>59</v>
      </c>
      <c r="AD3837" t="s">
        <v>1579</v>
      </c>
    </row>
    <row r="3838" spans="1:30" x14ac:dyDescent="0.2">
      <c r="A3838" s="3">
        <v>42600</v>
      </c>
      <c r="B3838" t="s">
        <v>23</v>
      </c>
      <c r="C3838">
        <v>202</v>
      </c>
      <c r="D3838">
        <v>1</v>
      </c>
      <c r="E3838">
        <v>1</v>
      </c>
      <c r="F3838" t="s">
        <v>64</v>
      </c>
      <c r="G3838" t="s">
        <v>25</v>
      </c>
      <c r="H3838" t="s">
        <v>26</v>
      </c>
      <c r="I3838" t="s">
        <v>142</v>
      </c>
      <c r="J3838" t="s">
        <v>34</v>
      </c>
      <c r="K3838" t="s">
        <v>29</v>
      </c>
      <c r="L3838" t="s">
        <v>30</v>
      </c>
      <c r="M3838">
        <v>0</v>
      </c>
      <c r="N3838">
        <v>1</v>
      </c>
      <c r="O3838" s="17" t="s">
        <v>1667</v>
      </c>
      <c r="Q3838">
        <f>35.5-15</f>
        <v>20.5</v>
      </c>
      <c r="R3838" t="s">
        <v>31</v>
      </c>
      <c r="S3838" t="s">
        <v>32</v>
      </c>
      <c r="T3838">
        <v>30</v>
      </c>
      <c r="W3838">
        <v>13.1</v>
      </c>
      <c r="X3838">
        <v>25.5</v>
      </c>
      <c r="Z3838" t="s">
        <v>145</v>
      </c>
      <c r="AA3838" t="s">
        <v>260</v>
      </c>
      <c r="AB3838" t="s">
        <v>121</v>
      </c>
      <c r="AC3838" t="s">
        <v>122</v>
      </c>
      <c r="AD3838" t="s">
        <v>1579</v>
      </c>
    </row>
    <row r="3839" spans="1:30" x14ac:dyDescent="0.2">
      <c r="A3839" s="3">
        <v>42605</v>
      </c>
      <c r="B3839" t="s">
        <v>23</v>
      </c>
      <c r="C3839">
        <v>701</v>
      </c>
      <c r="D3839">
        <v>3</v>
      </c>
      <c r="E3839">
        <v>1</v>
      </c>
      <c r="F3839" t="s">
        <v>24</v>
      </c>
      <c r="G3839" t="s">
        <v>25</v>
      </c>
      <c r="H3839" t="s">
        <v>26</v>
      </c>
      <c r="I3839" t="s">
        <v>142</v>
      </c>
      <c r="J3839" t="s">
        <v>34</v>
      </c>
      <c r="K3839" t="s">
        <v>29</v>
      </c>
      <c r="L3839" t="s">
        <v>35</v>
      </c>
      <c r="M3839">
        <v>0</v>
      </c>
      <c r="N3839">
        <v>1</v>
      </c>
      <c r="O3839" s="17" t="s">
        <v>1902</v>
      </c>
      <c r="Q3839">
        <f>39-13</f>
        <v>26</v>
      </c>
      <c r="R3839" t="s">
        <v>63</v>
      </c>
      <c r="T3839">
        <v>27</v>
      </c>
      <c r="W3839">
        <v>13.1</v>
      </c>
      <c r="X3839">
        <v>25.2</v>
      </c>
      <c r="Z3839" t="s">
        <v>145</v>
      </c>
      <c r="AB3839" t="s">
        <v>44</v>
      </c>
      <c r="AC3839" t="s">
        <v>59</v>
      </c>
    </row>
    <row r="3840" spans="1:30" x14ac:dyDescent="0.2">
      <c r="A3840" s="3">
        <v>42605</v>
      </c>
      <c r="B3840" t="s">
        <v>23</v>
      </c>
      <c r="C3840">
        <v>701</v>
      </c>
      <c r="D3840">
        <v>1</v>
      </c>
      <c r="E3840">
        <v>2</v>
      </c>
      <c r="F3840" t="s">
        <v>24</v>
      </c>
      <c r="G3840" t="s">
        <v>25</v>
      </c>
      <c r="H3840" t="s">
        <v>26</v>
      </c>
      <c r="I3840" t="s">
        <v>142</v>
      </c>
      <c r="J3840" t="s">
        <v>34</v>
      </c>
      <c r="K3840" t="s">
        <v>188</v>
      </c>
      <c r="L3840" t="s">
        <v>30</v>
      </c>
      <c r="M3840">
        <v>0</v>
      </c>
      <c r="N3840">
        <v>1</v>
      </c>
      <c r="O3840" s="17" t="s">
        <v>1900</v>
      </c>
      <c r="Q3840">
        <f>30-13</f>
        <v>17</v>
      </c>
      <c r="R3840" t="s">
        <v>31</v>
      </c>
      <c r="S3840" t="s">
        <v>32</v>
      </c>
      <c r="T3840">
        <v>28</v>
      </c>
      <c r="W3840">
        <v>12.7</v>
      </c>
      <c r="X3840">
        <v>25.35</v>
      </c>
      <c r="Z3840" t="s">
        <v>145</v>
      </c>
      <c r="AA3840" t="s">
        <v>1901</v>
      </c>
      <c r="AB3840" t="s">
        <v>44</v>
      </c>
      <c r="AC3840" t="s">
        <v>59</v>
      </c>
    </row>
    <row r="3841" spans="1:30" x14ac:dyDescent="0.2">
      <c r="A3841" s="3">
        <v>42604</v>
      </c>
      <c r="B3841" t="s">
        <v>23</v>
      </c>
      <c r="C3841">
        <v>701</v>
      </c>
      <c r="D3841">
        <v>8</v>
      </c>
      <c r="E3841">
        <v>2</v>
      </c>
      <c r="F3841" t="s">
        <v>24</v>
      </c>
      <c r="G3841" t="s">
        <v>25</v>
      </c>
      <c r="H3841" t="s">
        <v>26</v>
      </c>
      <c r="I3841" t="s">
        <v>142</v>
      </c>
      <c r="J3841" t="s">
        <v>34</v>
      </c>
      <c r="K3841" t="s">
        <v>29</v>
      </c>
      <c r="L3841" t="s">
        <v>30</v>
      </c>
      <c r="M3841">
        <v>0</v>
      </c>
      <c r="N3841">
        <v>1</v>
      </c>
      <c r="O3841" s="17" t="s">
        <v>1875</v>
      </c>
      <c r="Q3841">
        <f>37-16.5</f>
        <v>20.5</v>
      </c>
      <c r="R3841" t="s">
        <v>31</v>
      </c>
      <c r="S3841" t="s">
        <v>32</v>
      </c>
      <c r="T3841">
        <v>28.5</v>
      </c>
      <c r="W3841">
        <v>12.4</v>
      </c>
      <c r="X3841">
        <v>24.3</v>
      </c>
      <c r="Z3841" t="s">
        <v>145</v>
      </c>
      <c r="AB3841" t="s">
        <v>582</v>
      </c>
      <c r="AC3841" t="s">
        <v>116</v>
      </c>
    </row>
    <row r="3842" spans="1:30" x14ac:dyDescent="0.2">
      <c r="A3842" s="3">
        <v>42604</v>
      </c>
      <c r="B3842" t="s">
        <v>23</v>
      </c>
      <c r="C3842">
        <v>701</v>
      </c>
      <c r="D3842">
        <v>4</v>
      </c>
      <c r="E3842">
        <v>1</v>
      </c>
      <c r="F3842" t="s">
        <v>24</v>
      </c>
      <c r="G3842" t="s">
        <v>25</v>
      </c>
      <c r="H3842" t="s">
        <v>26</v>
      </c>
      <c r="I3842" t="s">
        <v>142</v>
      </c>
      <c r="J3842" t="s">
        <v>34</v>
      </c>
      <c r="K3842" t="s">
        <v>29</v>
      </c>
      <c r="L3842" t="s">
        <v>35</v>
      </c>
      <c r="M3842">
        <v>0</v>
      </c>
      <c r="N3842">
        <v>1</v>
      </c>
      <c r="O3842" s="17" t="s">
        <v>1873</v>
      </c>
      <c r="Q3842">
        <f>34.5-13</f>
        <v>21.5</v>
      </c>
      <c r="R3842" t="s">
        <v>63</v>
      </c>
      <c r="T3842">
        <v>29</v>
      </c>
      <c r="W3842">
        <v>12.5</v>
      </c>
      <c r="X3842">
        <v>24.95</v>
      </c>
      <c r="AB3842" t="s">
        <v>582</v>
      </c>
      <c r="AC3842" t="s">
        <v>116</v>
      </c>
    </row>
    <row r="3843" spans="1:30" x14ac:dyDescent="0.2">
      <c r="A3843" s="3">
        <v>42606</v>
      </c>
      <c r="B3843" t="s">
        <v>23</v>
      </c>
      <c r="C3843">
        <v>701</v>
      </c>
      <c r="D3843">
        <v>5</v>
      </c>
      <c r="E3843">
        <v>1</v>
      </c>
      <c r="F3843" t="s">
        <v>24</v>
      </c>
      <c r="G3843" t="s">
        <v>25</v>
      </c>
      <c r="H3843" t="s">
        <v>26</v>
      </c>
      <c r="I3843" t="s">
        <v>142</v>
      </c>
      <c r="J3843" t="s">
        <v>28</v>
      </c>
      <c r="K3843" t="s">
        <v>29</v>
      </c>
      <c r="L3843" t="s">
        <v>35</v>
      </c>
      <c r="M3843">
        <v>0</v>
      </c>
      <c r="N3843">
        <v>0</v>
      </c>
      <c r="O3843" s="17" t="s">
        <v>1873</v>
      </c>
      <c r="Q3843">
        <f>34.5-13</f>
        <v>21.5</v>
      </c>
      <c r="R3843" t="s">
        <v>63</v>
      </c>
      <c r="T3843">
        <v>30</v>
      </c>
      <c r="W3843">
        <v>12.6</v>
      </c>
      <c r="X3843">
        <v>26</v>
      </c>
      <c r="Z3843" t="s">
        <v>145</v>
      </c>
      <c r="AB3843" t="s">
        <v>44</v>
      </c>
      <c r="AC3843" t="s">
        <v>59</v>
      </c>
    </row>
    <row r="3844" spans="1:30" x14ac:dyDescent="0.2">
      <c r="A3844" s="3">
        <v>42604</v>
      </c>
      <c r="B3844" t="s">
        <v>23</v>
      </c>
      <c r="C3844">
        <v>701</v>
      </c>
      <c r="D3844">
        <v>2</v>
      </c>
      <c r="E3844">
        <v>2</v>
      </c>
      <c r="F3844" t="s">
        <v>24</v>
      </c>
      <c r="G3844" t="s">
        <v>25</v>
      </c>
      <c r="H3844" t="s">
        <v>26</v>
      </c>
      <c r="I3844" t="s">
        <v>142</v>
      </c>
      <c r="J3844" t="s">
        <v>34</v>
      </c>
      <c r="K3844" t="s">
        <v>29</v>
      </c>
      <c r="L3844" t="s">
        <v>30</v>
      </c>
      <c r="M3844">
        <v>0</v>
      </c>
      <c r="N3844">
        <v>1</v>
      </c>
      <c r="O3844" s="17" t="s">
        <v>1871</v>
      </c>
      <c r="Q3844">
        <f>41-13</f>
        <v>28</v>
      </c>
      <c r="R3844" t="s">
        <v>75</v>
      </c>
      <c r="S3844" t="s">
        <v>145</v>
      </c>
      <c r="T3844">
        <v>29</v>
      </c>
      <c r="W3844">
        <v>13.3</v>
      </c>
      <c r="X3844">
        <v>24</v>
      </c>
      <c r="AB3844" t="s">
        <v>582</v>
      </c>
      <c r="AC3844" t="s">
        <v>116</v>
      </c>
    </row>
    <row r="3845" spans="1:30" x14ac:dyDescent="0.2">
      <c r="A3845" s="3">
        <v>42604</v>
      </c>
      <c r="B3845" t="s">
        <v>23</v>
      </c>
      <c r="C3845">
        <v>703</v>
      </c>
      <c r="D3845">
        <v>6</v>
      </c>
      <c r="E3845">
        <v>1</v>
      </c>
      <c r="F3845" t="s">
        <v>24</v>
      </c>
      <c r="G3845" t="s">
        <v>25</v>
      </c>
      <c r="H3845" t="s">
        <v>26</v>
      </c>
      <c r="I3845" t="s">
        <v>142</v>
      </c>
      <c r="J3845" t="s">
        <v>34</v>
      </c>
      <c r="K3845" t="s">
        <v>188</v>
      </c>
      <c r="L3845" t="s">
        <v>35</v>
      </c>
      <c r="M3845">
        <v>0</v>
      </c>
      <c r="N3845">
        <v>1</v>
      </c>
      <c r="O3845" s="17" t="s">
        <v>1868</v>
      </c>
      <c r="Q3845">
        <f>31-12.5</f>
        <v>18.5</v>
      </c>
      <c r="R3845" t="s">
        <v>63</v>
      </c>
      <c r="T3845">
        <v>28.5</v>
      </c>
      <c r="W3845">
        <v>25.5</v>
      </c>
      <c r="X3845">
        <v>24.95</v>
      </c>
      <c r="AB3845" t="s">
        <v>582</v>
      </c>
      <c r="AC3845" t="s">
        <v>116</v>
      </c>
    </row>
    <row r="3846" spans="1:30" x14ac:dyDescent="0.2">
      <c r="A3846" s="3">
        <v>42605</v>
      </c>
      <c r="B3846" t="s">
        <v>23</v>
      </c>
      <c r="C3846">
        <v>703</v>
      </c>
      <c r="D3846">
        <v>5</v>
      </c>
      <c r="E3846">
        <v>1</v>
      </c>
      <c r="F3846" t="s">
        <v>24</v>
      </c>
      <c r="G3846" t="s">
        <v>25</v>
      </c>
      <c r="H3846" t="s">
        <v>26</v>
      </c>
      <c r="I3846" t="s">
        <v>142</v>
      </c>
      <c r="J3846" t="s">
        <v>28</v>
      </c>
      <c r="K3846" t="s">
        <v>188</v>
      </c>
      <c r="L3846" t="s">
        <v>35</v>
      </c>
      <c r="M3846">
        <v>0</v>
      </c>
      <c r="N3846">
        <v>0</v>
      </c>
      <c r="O3846" s="17" t="s">
        <v>1868</v>
      </c>
      <c r="Q3846">
        <f>31-13</f>
        <v>18</v>
      </c>
      <c r="R3846" t="s">
        <v>63</v>
      </c>
      <c r="T3846">
        <v>28.5</v>
      </c>
      <c r="W3846">
        <v>12.6</v>
      </c>
      <c r="X3846">
        <v>25.1</v>
      </c>
      <c r="AB3846" t="s">
        <v>44</v>
      </c>
      <c r="AC3846" t="s">
        <v>59</v>
      </c>
    </row>
    <row r="3847" spans="1:30" x14ac:dyDescent="0.2">
      <c r="A3847" s="3">
        <v>42586</v>
      </c>
      <c r="B3847" t="s">
        <v>23</v>
      </c>
      <c r="C3847">
        <v>111</v>
      </c>
      <c r="D3847">
        <v>10</v>
      </c>
      <c r="E3847">
        <v>1</v>
      </c>
      <c r="F3847" t="s">
        <v>64</v>
      </c>
      <c r="G3847" t="s">
        <v>25</v>
      </c>
      <c r="H3847" t="s">
        <v>26</v>
      </c>
      <c r="I3847" t="s">
        <v>142</v>
      </c>
      <c r="J3847" t="s">
        <v>34</v>
      </c>
      <c r="K3847" t="s">
        <v>29</v>
      </c>
      <c r="L3847" t="s">
        <v>35</v>
      </c>
      <c r="M3847">
        <v>0</v>
      </c>
      <c r="N3847">
        <v>1</v>
      </c>
      <c r="O3847" s="17" t="s">
        <v>956</v>
      </c>
      <c r="Q3847">
        <f>35.5-13</f>
        <v>22.5</v>
      </c>
      <c r="R3847" t="s">
        <v>39</v>
      </c>
      <c r="T3847">
        <v>29</v>
      </c>
      <c r="W3847">
        <v>13.1</v>
      </c>
      <c r="X3847">
        <v>26</v>
      </c>
      <c r="Z3847" t="s">
        <v>145</v>
      </c>
      <c r="AA3847" t="s">
        <v>957</v>
      </c>
      <c r="AB3847" t="s">
        <v>53</v>
      </c>
      <c r="AC3847" t="s">
        <v>122</v>
      </c>
    </row>
    <row r="3848" spans="1:30" x14ac:dyDescent="0.2">
      <c r="A3848" s="3">
        <v>42586</v>
      </c>
      <c r="B3848" t="s">
        <v>23</v>
      </c>
      <c r="C3848">
        <v>112</v>
      </c>
      <c r="D3848">
        <v>7</v>
      </c>
      <c r="E3848">
        <v>1</v>
      </c>
      <c r="F3848" t="s">
        <v>64</v>
      </c>
      <c r="G3848" t="s">
        <v>25</v>
      </c>
      <c r="H3848" t="s">
        <v>26</v>
      </c>
      <c r="I3848" t="s">
        <v>142</v>
      </c>
      <c r="J3848" t="s">
        <v>28</v>
      </c>
      <c r="K3848" t="s">
        <v>29</v>
      </c>
      <c r="L3848" t="s">
        <v>35</v>
      </c>
      <c r="M3848">
        <v>0</v>
      </c>
      <c r="N3848">
        <v>0</v>
      </c>
      <c r="O3848" s="17" t="s">
        <v>922</v>
      </c>
      <c r="Q3848">
        <f>33-13</f>
        <v>20</v>
      </c>
      <c r="R3848" t="s">
        <v>39</v>
      </c>
      <c r="T3848">
        <v>30</v>
      </c>
      <c r="W3848">
        <v>12.9</v>
      </c>
      <c r="X3848">
        <v>26.6</v>
      </c>
      <c r="Y3848" t="s">
        <v>967</v>
      </c>
      <c r="Z3848" t="s">
        <v>145</v>
      </c>
      <c r="AA3848" t="s">
        <v>260</v>
      </c>
      <c r="AB3848" t="s">
        <v>53</v>
      </c>
      <c r="AC3848" t="s">
        <v>122</v>
      </c>
    </row>
    <row r="3849" spans="1:30" x14ac:dyDescent="0.2">
      <c r="A3849" s="3">
        <v>42587</v>
      </c>
      <c r="B3849" t="s">
        <v>23</v>
      </c>
      <c r="C3849">
        <v>112</v>
      </c>
      <c r="D3849">
        <v>5</v>
      </c>
      <c r="E3849">
        <v>2</v>
      </c>
      <c r="F3849" t="s">
        <v>64</v>
      </c>
      <c r="G3849" t="s">
        <v>25</v>
      </c>
      <c r="H3849" t="s">
        <v>26</v>
      </c>
      <c r="I3849" t="s">
        <v>142</v>
      </c>
      <c r="J3849" t="s">
        <v>28</v>
      </c>
      <c r="K3849" t="s">
        <v>29</v>
      </c>
      <c r="L3849" t="s">
        <v>35</v>
      </c>
      <c r="M3849">
        <v>0</v>
      </c>
      <c r="N3849">
        <v>0</v>
      </c>
      <c r="O3849" s="17" t="s">
        <v>922</v>
      </c>
      <c r="Q3849">
        <f>32-13</f>
        <v>19</v>
      </c>
      <c r="R3849" t="s">
        <v>39</v>
      </c>
      <c r="T3849">
        <v>30</v>
      </c>
      <c r="W3849">
        <v>13</v>
      </c>
      <c r="X3849">
        <v>25.8</v>
      </c>
      <c r="Z3849" t="s">
        <v>145</v>
      </c>
      <c r="AA3849" t="s">
        <v>260</v>
      </c>
      <c r="AB3849" t="s">
        <v>53</v>
      </c>
      <c r="AC3849" t="s">
        <v>254</v>
      </c>
    </row>
    <row r="3850" spans="1:30" x14ac:dyDescent="0.2">
      <c r="A3850" s="3">
        <v>42588</v>
      </c>
      <c r="B3850" t="s">
        <v>23</v>
      </c>
      <c r="C3850">
        <v>112</v>
      </c>
      <c r="D3850">
        <v>6</v>
      </c>
      <c r="E3850">
        <v>2</v>
      </c>
      <c r="F3850" t="s">
        <v>24</v>
      </c>
      <c r="G3850" t="s">
        <v>25</v>
      </c>
      <c r="H3850" t="s">
        <v>26</v>
      </c>
      <c r="I3850" t="s">
        <v>142</v>
      </c>
      <c r="J3850" t="s">
        <v>28</v>
      </c>
      <c r="K3850" t="s">
        <v>29</v>
      </c>
      <c r="L3850" t="s">
        <v>35</v>
      </c>
      <c r="M3850">
        <v>0</v>
      </c>
      <c r="N3850">
        <v>0</v>
      </c>
      <c r="O3850" s="17" t="s">
        <v>922</v>
      </c>
      <c r="Q3850">
        <f>32-12</f>
        <v>20</v>
      </c>
      <c r="R3850" t="s">
        <v>39</v>
      </c>
      <c r="T3850">
        <v>29</v>
      </c>
      <c r="W3850">
        <v>12.7</v>
      </c>
      <c r="X3850">
        <v>25.3</v>
      </c>
      <c r="Z3850" t="s">
        <v>32</v>
      </c>
      <c r="AB3850" t="s">
        <v>121</v>
      </c>
      <c r="AC3850" t="s">
        <v>59</v>
      </c>
    </row>
    <row r="3851" spans="1:30" x14ac:dyDescent="0.2">
      <c r="A3851" s="3">
        <v>42589</v>
      </c>
      <c r="B3851" t="s">
        <v>23</v>
      </c>
      <c r="C3851">
        <v>112</v>
      </c>
      <c r="D3851">
        <v>10</v>
      </c>
      <c r="E3851">
        <v>1</v>
      </c>
      <c r="F3851" t="s">
        <v>24</v>
      </c>
      <c r="G3851" t="s">
        <v>25</v>
      </c>
      <c r="H3851" t="s">
        <v>26</v>
      </c>
      <c r="I3851" t="s">
        <v>142</v>
      </c>
      <c r="J3851" t="s">
        <v>28</v>
      </c>
      <c r="K3851" t="s">
        <v>188</v>
      </c>
      <c r="L3851" t="s">
        <v>35</v>
      </c>
      <c r="M3851">
        <v>0</v>
      </c>
      <c r="N3851">
        <v>0</v>
      </c>
      <c r="O3851" s="17" t="s">
        <v>922</v>
      </c>
      <c r="Q3851">
        <f>35-16</f>
        <v>19</v>
      </c>
      <c r="R3851" t="s">
        <v>63</v>
      </c>
      <c r="T3851">
        <v>29</v>
      </c>
      <c r="X3851">
        <v>25.2</v>
      </c>
      <c r="Z3851" t="s">
        <v>32</v>
      </c>
      <c r="AB3851" t="s">
        <v>121</v>
      </c>
      <c r="AC3851" t="s">
        <v>59</v>
      </c>
    </row>
    <row r="3852" spans="1:30" x14ac:dyDescent="0.2">
      <c r="A3852" s="3">
        <v>42598</v>
      </c>
      <c r="B3852" t="s">
        <v>23</v>
      </c>
      <c r="C3852">
        <v>112</v>
      </c>
      <c r="D3852">
        <v>7</v>
      </c>
      <c r="E3852">
        <v>2</v>
      </c>
      <c r="F3852" t="s">
        <v>24</v>
      </c>
      <c r="G3852" t="s">
        <v>25</v>
      </c>
      <c r="H3852" t="s">
        <v>26</v>
      </c>
      <c r="I3852" t="s">
        <v>142</v>
      </c>
      <c r="J3852" t="s">
        <v>28</v>
      </c>
      <c r="K3852" t="s">
        <v>29</v>
      </c>
      <c r="L3852" t="s">
        <v>35</v>
      </c>
      <c r="M3852">
        <v>0</v>
      </c>
      <c r="N3852">
        <v>0</v>
      </c>
      <c r="O3852" s="17" t="s">
        <v>922</v>
      </c>
      <c r="Q3852">
        <v>20</v>
      </c>
      <c r="R3852" t="s">
        <v>39</v>
      </c>
      <c r="T3852">
        <v>28</v>
      </c>
      <c r="W3852">
        <v>12.9</v>
      </c>
      <c r="X3852">
        <v>25.3</v>
      </c>
      <c r="Z3852" t="s">
        <v>145</v>
      </c>
      <c r="AB3852" t="s">
        <v>1589</v>
      </c>
      <c r="AC3852" t="s">
        <v>122</v>
      </c>
    </row>
    <row r="3853" spans="1:30" x14ac:dyDescent="0.2">
      <c r="A3853" s="3">
        <v>42585</v>
      </c>
      <c r="B3853" t="s">
        <v>23</v>
      </c>
      <c r="C3853">
        <v>112</v>
      </c>
      <c r="D3853">
        <v>4</v>
      </c>
      <c r="E3853">
        <v>2</v>
      </c>
      <c r="F3853" t="s">
        <v>64</v>
      </c>
      <c r="G3853" t="s">
        <v>25</v>
      </c>
      <c r="H3853" t="s">
        <v>26</v>
      </c>
      <c r="I3853" t="s">
        <v>142</v>
      </c>
      <c r="J3853" t="s">
        <v>34</v>
      </c>
      <c r="K3853" t="s">
        <v>188</v>
      </c>
      <c r="L3853" t="s">
        <v>35</v>
      </c>
      <c r="M3853">
        <v>0</v>
      </c>
      <c r="N3853">
        <v>1</v>
      </c>
      <c r="O3853" s="17" t="s">
        <v>916</v>
      </c>
      <c r="Q3853">
        <f>20.5-4</f>
        <v>16.5</v>
      </c>
      <c r="R3853" t="s">
        <v>63</v>
      </c>
      <c r="T3853">
        <v>28</v>
      </c>
      <c r="W3853">
        <v>12.8</v>
      </c>
      <c r="Z3853" t="s">
        <v>145</v>
      </c>
      <c r="AA3853" t="s">
        <v>260</v>
      </c>
      <c r="AB3853" t="s">
        <v>53</v>
      </c>
      <c r="AC3853" t="s">
        <v>122</v>
      </c>
    </row>
    <row r="3854" spans="1:30" x14ac:dyDescent="0.2">
      <c r="A3854" s="3">
        <v>42587</v>
      </c>
      <c r="B3854" t="s">
        <v>23</v>
      </c>
      <c r="C3854">
        <v>112</v>
      </c>
      <c r="D3854">
        <v>9</v>
      </c>
      <c r="E3854">
        <v>2</v>
      </c>
      <c r="F3854" t="s">
        <v>64</v>
      </c>
      <c r="G3854" t="s">
        <v>25</v>
      </c>
      <c r="H3854" t="s">
        <v>26</v>
      </c>
      <c r="I3854" t="s">
        <v>142</v>
      </c>
      <c r="J3854" t="s">
        <v>28</v>
      </c>
      <c r="K3854" t="s">
        <v>188</v>
      </c>
      <c r="L3854" t="s">
        <v>30</v>
      </c>
      <c r="M3854">
        <v>0</v>
      </c>
      <c r="N3854">
        <v>0</v>
      </c>
      <c r="O3854" s="17" t="s">
        <v>916</v>
      </c>
      <c r="Q3854">
        <f>30-14</f>
        <v>16</v>
      </c>
      <c r="R3854" t="s">
        <v>61</v>
      </c>
      <c r="S3854" t="s">
        <v>32</v>
      </c>
      <c r="T3854">
        <v>28.5</v>
      </c>
      <c r="W3854">
        <v>12.9</v>
      </c>
      <c r="X3854">
        <v>25.6</v>
      </c>
      <c r="Z3854" t="s">
        <v>32</v>
      </c>
      <c r="AB3854" t="s">
        <v>53</v>
      </c>
      <c r="AC3854" t="s">
        <v>254</v>
      </c>
      <c r="AD3854" t="s">
        <v>1171</v>
      </c>
    </row>
    <row r="3855" spans="1:30" x14ac:dyDescent="0.2">
      <c r="A3855" s="3">
        <v>42588</v>
      </c>
      <c r="B3855" t="s">
        <v>23</v>
      </c>
      <c r="C3855">
        <v>112</v>
      </c>
      <c r="D3855">
        <v>9</v>
      </c>
      <c r="E3855">
        <v>1</v>
      </c>
      <c r="F3855" t="s">
        <v>24</v>
      </c>
      <c r="G3855" t="s">
        <v>25</v>
      </c>
      <c r="H3855" t="s">
        <v>26</v>
      </c>
      <c r="I3855" t="s">
        <v>142</v>
      </c>
      <c r="J3855" t="s">
        <v>28</v>
      </c>
      <c r="K3855" t="s">
        <v>188</v>
      </c>
      <c r="L3855" t="s">
        <v>30</v>
      </c>
      <c r="M3855">
        <v>0</v>
      </c>
      <c r="N3855">
        <v>0</v>
      </c>
      <c r="O3855" s="17" t="s">
        <v>916</v>
      </c>
      <c r="Q3855">
        <f>30-13</f>
        <v>17</v>
      </c>
      <c r="R3855" t="s">
        <v>31</v>
      </c>
      <c r="S3855" t="s">
        <v>32</v>
      </c>
      <c r="T3855">
        <v>27</v>
      </c>
      <c r="W3855">
        <v>12.5</v>
      </c>
      <c r="X3855">
        <v>24.5</v>
      </c>
      <c r="Z3855" t="s">
        <v>32</v>
      </c>
      <c r="AB3855" t="s">
        <v>121</v>
      </c>
      <c r="AC3855" t="s">
        <v>59</v>
      </c>
    </row>
    <row r="3856" spans="1:30" x14ac:dyDescent="0.2">
      <c r="A3856" s="3">
        <v>42589</v>
      </c>
      <c r="B3856" t="s">
        <v>23</v>
      </c>
      <c r="C3856">
        <v>112</v>
      </c>
      <c r="D3856">
        <v>6</v>
      </c>
      <c r="E3856">
        <v>2</v>
      </c>
      <c r="F3856" t="s">
        <v>24</v>
      </c>
      <c r="G3856" t="s">
        <v>25</v>
      </c>
      <c r="H3856" t="s">
        <v>26</v>
      </c>
      <c r="I3856" t="s">
        <v>142</v>
      </c>
      <c r="J3856" t="s">
        <v>28</v>
      </c>
      <c r="K3856" t="s">
        <v>188</v>
      </c>
      <c r="L3856" t="s">
        <v>30</v>
      </c>
      <c r="M3856">
        <v>0</v>
      </c>
      <c r="N3856">
        <v>0</v>
      </c>
      <c r="O3856" s="17" t="s">
        <v>916</v>
      </c>
      <c r="Q3856">
        <f>30-13</f>
        <v>17</v>
      </c>
      <c r="R3856" t="s">
        <v>31</v>
      </c>
      <c r="S3856" t="s">
        <v>32</v>
      </c>
      <c r="T3856">
        <v>27</v>
      </c>
      <c r="W3856">
        <v>25</v>
      </c>
      <c r="X3856">
        <v>22.2</v>
      </c>
      <c r="Z3856" t="s">
        <v>32</v>
      </c>
      <c r="AB3856" t="s">
        <v>121</v>
      </c>
      <c r="AC3856" t="s">
        <v>59</v>
      </c>
    </row>
    <row r="3857" spans="1:30" x14ac:dyDescent="0.2">
      <c r="A3857" s="3">
        <v>42599</v>
      </c>
      <c r="B3857" t="s">
        <v>23</v>
      </c>
      <c r="C3857">
        <v>112</v>
      </c>
      <c r="D3857">
        <v>7</v>
      </c>
      <c r="E3857">
        <v>2</v>
      </c>
      <c r="F3857" t="s">
        <v>24</v>
      </c>
      <c r="G3857" t="s">
        <v>25</v>
      </c>
      <c r="H3857" t="s">
        <v>26</v>
      </c>
      <c r="I3857" t="s">
        <v>142</v>
      </c>
      <c r="J3857" t="s">
        <v>28</v>
      </c>
      <c r="K3857" t="s">
        <v>188</v>
      </c>
      <c r="L3857" t="s">
        <v>30</v>
      </c>
      <c r="M3857">
        <v>0</v>
      </c>
      <c r="N3857">
        <v>0</v>
      </c>
      <c r="O3857" s="17" t="s">
        <v>916</v>
      </c>
      <c r="Q3857">
        <f>31-14</f>
        <v>17</v>
      </c>
      <c r="R3857" t="s">
        <v>31</v>
      </c>
      <c r="S3857" t="s">
        <v>32</v>
      </c>
      <c r="T3857">
        <v>28</v>
      </c>
      <c r="W3857">
        <v>12.3</v>
      </c>
      <c r="X3857">
        <v>25</v>
      </c>
      <c r="AB3857" t="s">
        <v>121</v>
      </c>
      <c r="AC3857" t="s">
        <v>59</v>
      </c>
    </row>
    <row r="3858" spans="1:30" x14ac:dyDescent="0.2">
      <c r="A3858" s="3">
        <v>42600</v>
      </c>
      <c r="B3858" t="s">
        <v>23</v>
      </c>
      <c r="C3858">
        <v>112</v>
      </c>
      <c r="D3858">
        <v>10</v>
      </c>
      <c r="E3858">
        <v>1</v>
      </c>
      <c r="F3858" t="s">
        <v>24</v>
      </c>
      <c r="G3858" t="s">
        <v>25</v>
      </c>
      <c r="H3858" t="s">
        <v>26</v>
      </c>
      <c r="I3858" t="s">
        <v>142</v>
      </c>
      <c r="J3858" t="s">
        <v>28</v>
      </c>
      <c r="K3858" t="s">
        <v>29</v>
      </c>
      <c r="L3858" t="s">
        <v>30</v>
      </c>
      <c r="M3858">
        <v>0</v>
      </c>
      <c r="N3858">
        <v>0</v>
      </c>
      <c r="O3858" s="17" t="s">
        <v>916</v>
      </c>
      <c r="Q3858">
        <f>31-12.5</f>
        <v>18.5</v>
      </c>
      <c r="R3858" t="s">
        <v>31</v>
      </c>
      <c r="S3858" t="s">
        <v>32</v>
      </c>
      <c r="T3858">
        <v>28</v>
      </c>
      <c r="W3858">
        <v>12.7</v>
      </c>
      <c r="X3858">
        <v>24.3</v>
      </c>
      <c r="AB3858" t="s">
        <v>121</v>
      </c>
      <c r="AC3858" t="s">
        <v>59</v>
      </c>
    </row>
    <row r="3859" spans="1:30" x14ac:dyDescent="0.2">
      <c r="A3859" s="3">
        <v>42585</v>
      </c>
      <c r="B3859" t="s">
        <v>23</v>
      </c>
      <c r="C3859">
        <v>112</v>
      </c>
      <c r="D3859">
        <v>2</v>
      </c>
      <c r="E3859">
        <v>2</v>
      </c>
      <c r="F3859" t="s">
        <v>64</v>
      </c>
      <c r="G3859" t="s">
        <v>25</v>
      </c>
      <c r="H3859" t="s">
        <v>26</v>
      </c>
      <c r="I3859" t="s">
        <v>142</v>
      </c>
      <c r="J3859" t="s">
        <v>34</v>
      </c>
      <c r="K3859" t="s">
        <v>29</v>
      </c>
      <c r="L3859" t="s">
        <v>35</v>
      </c>
      <c r="M3859">
        <v>0</v>
      </c>
      <c r="N3859">
        <v>1</v>
      </c>
      <c r="O3859" s="17" t="s">
        <v>913</v>
      </c>
      <c r="Q3859">
        <f>24-4.5</f>
        <v>19.5</v>
      </c>
      <c r="R3859" t="s">
        <v>39</v>
      </c>
      <c r="T3859">
        <v>29</v>
      </c>
      <c r="W3859">
        <v>13</v>
      </c>
      <c r="X3859">
        <v>25.5</v>
      </c>
      <c r="Z3859" t="s">
        <v>145</v>
      </c>
      <c r="AA3859" t="s">
        <v>260</v>
      </c>
      <c r="AB3859" t="s">
        <v>53</v>
      </c>
      <c r="AC3859" t="s">
        <v>122</v>
      </c>
    </row>
    <row r="3860" spans="1:30" x14ac:dyDescent="0.2">
      <c r="A3860" s="3">
        <v>42587</v>
      </c>
      <c r="B3860" t="s">
        <v>23</v>
      </c>
      <c r="C3860">
        <v>112</v>
      </c>
      <c r="D3860">
        <v>3</v>
      </c>
      <c r="E3860">
        <v>1</v>
      </c>
      <c r="F3860" t="s">
        <v>64</v>
      </c>
      <c r="G3860" t="s">
        <v>25</v>
      </c>
      <c r="H3860" t="s">
        <v>26</v>
      </c>
      <c r="I3860" t="s">
        <v>142</v>
      </c>
      <c r="J3860" t="s">
        <v>28</v>
      </c>
      <c r="K3860" t="s">
        <v>29</v>
      </c>
      <c r="L3860" t="s">
        <v>35</v>
      </c>
      <c r="M3860">
        <v>0</v>
      </c>
      <c r="N3860">
        <v>0</v>
      </c>
      <c r="O3860" s="17" t="s">
        <v>913</v>
      </c>
      <c r="Q3860">
        <f>34-15</f>
        <v>19</v>
      </c>
      <c r="R3860" t="s">
        <v>39</v>
      </c>
      <c r="T3860">
        <v>30</v>
      </c>
      <c r="W3860">
        <v>13</v>
      </c>
      <c r="X3860">
        <v>25.4</v>
      </c>
      <c r="Z3860" t="s">
        <v>145</v>
      </c>
      <c r="AA3860" t="s">
        <v>260</v>
      </c>
      <c r="AB3860" t="s">
        <v>53</v>
      </c>
      <c r="AC3860" t="s">
        <v>254</v>
      </c>
    </row>
    <row r="3861" spans="1:30" x14ac:dyDescent="0.2">
      <c r="A3861" s="3">
        <v>42588</v>
      </c>
      <c r="B3861" t="s">
        <v>23</v>
      </c>
      <c r="C3861">
        <v>112</v>
      </c>
      <c r="D3861">
        <v>2</v>
      </c>
      <c r="E3861">
        <v>1</v>
      </c>
      <c r="F3861" t="s">
        <v>24</v>
      </c>
      <c r="G3861" t="s">
        <v>25</v>
      </c>
      <c r="H3861" t="s">
        <v>26</v>
      </c>
      <c r="I3861" t="s">
        <v>142</v>
      </c>
      <c r="J3861" t="s">
        <v>28</v>
      </c>
      <c r="K3861" t="s">
        <v>29</v>
      </c>
      <c r="L3861" t="s">
        <v>35</v>
      </c>
      <c r="M3861">
        <v>0</v>
      </c>
      <c r="N3861">
        <v>0</v>
      </c>
      <c r="O3861" s="17" t="s">
        <v>913</v>
      </c>
      <c r="Q3861">
        <f>33-12.5</f>
        <v>20.5</v>
      </c>
      <c r="R3861" t="s">
        <v>39</v>
      </c>
      <c r="T3861">
        <v>28</v>
      </c>
      <c r="W3861">
        <v>12.85</v>
      </c>
      <c r="X3861">
        <v>25.3</v>
      </c>
      <c r="Z3861" t="s">
        <v>145</v>
      </c>
      <c r="AB3861" t="s">
        <v>121</v>
      </c>
      <c r="AC3861" t="s">
        <v>59</v>
      </c>
    </row>
    <row r="3862" spans="1:30" x14ac:dyDescent="0.2">
      <c r="A3862" s="3">
        <v>42585</v>
      </c>
      <c r="B3862" t="s">
        <v>23</v>
      </c>
      <c r="C3862">
        <v>112</v>
      </c>
      <c r="D3862">
        <v>1</v>
      </c>
      <c r="E3862">
        <v>2</v>
      </c>
      <c r="F3862" t="s">
        <v>64</v>
      </c>
      <c r="G3862" t="s">
        <v>25</v>
      </c>
      <c r="H3862" t="s">
        <v>26</v>
      </c>
      <c r="I3862" t="s">
        <v>142</v>
      </c>
      <c r="J3862" t="s">
        <v>34</v>
      </c>
      <c r="K3862" t="s">
        <v>29</v>
      </c>
      <c r="L3862" t="s">
        <v>30</v>
      </c>
      <c r="M3862">
        <v>0</v>
      </c>
      <c r="N3862">
        <v>1</v>
      </c>
      <c r="O3862" s="17" t="s">
        <v>912</v>
      </c>
      <c r="Q3862">
        <f>28.5-5</f>
        <v>23.5</v>
      </c>
      <c r="R3862" t="s">
        <v>251</v>
      </c>
      <c r="S3862" t="s">
        <v>145</v>
      </c>
      <c r="T3862">
        <v>27</v>
      </c>
      <c r="W3862">
        <v>12.9</v>
      </c>
      <c r="X3862">
        <v>26.7</v>
      </c>
      <c r="Z3862" t="s">
        <v>32</v>
      </c>
      <c r="AB3862" t="s">
        <v>53</v>
      </c>
      <c r="AC3862" t="s">
        <v>122</v>
      </c>
    </row>
    <row r="3863" spans="1:30" x14ac:dyDescent="0.2">
      <c r="A3863" s="3">
        <v>42586</v>
      </c>
      <c r="B3863" t="s">
        <v>23</v>
      </c>
      <c r="C3863">
        <v>112</v>
      </c>
      <c r="D3863">
        <v>5</v>
      </c>
      <c r="E3863">
        <v>1</v>
      </c>
      <c r="F3863" t="s">
        <v>64</v>
      </c>
      <c r="G3863" t="s">
        <v>25</v>
      </c>
      <c r="H3863" t="s">
        <v>26</v>
      </c>
      <c r="I3863" t="s">
        <v>142</v>
      </c>
      <c r="J3863" t="s">
        <v>28</v>
      </c>
      <c r="K3863" t="s">
        <v>29</v>
      </c>
      <c r="L3863" t="s">
        <v>30</v>
      </c>
      <c r="M3863">
        <v>0</v>
      </c>
      <c r="N3863">
        <v>0</v>
      </c>
      <c r="O3863" s="17" t="s">
        <v>912</v>
      </c>
      <c r="Q3863">
        <f>34-13</f>
        <v>21</v>
      </c>
      <c r="R3863" t="s">
        <v>83</v>
      </c>
      <c r="S3863" t="s">
        <v>145</v>
      </c>
      <c r="T3863">
        <v>28</v>
      </c>
      <c r="W3863">
        <v>12.7</v>
      </c>
      <c r="X3863">
        <v>25.5</v>
      </c>
      <c r="Z3863" t="s">
        <v>32</v>
      </c>
      <c r="AB3863" t="s">
        <v>53</v>
      </c>
      <c r="AC3863" t="s">
        <v>122</v>
      </c>
    </row>
    <row r="3864" spans="1:30" x14ac:dyDescent="0.2">
      <c r="A3864" s="3">
        <v>42587</v>
      </c>
      <c r="B3864" t="s">
        <v>23</v>
      </c>
      <c r="C3864">
        <v>112</v>
      </c>
      <c r="D3864">
        <v>8</v>
      </c>
      <c r="E3864">
        <v>2</v>
      </c>
      <c r="F3864" t="s">
        <v>64</v>
      </c>
      <c r="G3864" t="s">
        <v>25</v>
      </c>
      <c r="H3864" t="s">
        <v>26</v>
      </c>
      <c r="I3864" t="s">
        <v>142</v>
      </c>
      <c r="J3864" t="s">
        <v>28</v>
      </c>
      <c r="K3864" t="s">
        <v>29</v>
      </c>
      <c r="L3864" t="s">
        <v>30</v>
      </c>
      <c r="M3864">
        <v>0</v>
      </c>
      <c r="N3864">
        <v>0</v>
      </c>
      <c r="O3864" s="17" t="s">
        <v>912</v>
      </c>
      <c r="Q3864">
        <f>38-16</f>
        <v>22</v>
      </c>
      <c r="R3864" t="s">
        <v>273</v>
      </c>
      <c r="S3864" t="s">
        <v>145</v>
      </c>
      <c r="T3864">
        <v>29</v>
      </c>
      <c r="Z3864" t="s">
        <v>32</v>
      </c>
      <c r="AB3864" t="s">
        <v>53</v>
      </c>
      <c r="AC3864" t="s">
        <v>254</v>
      </c>
    </row>
    <row r="3865" spans="1:30" x14ac:dyDescent="0.2">
      <c r="A3865" s="3">
        <v>42588</v>
      </c>
      <c r="B3865" t="s">
        <v>23</v>
      </c>
      <c r="C3865">
        <v>112</v>
      </c>
      <c r="D3865">
        <v>2</v>
      </c>
      <c r="E3865">
        <v>1</v>
      </c>
      <c r="F3865" t="s">
        <v>64</v>
      </c>
      <c r="G3865" t="s">
        <v>25</v>
      </c>
      <c r="H3865" t="s">
        <v>26</v>
      </c>
      <c r="I3865" t="s">
        <v>142</v>
      </c>
      <c r="J3865" t="s">
        <v>28</v>
      </c>
      <c r="K3865" t="s">
        <v>29</v>
      </c>
      <c r="L3865" t="s">
        <v>30</v>
      </c>
      <c r="M3865">
        <v>0</v>
      </c>
      <c r="N3865">
        <v>0</v>
      </c>
      <c r="O3865" s="17" t="s">
        <v>912</v>
      </c>
      <c r="Q3865">
        <f>35-12</f>
        <v>23</v>
      </c>
      <c r="R3865" t="s">
        <v>273</v>
      </c>
      <c r="S3865" t="s">
        <v>145</v>
      </c>
      <c r="T3865">
        <v>29</v>
      </c>
      <c r="W3865">
        <v>13</v>
      </c>
      <c r="X3865">
        <v>26.3</v>
      </c>
      <c r="Z3865" t="s">
        <v>32</v>
      </c>
      <c r="AB3865" t="s">
        <v>149</v>
      </c>
      <c r="AC3865" t="s">
        <v>59</v>
      </c>
    </row>
    <row r="3866" spans="1:30" x14ac:dyDescent="0.2">
      <c r="A3866" s="3">
        <v>42589</v>
      </c>
      <c r="B3866" t="s">
        <v>23</v>
      </c>
      <c r="C3866">
        <v>112</v>
      </c>
      <c r="D3866">
        <v>7</v>
      </c>
      <c r="E3866">
        <v>2</v>
      </c>
      <c r="F3866" t="s">
        <v>64</v>
      </c>
      <c r="G3866" t="s">
        <v>25</v>
      </c>
      <c r="H3866" t="s">
        <v>26</v>
      </c>
      <c r="I3866" t="s">
        <v>142</v>
      </c>
      <c r="J3866" t="s">
        <v>28</v>
      </c>
      <c r="K3866" t="s">
        <v>29</v>
      </c>
      <c r="L3866" t="s">
        <v>30</v>
      </c>
      <c r="M3866">
        <v>0</v>
      </c>
      <c r="N3866">
        <v>0</v>
      </c>
      <c r="O3866" s="17" t="s">
        <v>912</v>
      </c>
      <c r="Q3866">
        <f>38-15</f>
        <v>23</v>
      </c>
      <c r="R3866" t="s">
        <v>61</v>
      </c>
      <c r="S3866" t="s">
        <v>32</v>
      </c>
      <c r="T3866">
        <v>28</v>
      </c>
      <c r="W3866">
        <v>13</v>
      </c>
      <c r="X3866">
        <v>26.2</v>
      </c>
      <c r="Z3866" t="s">
        <v>32</v>
      </c>
      <c r="AB3866" t="s">
        <v>121</v>
      </c>
      <c r="AC3866" t="s">
        <v>59</v>
      </c>
    </row>
    <row r="3867" spans="1:30" x14ac:dyDescent="0.2">
      <c r="A3867" s="3">
        <v>42587</v>
      </c>
      <c r="B3867" t="s">
        <v>23</v>
      </c>
      <c r="C3867">
        <v>111</v>
      </c>
      <c r="D3867">
        <v>7</v>
      </c>
      <c r="E3867">
        <v>2</v>
      </c>
      <c r="F3867" t="s">
        <v>64</v>
      </c>
      <c r="G3867" t="s">
        <v>25</v>
      </c>
      <c r="H3867" t="s">
        <v>26</v>
      </c>
      <c r="I3867" t="s">
        <v>142</v>
      </c>
      <c r="J3867" t="s">
        <v>34</v>
      </c>
      <c r="K3867" t="s">
        <v>29</v>
      </c>
      <c r="L3867" t="s">
        <v>30</v>
      </c>
      <c r="M3867">
        <v>0</v>
      </c>
      <c r="N3867">
        <v>1</v>
      </c>
      <c r="O3867" s="17" t="s">
        <v>1162</v>
      </c>
      <c r="Q3867">
        <f>33-18</f>
        <v>15</v>
      </c>
      <c r="R3867" t="s">
        <v>61</v>
      </c>
      <c r="S3867" t="s">
        <v>32</v>
      </c>
      <c r="T3867">
        <v>29</v>
      </c>
      <c r="W3867">
        <v>12.9</v>
      </c>
      <c r="X3867">
        <v>25.9</v>
      </c>
      <c r="Z3867" t="s">
        <v>32</v>
      </c>
      <c r="AB3867" t="s">
        <v>53</v>
      </c>
      <c r="AC3867" t="s">
        <v>254</v>
      </c>
    </row>
    <row r="3868" spans="1:30" x14ac:dyDescent="0.2">
      <c r="A3868" s="3">
        <v>42586</v>
      </c>
      <c r="B3868" t="s">
        <v>23</v>
      </c>
      <c r="C3868">
        <v>304</v>
      </c>
      <c r="D3868">
        <v>5</v>
      </c>
      <c r="E3868">
        <v>2</v>
      </c>
      <c r="F3868" t="s">
        <v>64</v>
      </c>
      <c r="G3868" t="s">
        <v>25</v>
      </c>
      <c r="H3868" t="s">
        <v>26</v>
      </c>
      <c r="I3868" t="s">
        <v>142</v>
      </c>
      <c r="J3868" t="s">
        <v>34</v>
      </c>
      <c r="K3868" t="s">
        <v>188</v>
      </c>
      <c r="L3868" t="s">
        <v>35</v>
      </c>
      <c r="M3868">
        <v>0</v>
      </c>
      <c r="N3868">
        <v>0</v>
      </c>
      <c r="O3868" s="17" t="s">
        <v>1005</v>
      </c>
      <c r="Q3868">
        <f>31-16</f>
        <v>15</v>
      </c>
      <c r="R3868" t="s">
        <v>39</v>
      </c>
      <c r="Z3868" t="s">
        <v>145</v>
      </c>
      <c r="AA3868" t="s">
        <v>260</v>
      </c>
      <c r="AB3868" t="s">
        <v>53</v>
      </c>
      <c r="AC3868" t="s">
        <v>122</v>
      </c>
      <c r="AD3868" t="s">
        <v>1470</v>
      </c>
    </row>
    <row r="3869" spans="1:30" x14ac:dyDescent="0.2">
      <c r="A3869" s="3">
        <v>42586</v>
      </c>
      <c r="B3869" t="s">
        <v>23</v>
      </c>
      <c r="C3869">
        <v>304</v>
      </c>
      <c r="D3869">
        <v>9</v>
      </c>
      <c r="E3869">
        <v>1</v>
      </c>
      <c r="F3869" t="s">
        <v>64</v>
      </c>
      <c r="G3869" t="s">
        <v>25</v>
      </c>
      <c r="H3869" t="s">
        <v>26</v>
      </c>
      <c r="I3869" t="s">
        <v>142</v>
      </c>
      <c r="J3869" t="s">
        <v>34</v>
      </c>
      <c r="K3869" t="s">
        <v>29</v>
      </c>
      <c r="L3869" t="s">
        <v>30</v>
      </c>
      <c r="M3869">
        <v>0</v>
      </c>
      <c r="N3869">
        <v>1</v>
      </c>
      <c r="O3869" s="17" t="s">
        <v>1000</v>
      </c>
      <c r="Q3869">
        <f>41-14</f>
        <v>27</v>
      </c>
      <c r="R3869" t="s">
        <v>83</v>
      </c>
      <c r="S3869" t="s">
        <v>32</v>
      </c>
      <c r="T3869">
        <v>28</v>
      </c>
      <c r="W3869">
        <v>13</v>
      </c>
      <c r="X3869">
        <v>26.7</v>
      </c>
      <c r="Z3869" t="s">
        <v>145</v>
      </c>
      <c r="AA3869" t="s">
        <v>1001</v>
      </c>
      <c r="AB3869" t="s">
        <v>53</v>
      </c>
      <c r="AC3869" t="s">
        <v>122</v>
      </c>
    </row>
    <row r="3870" spans="1:30" x14ac:dyDescent="0.2">
      <c r="A3870" s="3">
        <v>42586</v>
      </c>
      <c r="B3870" t="s">
        <v>23</v>
      </c>
      <c r="C3870">
        <v>304</v>
      </c>
      <c r="D3870">
        <v>10</v>
      </c>
      <c r="E3870">
        <v>1</v>
      </c>
      <c r="F3870" t="s">
        <v>64</v>
      </c>
      <c r="G3870" t="s">
        <v>25</v>
      </c>
      <c r="H3870" t="s">
        <v>26</v>
      </c>
      <c r="I3870" t="s">
        <v>142</v>
      </c>
      <c r="J3870" t="s">
        <v>34</v>
      </c>
      <c r="K3870" t="s">
        <v>29</v>
      </c>
      <c r="L3870" t="s">
        <v>30</v>
      </c>
      <c r="M3870">
        <v>0</v>
      </c>
      <c r="N3870">
        <v>1</v>
      </c>
      <c r="O3870" s="17" t="s">
        <v>999</v>
      </c>
      <c r="Q3870">
        <f>30.5-13</f>
        <v>17.5</v>
      </c>
      <c r="R3870" t="s">
        <v>83</v>
      </c>
      <c r="S3870" t="s">
        <v>145</v>
      </c>
      <c r="T3870">
        <v>29</v>
      </c>
      <c r="W3870">
        <v>13</v>
      </c>
      <c r="X3870">
        <v>25.6</v>
      </c>
      <c r="Z3870" t="s">
        <v>32</v>
      </c>
      <c r="AB3870" t="s">
        <v>53</v>
      </c>
      <c r="AC3870" t="s">
        <v>122</v>
      </c>
    </row>
    <row r="3871" spans="1:30" x14ac:dyDescent="0.2">
      <c r="A3871" s="3">
        <v>42586</v>
      </c>
      <c r="B3871" t="s">
        <v>23</v>
      </c>
      <c r="C3871">
        <v>112</v>
      </c>
      <c r="D3871">
        <v>2</v>
      </c>
      <c r="E3871">
        <v>2</v>
      </c>
      <c r="F3871" t="s">
        <v>64</v>
      </c>
      <c r="G3871" t="s">
        <v>25</v>
      </c>
      <c r="H3871" t="s">
        <v>26</v>
      </c>
      <c r="I3871" t="s">
        <v>142</v>
      </c>
      <c r="J3871" t="s">
        <v>34</v>
      </c>
      <c r="K3871" t="s">
        <v>188</v>
      </c>
      <c r="L3871" t="s">
        <v>35</v>
      </c>
      <c r="M3871">
        <v>0</v>
      </c>
      <c r="N3871">
        <v>1</v>
      </c>
      <c r="O3871" s="17" t="s">
        <v>959</v>
      </c>
      <c r="Q3871">
        <f>30-13</f>
        <v>17</v>
      </c>
      <c r="R3871" t="s">
        <v>39</v>
      </c>
      <c r="T3871">
        <v>30</v>
      </c>
      <c r="W3871">
        <v>12.8</v>
      </c>
      <c r="X3871">
        <v>25.7</v>
      </c>
      <c r="Z3871" t="s">
        <v>145</v>
      </c>
      <c r="AA3871" t="s">
        <v>260</v>
      </c>
      <c r="AB3871" t="s">
        <v>53</v>
      </c>
      <c r="AC3871" t="s">
        <v>122</v>
      </c>
    </row>
    <row r="3872" spans="1:30" x14ac:dyDescent="0.2">
      <c r="A3872" s="3">
        <v>42587</v>
      </c>
      <c r="B3872" t="s">
        <v>23</v>
      </c>
      <c r="C3872">
        <v>112</v>
      </c>
      <c r="D3872">
        <v>4</v>
      </c>
      <c r="E3872">
        <v>1</v>
      </c>
      <c r="F3872" t="s">
        <v>64</v>
      </c>
      <c r="G3872" t="s">
        <v>25</v>
      </c>
      <c r="H3872" t="s">
        <v>26</v>
      </c>
      <c r="I3872" t="s">
        <v>142</v>
      </c>
      <c r="J3872" t="s">
        <v>28</v>
      </c>
      <c r="K3872" t="s">
        <v>188</v>
      </c>
      <c r="L3872" t="s">
        <v>35</v>
      </c>
      <c r="M3872">
        <v>0</v>
      </c>
      <c r="N3872">
        <v>0</v>
      </c>
      <c r="O3872" s="17" t="s">
        <v>959</v>
      </c>
      <c r="Q3872">
        <f>31-15</f>
        <v>16</v>
      </c>
      <c r="R3872" t="s">
        <v>39</v>
      </c>
      <c r="T3872">
        <v>30</v>
      </c>
      <c r="W3872">
        <v>12.9</v>
      </c>
      <c r="X3872">
        <v>26.7</v>
      </c>
      <c r="Z3872" t="s">
        <v>145</v>
      </c>
      <c r="AA3872" t="s">
        <v>260</v>
      </c>
      <c r="AB3872" t="s">
        <v>53</v>
      </c>
      <c r="AC3872" t="s">
        <v>254</v>
      </c>
    </row>
    <row r="3873" spans="1:30" x14ac:dyDescent="0.2">
      <c r="A3873" s="3">
        <v>42588</v>
      </c>
      <c r="B3873" t="s">
        <v>23</v>
      </c>
      <c r="C3873">
        <v>112</v>
      </c>
      <c r="D3873">
        <v>5</v>
      </c>
      <c r="E3873">
        <v>1</v>
      </c>
      <c r="F3873" t="s">
        <v>24</v>
      </c>
      <c r="G3873" t="s">
        <v>25</v>
      </c>
      <c r="H3873" t="s">
        <v>26</v>
      </c>
      <c r="I3873" t="s">
        <v>142</v>
      </c>
      <c r="J3873" t="s">
        <v>28</v>
      </c>
      <c r="K3873" t="s">
        <v>188</v>
      </c>
      <c r="L3873" t="s">
        <v>35</v>
      </c>
      <c r="M3873">
        <v>0</v>
      </c>
      <c r="N3873">
        <v>0</v>
      </c>
      <c r="O3873" s="17" t="s">
        <v>959</v>
      </c>
      <c r="Q3873">
        <f>30-13</f>
        <v>17</v>
      </c>
      <c r="R3873" t="s">
        <v>39</v>
      </c>
      <c r="T3873">
        <v>30</v>
      </c>
      <c r="W3873">
        <v>12.5</v>
      </c>
      <c r="X3873">
        <v>23.35</v>
      </c>
      <c r="Z3873" t="s">
        <v>32</v>
      </c>
      <c r="AB3873" t="s">
        <v>121</v>
      </c>
      <c r="AC3873" t="s">
        <v>59</v>
      </c>
    </row>
    <row r="3874" spans="1:30" x14ac:dyDescent="0.2">
      <c r="A3874" s="3">
        <v>42599</v>
      </c>
      <c r="B3874" t="s">
        <v>23</v>
      </c>
      <c r="C3874">
        <v>112</v>
      </c>
      <c r="D3874">
        <v>3</v>
      </c>
      <c r="E3874">
        <v>1</v>
      </c>
      <c r="F3874" t="s">
        <v>24</v>
      </c>
      <c r="G3874" t="s">
        <v>25</v>
      </c>
      <c r="H3874" t="s">
        <v>26</v>
      </c>
      <c r="I3874" t="s">
        <v>142</v>
      </c>
      <c r="J3874" t="s">
        <v>28</v>
      </c>
      <c r="K3874" t="s">
        <v>29</v>
      </c>
      <c r="L3874" t="s">
        <v>35</v>
      </c>
      <c r="M3874">
        <v>0</v>
      </c>
      <c r="N3874">
        <v>0</v>
      </c>
      <c r="O3874" s="17" t="s">
        <v>959</v>
      </c>
      <c r="Q3874">
        <f>34-13.5</f>
        <v>20.5</v>
      </c>
      <c r="R3874" t="s">
        <v>63</v>
      </c>
      <c r="T3874">
        <v>29</v>
      </c>
      <c r="W3874">
        <v>12.55</v>
      </c>
      <c r="X3874">
        <v>25.1</v>
      </c>
      <c r="AB3874" t="s">
        <v>121</v>
      </c>
      <c r="AC3874" t="s">
        <v>59</v>
      </c>
    </row>
    <row r="3875" spans="1:30" x14ac:dyDescent="0.2">
      <c r="A3875" s="3">
        <v>42600</v>
      </c>
      <c r="B3875" t="s">
        <v>23</v>
      </c>
      <c r="C3875">
        <v>112</v>
      </c>
      <c r="D3875">
        <v>1</v>
      </c>
      <c r="E3875">
        <v>1</v>
      </c>
      <c r="F3875" t="s">
        <v>24</v>
      </c>
      <c r="G3875" t="s">
        <v>25</v>
      </c>
      <c r="H3875" t="s">
        <v>26</v>
      </c>
      <c r="I3875" t="s">
        <v>142</v>
      </c>
      <c r="J3875" t="s">
        <v>28</v>
      </c>
      <c r="K3875" t="s">
        <v>188</v>
      </c>
      <c r="L3875" t="s">
        <v>35</v>
      </c>
      <c r="M3875">
        <v>0</v>
      </c>
      <c r="N3875">
        <v>0</v>
      </c>
      <c r="O3875" s="17" t="s">
        <v>959</v>
      </c>
      <c r="Q3875">
        <f>31.5-13</f>
        <v>18.5</v>
      </c>
      <c r="R3875" t="s">
        <v>39</v>
      </c>
      <c r="T3875">
        <v>29.5</v>
      </c>
      <c r="W3875">
        <v>12.5</v>
      </c>
      <c r="X3875">
        <v>25</v>
      </c>
      <c r="AB3875" t="s">
        <v>121</v>
      </c>
      <c r="AC3875" t="s">
        <v>59</v>
      </c>
    </row>
    <row r="3876" spans="1:30" x14ac:dyDescent="0.2">
      <c r="A3876" s="3">
        <v>42589</v>
      </c>
      <c r="B3876" t="s">
        <v>23</v>
      </c>
      <c r="C3876">
        <v>402</v>
      </c>
      <c r="D3876">
        <v>5</v>
      </c>
      <c r="E3876">
        <v>1</v>
      </c>
      <c r="F3876" t="s">
        <v>24</v>
      </c>
      <c r="G3876" t="s">
        <v>25</v>
      </c>
      <c r="H3876" t="s">
        <v>26</v>
      </c>
      <c r="I3876" t="s">
        <v>142</v>
      </c>
      <c r="J3876" t="s">
        <v>34</v>
      </c>
      <c r="K3876" t="s">
        <v>29</v>
      </c>
      <c r="L3876" t="s">
        <v>35</v>
      </c>
      <c r="M3876">
        <v>0</v>
      </c>
      <c r="N3876">
        <v>1</v>
      </c>
      <c r="O3876" s="17" t="s">
        <v>1084</v>
      </c>
      <c r="Q3876">
        <f>36.5-14.5</f>
        <v>22</v>
      </c>
      <c r="R3876" t="s">
        <v>39</v>
      </c>
      <c r="T3876">
        <v>29</v>
      </c>
      <c r="W3876">
        <v>12.8</v>
      </c>
      <c r="X3876">
        <v>25</v>
      </c>
      <c r="Z3876" t="s">
        <v>145</v>
      </c>
      <c r="AA3876" t="s">
        <v>1085</v>
      </c>
      <c r="AB3876" t="s">
        <v>121</v>
      </c>
      <c r="AC3876" t="s">
        <v>59</v>
      </c>
    </row>
    <row r="3877" spans="1:30" x14ac:dyDescent="0.2">
      <c r="A3877" s="3">
        <v>42598</v>
      </c>
      <c r="B3877" t="s">
        <v>23</v>
      </c>
      <c r="C3877">
        <v>112</v>
      </c>
      <c r="D3877">
        <v>3</v>
      </c>
      <c r="E3877">
        <v>1</v>
      </c>
      <c r="F3877" t="s">
        <v>24</v>
      </c>
      <c r="G3877" t="s">
        <v>25</v>
      </c>
      <c r="H3877" t="s">
        <v>26</v>
      </c>
      <c r="I3877" t="s">
        <v>142</v>
      </c>
      <c r="J3877" t="s">
        <v>34</v>
      </c>
      <c r="K3877" t="s">
        <v>29</v>
      </c>
      <c r="L3877" t="s">
        <v>30</v>
      </c>
      <c r="M3877">
        <v>0</v>
      </c>
      <c r="N3877">
        <v>1</v>
      </c>
      <c r="O3877" s="17" t="s">
        <v>1793</v>
      </c>
      <c r="Q3877">
        <f>32-12.5</f>
        <v>19.5</v>
      </c>
      <c r="R3877" t="s">
        <v>94</v>
      </c>
      <c r="S3877" t="s">
        <v>32</v>
      </c>
      <c r="T3877">
        <v>28</v>
      </c>
      <c r="W3877">
        <v>12.75</v>
      </c>
      <c r="X3877">
        <v>24.25</v>
      </c>
      <c r="Z3877" t="s">
        <v>32</v>
      </c>
      <c r="AB3877" t="s">
        <v>1589</v>
      </c>
      <c r="AC3877" t="s">
        <v>122</v>
      </c>
    </row>
    <row r="3878" spans="1:30" x14ac:dyDescent="0.2">
      <c r="A3878" s="3">
        <v>42599</v>
      </c>
      <c r="B3878" t="s">
        <v>23</v>
      </c>
      <c r="C3878">
        <v>112</v>
      </c>
      <c r="D3878">
        <v>10</v>
      </c>
      <c r="E3878">
        <v>1</v>
      </c>
      <c r="F3878" t="s">
        <v>24</v>
      </c>
      <c r="G3878" t="s">
        <v>25</v>
      </c>
      <c r="H3878" t="s">
        <v>26</v>
      </c>
      <c r="I3878" t="s">
        <v>142</v>
      </c>
      <c r="J3878" t="s">
        <v>28</v>
      </c>
      <c r="K3878" t="s">
        <v>29</v>
      </c>
      <c r="L3878" t="s">
        <v>30</v>
      </c>
      <c r="M3878">
        <v>0</v>
      </c>
      <c r="N3878">
        <v>0</v>
      </c>
      <c r="O3878" s="17" t="s">
        <v>1793</v>
      </c>
      <c r="Q3878">
        <f>33.5-14</f>
        <v>19.5</v>
      </c>
      <c r="R3878" t="s">
        <v>31</v>
      </c>
      <c r="S3878" t="s">
        <v>32</v>
      </c>
      <c r="T3878">
        <v>29</v>
      </c>
      <c r="W3878">
        <v>12.7</v>
      </c>
      <c r="X3878">
        <v>22.3</v>
      </c>
      <c r="AB3878" t="s">
        <v>121</v>
      </c>
      <c r="AC3878" t="s">
        <v>59</v>
      </c>
    </row>
    <row r="3879" spans="1:30" x14ac:dyDescent="0.2">
      <c r="A3879" s="3">
        <v>42598</v>
      </c>
      <c r="B3879" t="s">
        <v>23</v>
      </c>
      <c r="C3879">
        <v>112</v>
      </c>
      <c r="D3879">
        <v>8</v>
      </c>
      <c r="E3879">
        <v>2</v>
      </c>
      <c r="F3879" t="s">
        <v>24</v>
      </c>
      <c r="G3879" t="s">
        <v>25</v>
      </c>
      <c r="H3879" t="s">
        <v>26</v>
      </c>
      <c r="I3879" t="s">
        <v>142</v>
      </c>
      <c r="J3879" t="s">
        <v>34</v>
      </c>
      <c r="K3879" t="s">
        <v>188</v>
      </c>
      <c r="L3879" t="s">
        <v>30</v>
      </c>
      <c r="M3879">
        <v>0</v>
      </c>
      <c r="N3879">
        <v>1</v>
      </c>
      <c r="O3879" s="17" t="s">
        <v>1610</v>
      </c>
      <c r="Q3879">
        <f>31-13.5</f>
        <v>17.5</v>
      </c>
      <c r="R3879" t="s">
        <v>31</v>
      </c>
      <c r="S3879" t="s">
        <v>32</v>
      </c>
      <c r="T3879">
        <v>29</v>
      </c>
      <c r="W3879">
        <v>12.5</v>
      </c>
      <c r="X3879">
        <v>25</v>
      </c>
      <c r="Z3879" t="s">
        <v>145</v>
      </c>
      <c r="AB3879" t="s">
        <v>1589</v>
      </c>
      <c r="AC3879" t="s">
        <v>122</v>
      </c>
    </row>
    <row r="3880" spans="1:30" x14ac:dyDescent="0.2">
      <c r="A3880" s="3">
        <v>42599</v>
      </c>
      <c r="B3880" t="s">
        <v>23</v>
      </c>
      <c r="C3880">
        <v>112</v>
      </c>
      <c r="D3880">
        <v>4</v>
      </c>
      <c r="E3880">
        <v>2</v>
      </c>
      <c r="F3880" t="s">
        <v>24</v>
      </c>
      <c r="G3880" t="s">
        <v>25</v>
      </c>
      <c r="H3880" t="s">
        <v>26</v>
      </c>
      <c r="I3880" t="s">
        <v>142</v>
      </c>
      <c r="J3880" t="s">
        <v>28</v>
      </c>
      <c r="K3880" t="s">
        <v>29</v>
      </c>
      <c r="L3880" t="s">
        <v>35</v>
      </c>
      <c r="M3880">
        <v>0</v>
      </c>
      <c r="N3880">
        <v>0</v>
      </c>
      <c r="O3880" s="17" t="s">
        <v>1610</v>
      </c>
      <c r="Q3880">
        <f>31-13</f>
        <v>18</v>
      </c>
      <c r="R3880" t="s">
        <v>63</v>
      </c>
      <c r="T3880">
        <v>29</v>
      </c>
      <c r="W3880">
        <v>12.4</v>
      </c>
      <c r="X3880">
        <v>25</v>
      </c>
      <c r="Z3880" t="s">
        <v>145</v>
      </c>
      <c r="AB3880" t="s">
        <v>121</v>
      </c>
      <c r="AC3880" t="s">
        <v>59</v>
      </c>
    </row>
    <row r="3881" spans="1:30" x14ac:dyDescent="0.2">
      <c r="A3881" s="3">
        <v>42600</v>
      </c>
      <c r="B3881" t="s">
        <v>23</v>
      </c>
      <c r="C3881">
        <v>112</v>
      </c>
      <c r="D3881">
        <v>5</v>
      </c>
      <c r="E3881">
        <v>1</v>
      </c>
      <c r="F3881" t="s">
        <v>66</v>
      </c>
      <c r="G3881" t="s">
        <v>25</v>
      </c>
      <c r="H3881" t="s">
        <v>26</v>
      </c>
      <c r="I3881" t="s">
        <v>142</v>
      </c>
      <c r="J3881" t="s">
        <v>28</v>
      </c>
      <c r="K3881" t="s">
        <v>29</v>
      </c>
      <c r="L3881" t="s">
        <v>35</v>
      </c>
      <c r="M3881">
        <v>0</v>
      </c>
      <c r="N3881">
        <v>0</v>
      </c>
      <c r="O3881" s="17" t="s">
        <v>1610</v>
      </c>
      <c r="Q3881">
        <v>18.5</v>
      </c>
      <c r="R3881" t="s">
        <v>39</v>
      </c>
      <c r="T3881">
        <v>30</v>
      </c>
      <c r="W3881">
        <v>12.7</v>
      </c>
      <c r="X3881">
        <v>26.5</v>
      </c>
    </row>
    <row r="3882" spans="1:30" x14ac:dyDescent="0.2">
      <c r="A3882" s="3">
        <v>42598</v>
      </c>
      <c r="B3882" t="s">
        <v>23</v>
      </c>
      <c r="C3882">
        <v>402</v>
      </c>
      <c r="D3882">
        <v>8</v>
      </c>
      <c r="E3882">
        <v>2</v>
      </c>
      <c r="F3882" t="s">
        <v>24</v>
      </c>
      <c r="G3882" t="s">
        <v>25</v>
      </c>
      <c r="H3882" t="s">
        <v>26</v>
      </c>
      <c r="I3882" t="s">
        <v>142</v>
      </c>
      <c r="J3882" t="s">
        <v>34</v>
      </c>
      <c r="K3882" t="s">
        <v>29</v>
      </c>
      <c r="L3882" t="s">
        <v>35</v>
      </c>
      <c r="M3882">
        <v>0</v>
      </c>
      <c r="N3882">
        <v>1</v>
      </c>
      <c r="O3882" s="17" t="s">
        <v>1811</v>
      </c>
      <c r="Q3882">
        <f>38-19</f>
        <v>19</v>
      </c>
      <c r="R3882" t="s">
        <v>63</v>
      </c>
      <c r="T3882">
        <v>28</v>
      </c>
      <c r="W3882">
        <v>12.8</v>
      </c>
      <c r="X3882">
        <v>25.2</v>
      </c>
      <c r="Z3882" t="s">
        <v>145</v>
      </c>
      <c r="AB3882" t="s">
        <v>1589</v>
      </c>
      <c r="AC3882" t="s">
        <v>122</v>
      </c>
    </row>
    <row r="3883" spans="1:30" x14ac:dyDescent="0.2">
      <c r="A3883" s="3">
        <v>42599</v>
      </c>
      <c r="B3883" t="s">
        <v>23</v>
      </c>
      <c r="C3883">
        <v>111</v>
      </c>
      <c r="D3883">
        <v>1</v>
      </c>
      <c r="E3883">
        <v>2</v>
      </c>
      <c r="F3883" t="s">
        <v>24</v>
      </c>
      <c r="G3883" t="s">
        <v>25</v>
      </c>
      <c r="H3883" t="s">
        <v>26</v>
      </c>
      <c r="I3883" t="s">
        <v>142</v>
      </c>
      <c r="J3883" t="s">
        <v>34</v>
      </c>
      <c r="K3883" t="s">
        <v>29</v>
      </c>
      <c r="L3883" t="s">
        <v>35</v>
      </c>
      <c r="M3883">
        <v>0</v>
      </c>
      <c r="N3883">
        <v>1</v>
      </c>
      <c r="O3883" s="17" t="s">
        <v>1822</v>
      </c>
      <c r="Q3883">
        <f>36-12.5</f>
        <v>23.5</v>
      </c>
      <c r="R3883" t="s">
        <v>63</v>
      </c>
      <c r="T3883">
        <v>29</v>
      </c>
      <c r="W3883">
        <v>13.1</v>
      </c>
      <c r="X3883">
        <v>25.6</v>
      </c>
      <c r="AB3883" t="s">
        <v>121</v>
      </c>
      <c r="AC3883" t="s">
        <v>59</v>
      </c>
    </row>
    <row r="3884" spans="1:30" x14ac:dyDescent="0.2">
      <c r="A3884" s="3">
        <v>42600</v>
      </c>
      <c r="B3884" t="s">
        <v>23</v>
      </c>
      <c r="C3884">
        <v>113</v>
      </c>
      <c r="D3884">
        <v>2</v>
      </c>
      <c r="E3884">
        <v>2</v>
      </c>
      <c r="F3884" t="s">
        <v>24</v>
      </c>
      <c r="G3884" t="s">
        <v>25</v>
      </c>
      <c r="H3884" t="s">
        <v>26</v>
      </c>
      <c r="I3884" t="s">
        <v>142</v>
      </c>
      <c r="J3884" t="s">
        <v>34</v>
      </c>
      <c r="K3884" t="s">
        <v>188</v>
      </c>
      <c r="L3884" t="s">
        <v>35</v>
      </c>
      <c r="M3884">
        <v>0</v>
      </c>
      <c r="N3884">
        <v>0</v>
      </c>
      <c r="O3884" s="17" t="s">
        <v>1847</v>
      </c>
      <c r="Q3884">
        <f>28.5-13</f>
        <v>15.5</v>
      </c>
      <c r="R3884" t="s">
        <v>39</v>
      </c>
      <c r="T3884">
        <v>27</v>
      </c>
      <c r="W3884">
        <v>12.3</v>
      </c>
      <c r="X3884">
        <v>24.9</v>
      </c>
      <c r="Z3884" t="s">
        <v>145</v>
      </c>
      <c r="AB3884" t="s">
        <v>121</v>
      </c>
      <c r="AC3884" t="s">
        <v>59</v>
      </c>
      <c r="AD3884" t="s">
        <v>1848</v>
      </c>
    </row>
    <row r="3885" spans="1:30" x14ac:dyDescent="0.2">
      <c r="A3885" s="3">
        <v>42599</v>
      </c>
      <c r="B3885" t="s">
        <v>23</v>
      </c>
      <c r="C3885">
        <v>112</v>
      </c>
      <c r="D3885">
        <v>1</v>
      </c>
      <c r="E3885">
        <v>1</v>
      </c>
      <c r="F3885" t="s">
        <v>24</v>
      </c>
      <c r="G3885" t="s">
        <v>25</v>
      </c>
      <c r="H3885" t="s">
        <v>26</v>
      </c>
      <c r="I3885" t="s">
        <v>142</v>
      </c>
      <c r="J3885" t="s">
        <v>34</v>
      </c>
      <c r="K3885" t="s">
        <v>29</v>
      </c>
      <c r="L3885" t="s">
        <v>30</v>
      </c>
      <c r="M3885">
        <v>0</v>
      </c>
      <c r="N3885">
        <v>1</v>
      </c>
      <c r="O3885" s="17" t="s">
        <v>1824</v>
      </c>
      <c r="Q3885">
        <f>33-13</f>
        <v>20</v>
      </c>
      <c r="R3885" t="s">
        <v>31</v>
      </c>
      <c r="S3885" t="s">
        <v>32</v>
      </c>
      <c r="T3885">
        <v>28</v>
      </c>
      <c r="W3885">
        <v>12.7</v>
      </c>
      <c r="X3885">
        <v>25.8</v>
      </c>
      <c r="Z3885" t="s">
        <v>145</v>
      </c>
      <c r="AB3885" t="s">
        <v>121</v>
      </c>
      <c r="AC3885" t="s">
        <v>59</v>
      </c>
      <c r="AD3885" t="s">
        <v>213</v>
      </c>
    </row>
    <row r="3886" spans="1:30" x14ac:dyDescent="0.2">
      <c r="A3886" s="3">
        <v>42599</v>
      </c>
      <c r="B3886" t="s">
        <v>23</v>
      </c>
      <c r="C3886">
        <v>112</v>
      </c>
      <c r="D3886">
        <v>6</v>
      </c>
      <c r="E3886">
        <v>2</v>
      </c>
      <c r="F3886" t="s">
        <v>24</v>
      </c>
      <c r="G3886" t="s">
        <v>25</v>
      </c>
      <c r="H3886" t="s">
        <v>26</v>
      </c>
      <c r="I3886" t="s">
        <v>142</v>
      </c>
      <c r="J3886" t="s">
        <v>34</v>
      </c>
      <c r="K3886" t="s">
        <v>29</v>
      </c>
      <c r="L3886" t="s">
        <v>35</v>
      </c>
      <c r="M3886">
        <v>0</v>
      </c>
      <c r="N3886">
        <v>1</v>
      </c>
      <c r="O3886" s="17" t="s">
        <v>1828</v>
      </c>
      <c r="Q3886">
        <f>33.5-14</f>
        <v>19.5</v>
      </c>
      <c r="R3886" t="s">
        <v>63</v>
      </c>
      <c r="T3886">
        <v>30</v>
      </c>
      <c r="W3886">
        <v>16</v>
      </c>
      <c r="X3886">
        <v>25.85</v>
      </c>
      <c r="Z3886" t="s">
        <v>145</v>
      </c>
      <c r="AB3886" t="s">
        <v>121</v>
      </c>
      <c r="AC3886" t="s">
        <v>59</v>
      </c>
      <c r="AD3886" t="s">
        <v>213</v>
      </c>
    </row>
    <row r="3887" spans="1:30" x14ac:dyDescent="0.2">
      <c r="A3887" s="3">
        <v>42599</v>
      </c>
      <c r="B3887" t="s">
        <v>23</v>
      </c>
      <c r="C3887">
        <v>113</v>
      </c>
      <c r="D3887">
        <v>1</v>
      </c>
      <c r="E3887">
        <v>2</v>
      </c>
      <c r="F3887" t="s">
        <v>24</v>
      </c>
      <c r="G3887" t="s">
        <v>25</v>
      </c>
      <c r="H3887" t="s">
        <v>26</v>
      </c>
      <c r="I3887" t="s">
        <v>142</v>
      </c>
      <c r="J3887" t="s">
        <v>205</v>
      </c>
      <c r="K3887" t="s">
        <v>29</v>
      </c>
      <c r="M3887">
        <v>0</v>
      </c>
      <c r="N3887">
        <v>1</v>
      </c>
      <c r="O3887" s="17" t="s">
        <v>1832</v>
      </c>
      <c r="AB3887" t="s">
        <v>121</v>
      </c>
      <c r="AC3887" t="s">
        <v>59</v>
      </c>
    </row>
    <row r="3888" spans="1:30" x14ac:dyDescent="0.2">
      <c r="A3888" s="3">
        <v>42599</v>
      </c>
      <c r="B3888" t="s">
        <v>23</v>
      </c>
      <c r="C3888">
        <v>113</v>
      </c>
      <c r="D3888">
        <v>2</v>
      </c>
      <c r="E3888">
        <v>1</v>
      </c>
      <c r="F3888" t="s">
        <v>24</v>
      </c>
      <c r="G3888" t="s">
        <v>25</v>
      </c>
      <c r="H3888" t="s">
        <v>26</v>
      </c>
      <c r="I3888" t="s">
        <v>142</v>
      </c>
      <c r="J3888" t="s">
        <v>34</v>
      </c>
      <c r="K3888" t="s">
        <v>29</v>
      </c>
      <c r="L3888" t="s">
        <v>35</v>
      </c>
      <c r="M3888">
        <v>0</v>
      </c>
      <c r="N3888">
        <v>1</v>
      </c>
      <c r="O3888" s="17" t="s">
        <v>1833</v>
      </c>
      <c r="Q3888">
        <f>35-14</f>
        <v>21</v>
      </c>
      <c r="R3888" t="s">
        <v>63</v>
      </c>
      <c r="T3888">
        <v>30</v>
      </c>
      <c r="W3888">
        <v>13.1</v>
      </c>
      <c r="X3888">
        <v>25.2</v>
      </c>
      <c r="AB3888" t="s">
        <v>121</v>
      </c>
      <c r="AC3888" t="s">
        <v>59</v>
      </c>
    </row>
    <row r="3889" spans="1:30" x14ac:dyDescent="0.2">
      <c r="A3889" s="3">
        <v>42600</v>
      </c>
      <c r="B3889" t="s">
        <v>23</v>
      </c>
      <c r="C3889">
        <v>113</v>
      </c>
      <c r="D3889">
        <v>2</v>
      </c>
      <c r="E3889">
        <v>1</v>
      </c>
      <c r="F3889" t="s">
        <v>24</v>
      </c>
      <c r="G3889" t="s">
        <v>25</v>
      </c>
      <c r="H3889" t="s">
        <v>26</v>
      </c>
      <c r="I3889" t="s">
        <v>142</v>
      </c>
      <c r="J3889" t="s">
        <v>28</v>
      </c>
      <c r="K3889" t="s">
        <v>29</v>
      </c>
      <c r="L3889" t="s">
        <v>35</v>
      </c>
      <c r="M3889">
        <v>0</v>
      </c>
      <c r="N3889">
        <v>0</v>
      </c>
      <c r="O3889" s="17" t="s">
        <v>1833</v>
      </c>
      <c r="Q3889">
        <f>34-13</f>
        <v>21</v>
      </c>
      <c r="R3889" t="s">
        <v>63</v>
      </c>
      <c r="T3889">
        <v>30</v>
      </c>
      <c r="W3889">
        <v>13.1</v>
      </c>
      <c r="X3889">
        <v>25.2</v>
      </c>
      <c r="AB3889" t="s">
        <v>121</v>
      </c>
      <c r="AC3889" t="s">
        <v>59</v>
      </c>
    </row>
    <row r="3890" spans="1:30" x14ac:dyDescent="0.2">
      <c r="A3890" s="3">
        <v>42599</v>
      </c>
      <c r="B3890" t="s">
        <v>23</v>
      </c>
      <c r="C3890">
        <v>113</v>
      </c>
      <c r="D3890">
        <v>4</v>
      </c>
      <c r="E3890">
        <v>2</v>
      </c>
      <c r="F3890" t="s">
        <v>24</v>
      </c>
      <c r="G3890" t="s">
        <v>25</v>
      </c>
      <c r="H3890" t="s">
        <v>26</v>
      </c>
      <c r="I3890" t="s">
        <v>142</v>
      </c>
      <c r="J3890" t="s">
        <v>34</v>
      </c>
      <c r="K3890" t="s">
        <v>188</v>
      </c>
      <c r="L3890" t="s">
        <v>30</v>
      </c>
      <c r="M3890">
        <v>0</v>
      </c>
      <c r="N3890">
        <v>1</v>
      </c>
      <c r="O3890" s="17" t="s">
        <v>1837</v>
      </c>
      <c r="Q3890">
        <f>30.5-14</f>
        <v>16.5</v>
      </c>
      <c r="R3890" t="s">
        <v>31</v>
      </c>
      <c r="S3890" t="s">
        <v>32</v>
      </c>
      <c r="T3890">
        <v>29</v>
      </c>
      <c r="W3890">
        <v>12.3</v>
      </c>
      <c r="X3890">
        <v>24.7</v>
      </c>
      <c r="AB3890" t="s">
        <v>121</v>
      </c>
      <c r="AC3890" t="s">
        <v>59</v>
      </c>
      <c r="AD3890" t="s">
        <v>1057</v>
      </c>
    </row>
    <row r="3891" spans="1:30" x14ac:dyDescent="0.2">
      <c r="A3891" s="3">
        <v>42599</v>
      </c>
      <c r="B3891" t="s">
        <v>23</v>
      </c>
      <c r="C3891">
        <v>113</v>
      </c>
      <c r="D3891">
        <v>5</v>
      </c>
      <c r="E3891">
        <v>1</v>
      </c>
      <c r="F3891" t="s">
        <v>24</v>
      </c>
      <c r="G3891" t="s">
        <v>25</v>
      </c>
      <c r="H3891" t="s">
        <v>26</v>
      </c>
      <c r="I3891" t="s">
        <v>142</v>
      </c>
      <c r="J3891" t="s">
        <v>34</v>
      </c>
      <c r="K3891" t="s">
        <v>123</v>
      </c>
      <c r="L3891" t="s">
        <v>30</v>
      </c>
      <c r="M3891">
        <v>0</v>
      </c>
      <c r="N3891">
        <v>1</v>
      </c>
      <c r="O3891" s="17" t="s">
        <v>1838</v>
      </c>
      <c r="Q3891">
        <f>28-14</f>
        <v>14</v>
      </c>
      <c r="R3891" t="s">
        <v>31</v>
      </c>
      <c r="S3891" t="s">
        <v>32</v>
      </c>
      <c r="T3891">
        <v>27</v>
      </c>
      <c r="W3891">
        <v>12.2</v>
      </c>
      <c r="X3891">
        <v>24.15</v>
      </c>
      <c r="Z3891" t="s">
        <v>145</v>
      </c>
      <c r="AB3891" t="s">
        <v>121</v>
      </c>
      <c r="AC3891" t="s">
        <v>59</v>
      </c>
    </row>
    <row r="3892" spans="1:30" x14ac:dyDescent="0.2">
      <c r="A3892" s="3">
        <v>42592</v>
      </c>
      <c r="B3892" t="s">
        <v>23</v>
      </c>
      <c r="C3892">
        <v>803</v>
      </c>
      <c r="D3892">
        <v>5</v>
      </c>
      <c r="E3892">
        <v>1</v>
      </c>
      <c r="F3892" t="s">
        <v>64</v>
      </c>
      <c r="G3892" t="s">
        <v>25</v>
      </c>
      <c r="H3892" t="s">
        <v>26</v>
      </c>
      <c r="I3892" t="s">
        <v>142</v>
      </c>
      <c r="J3892" t="s">
        <v>34</v>
      </c>
      <c r="K3892" t="s">
        <v>29</v>
      </c>
      <c r="L3892" t="s">
        <v>30</v>
      </c>
      <c r="M3892">
        <v>0</v>
      </c>
      <c r="N3892">
        <v>1</v>
      </c>
      <c r="O3892" s="17" t="s">
        <v>1466</v>
      </c>
      <c r="Q3892">
        <f>39-17</f>
        <v>22</v>
      </c>
      <c r="R3892" t="s">
        <v>75</v>
      </c>
      <c r="S3892" t="s">
        <v>145</v>
      </c>
      <c r="T3892">
        <v>28</v>
      </c>
      <c r="W3892">
        <v>12.9</v>
      </c>
      <c r="X3892">
        <v>26.1</v>
      </c>
      <c r="Z3892" t="s">
        <v>145</v>
      </c>
      <c r="AA3892" t="s">
        <v>260</v>
      </c>
      <c r="AB3892" t="s">
        <v>53</v>
      </c>
      <c r="AC3892" t="s">
        <v>59</v>
      </c>
      <c r="AD3892" t="s">
        <v>1467</v>
      </c>
    </row>
    <row r="3893" spans="1:30" x14ac:dyDescent="0.2">
      <c r="A3893" s="3">
        <v>42592</v>
      </c>
      <c r="B3893" t="s">
        <v>23</v>
      </c>
      <c r="C3893">
        <v>803</v>
      </c>
      <c r="D3893">
        <v>4</v>
      </c>
      <c r="E3893">
        <v>2</v>
      </c>
      <c r="F3893" t="s">
        <v>64</v>
      </c>
      <c r="G3893" t="s">
        <v>25</v>
      </c>
      <c r="H3893" t="s">
        <v>26</v>
      </c>
      <c r="I3893" t="s">
        <v>142</v>
      </c>
      <c r="J3893" t="s">
        <v>34</v>
      </c>
      <c r="K3893" t="s">
        <v>188</v>
      </c>
      <c r="L3893" t="s">
        <v>35</v>
      </c>
      <c r="M3893">
        <v>0</v>
      </c>
      <c r="N3893">
        <v>1</v>
      </c>
      <c r="O3893" s="17" t="s">
        <v>1468</v>
      </c>
      <c r="Q3893">
        <f>32-15</f>
        <v>17</v>
      </c>
      <c r="R3893" t="s">
        <v>39</v>
      </c>
      <c r="T3893">
        <v>20</v>
      </c>
      <c r="W3893">
        <v>12.8</v>
      </c>
      <c r="X3893">
        <v>25.4</v>
      </c>
      <c r="Z3893" t="s">
        <v>145</v>
      </c>
      <c r="AA3893" t="s">
        <v>260</v>
      </c>
      <c r="AB3893" t="s">
        <v>53</v>
      </c>
      <c r="AC3893" t="s">
        <v>59</v>
      </c>
    </row>
    <row r="3894" spans="1:30" x14ac:dyDescent="0.2">
      <c r="A3894" s="3">
        <v>42593</v>
      </c>
      <c r="B3894" t="s">
        <v>23</v>
      </c>
      <c r="C3894">
        <v>803</v>
      </c>
      <c r="D3894">
        <v>7</v>
      </c>
      <c r="E3894">
        <v>1</v>
      </c>
      <c r="F3894" t="s">
        <v>64</v>
      </c>
      <c r="G3894" t="s">
        <v>25</v>
      </c>
      <c r="H3894" t="s">
        <v>26</v>
      </c>
      <c r="I3894" t="s">
        <v>142</v>
      </c>
      <c r="J3894" t="s">
        <v>28</v>
      </c>
      <c r="K3894" t="s">
        <v>188</v>
      </c>
      <c r="L3894" t="s">
        <v>35</v>
      </c>
      <c r="M3894">
        <v>0</v>
      </c>
      <c r="N3894">
        <v>0</v>
      </c>
      <c r="O3894" s="17" t="s">
        <v>1468</v>
      </c>
      <c r="Q3894">
        <f>31-13</f>
        <v>18</v>
      </c>
      <c r="R3894" t="s">
        <v>39</v>
      </c>
      <c r="Z3894" t="s">
        <v>145</v>
      </c>
      <c r="AA3894" t="s">
        <v>260</v>
      </c>
      <c r="AB3894" t="s">
        <v>44</v>
      </c>
      <c r="AC3894" t="s">
        <v>122</v>
      </c>
      <c r="AD3894" t="s">
        <v>1527</v>
      </c>
    </row>
    <row r="3895" spans="1:30" x14ac:dyDescent="0.2">
      <c r="A3895" s="3">
        <v>42592</v>
      </c>
      <c r="B3895" t="s">
        <v>23</v>
      </c>
      <c r="C3895">
        <v>803</v>
      </c>
      <c r="D3895">
        <v>7</v>
      </c>
      <c r="E3895">
        <v>1</v>
      </c>
      <c r="F3895" t="s">
        <v>64</v>
      </c>
      <c r="G3895" t="s">
        <v>25</v>
      </c>
      <c r="H3895" t="s">
        <v>26</v>
      </c>
      <c r="I3895" t="s">
        <v>142</v>
      </c>
      <c r="J3895" t="s">
        <v>34</v>
      </c>
      <c r="K3895" t="s">
        <v>29</v>
      </c>
      <c r="L3895" t="s">
        <v>35</v>
      </c>
      <c r="M3895">
        <v>0</v>
      </c>
      <c r="N3895">
        <v>1</v>
      </c>
      <c r="O3895" s="17" t="s">
        <v>1463</v>
      </c>
      <c r="Q3895">
        <f>41-15</f>
        <v>26</v>
      </c>
      <c r="R3895" t="s">
        <v>39</v>
      </c>
      <c r="T3895">
        <v>30</v>
      </c>
      <c r="W3895">
        <v>12.9</v>
      </c>
      <c r="X3895">
        <v>26.5</v>
      </c>
      <c r="Z3895" t="s">
        <v>145</v>
      </c>
      <c r="AA3895" t="s">
        <v>260</v>
      </c>
      <c r="AB3895" t="s">
        <v>53</v>
      </c>
      <c r="AC3895" t="s">
        <v>59</v>
      </c>
    </row>
    <row r="3896" spans="1:30" x14ac:dyDescent="0.2">
      <c r="A3896" s="3">
        <v>42589</v>
      </c>
      <c r="B3896" t="s">
        <v>23</v>
      </c>
      <c r="C3896">
        <v>112</v>
      </c>
      <c r="D3896">
        <v>1</v>
      </c>
      <c r="E3896">
        <v>2</v>
      </c>
      <c r="F3896" t="s">
        <v>64</v>
      </c>
      <c r="G3896" t="s">
        <v>25</v>
      </c>
      <c r="H3896" t="s">
        <v>26</v>
      </c>
      <c r="I3896" t="s">
        <v>142</v>
      </c>
      <c r="J3896" t="s">
        <v>34</v>
      </c>
      <c r="M3896">
        <v>0</v>
      </c>
      <c r="N3896">
        <v>1</v>
      </c>
      <c r="O3896" s="17" t="s">
        <v>1239</v>
      </c>
      <c r="Z3896" t="s">
        <v>145</v>
      </c>
      <c r="AA3896" t="s">
        <v>260</v>
      </c>
      <c r="AB3896" t="s">
        <v>121</v>
      </c>
      <c r="AC3896" t="s">
        <v>59</v>
      </c>
    </row>
    <row r="3897" spans="1:30" x14ac:dyDescent="0.2">
      <c r="A3897" s="3">
        <v>42588</v>
      </c>
      <c r="B3897" t="s">
        <v>23</v>
      </c>
      <c r="C3897">
        <v>304</v>
      </c>
      <c r="D3897">
        <v>8</v>
      </c>
      <c r="E3897">
        <v>1</v>
      </c>
      <c r="F3897" t="s">
        <v>64</v>
      </c>
      <c r="G3897" t="s">
        <v>25</v>
      </c>
      <c r="H3897" t="s">
        <v>26</v>
      </c>
      <c r="I3897" t="s">
        <v>142</v>
      </c>
      <c r="J3897" t="s">
        <v>34</v>
      </c>
      <c r="K3897" t="s">
        <v>123</v>
      </c>
      <c r="L3897" t="s">
        <v>30</v>
      </c>
      <c r="M3897">
        <v>0</v>
      </c>
      <c r="N3897">
        <v>1</v>
      </c>
      <c r="O3897" s="17" t="s">
        <v>1229</v>
      </c>
      <c r="Q3897">
        <f>28-16</f>
        <v>12</v>
      </c>
      <c r="R3897" t="s">
        <v>31</v>
      </c>
      <c r="S3897" t="s">
        <v>32</v>
      </c>
      <c r="T3897">
        <v>28</v>
      </c>
      <c r="W3897">
        <v>12.8</v>
      </c>
      <c r="X3897">
        <v>25.3</v>
      </c>
      <c r="Z3897" t="s">
        <v>145</v>
      </c>
      <c r="AA3897" t="s">
        <v>260</v>
      </c>
      <c r="AB3897" t="s">
        <v>121</v>
      </c>
      <c r="AC3897" t="s">
        <v>59</v>
      </c>
    </row>
    <row r="3898" spans="1:30" x14ac:dyDescent="0.2">
      <c r="A3898" s="3">
        <v>42589</v>
      </c>
      <c r="B3898" t="s">
        <v>23</v>
      </c>
      <c r="C3898">
        <v>402</v>
      </c>
      <c r="D3898">
        <v>4</v>
      </c>
      <c r="E3898">
        <v>2</v>
      </c>
      <c r="F3898" t="s">
        <v>64</v>
      </c>
      <c r="G3898" t="s">
        <v>25</v>
      </c>
      <c r="H3898" t="s">
        <v>26</v>
      </c>
      <c r="I3898" t="s">
        <v>142</v>
      </c>
      <c r="J3898" t="s">
        <v>28</v>
      </c>
      <c r="K3898" t="s">
        <v>188</v>
      </c>
      <c r="L3898" t="s">
        <v>30</v>
      </c>
      <c r="M3898">
        <v>0</v>
      </c>
      <c r="N3898">
        <v>0</v>
      </c>
      <c r="O3898" s="17" t="s">
        <v>1229</v>
      </c>
      <c r="Q3898">
        <f>32-13</f>
        <v>19</v>
      </c>
      <c r="R3898" t="s">
        <v>61</v>
      </c>
      <c r="S3898" t="s">
        <v>32</v>
      </c>
      <c r="T3898">
        <v>30</v>
      </c>
      <c r="W3898">
        <v>12.7</v>
      </c>
      <c r="X3898">
        <v>25.3</v>
      </c>
      <c r="Z3898" t="s">
        <v>145</v>
      </c>
      <c r="AA3898" t="s">
        <v>260</v>
      </c>
      <c r="AB3898" t="s">
        <v>121</v>
      </c>
      <c r="AC3898" t="s">
        <v>59</v>
      </c>
    </row>
    <row r="3899" spans="1:30" x14ac:dyDescent="0.2">
      <c r="A3899" s="3">
        <v>42588</v>
      </c>
      <c r="B3899" t="s">
        <v>23</v>
      </c>
      <c r="C3899">
        <v>304</v>
      </c>
      <c r="D3899">
        <v>7</v>
      </c>
      <c r="E3899">
        <v>2</v>
      </c>
      <c r="F3899" t="s">
        <v>64</v>
      </c>
      <c r="G3899" t="s">
        <v>25</v>
      </c>
      <c r="H3899" t="s">
        <v>26</v>
      </c>
      <c r="I3899" t="s">
        <v>142</v>
      </c>
      <c r="J3899" t="s">
        <v>34</v>
      </c>
      <c r="K3899" t="s">
        <v>188</v>
      </c>
      <c r="L3899" t="s">
        <v>35</v>
      </c>
      <c r="M3899">
        <v>0</v>
      </c>
      <c r="N3899">
        <v>1</v>
      </c>
      <c r="O3899" s="17" t="s">
        <v>1086</v>
      </c>
      <c r="Q3899">
        <f>31-13</f>
        <v>18</v>
      </c>
      <c r="R3899" t="s">
        <v>39</v>
      </c>
      <c r="T3899">
        <v>28</v>
      </c>
      <c r="W3899">
        <v>13</v>
      </c>
      <c r="X3899">
        <v>25.9</v>
      </c>
      <c r="Z3899" t="s">
        <v>145</v>
      </c>
      <c r="AA3899" t="s">
        <v>619</v>
      </c>
      <c r="AB3899" t="s">
        <v>121</v>
      </c>
      <c r="AC3899" t="s">
        <v>59</v>
      </c>
    </row>
    <row r="3900" spans="1:30" x14ac:dyDescent="0.2">
      <c r="A3900" s="3">
        <v>42589</v>
      </c>
      <c r="B3900" t="s">
        <v>23</v>
      </c>
      <c r="C3900">
        <v>402</v>
      </c>
      <c r="D3900">
        <v>7</v>
      </c>
      <c r="E3900">
        <v>1</v>
      </c>
      <c r="F3900" t="s">
        <v>24</v>
      </c>
      <c r="G3900" t="s">
        <v>25</v>
      </c>
      <c r="H3900" t="s">
        <v>26</v>
      </c>
      <c r="I3900" t="s">
        <v>142</v>
      </c>
      <c r="J3900" t="s">
        <v>28</v>
      </c>
      <c r="K3900" t="s">
        <v>29</v>
      </c>
      <c r="L3900" t="s">
        <v>35</v>
      </c>
      <c r="M3900">
        <v>0</v>
      </c>
      <c r="N3900">
        <v>0</v>
      </c>
      <c r="O3900" s="17" t="s">
        <v>1086</v>
      </c>
      <c r="Q3900">
        <f>36-17</f>
        <v>19</v>
      </c>
      <c r="R3900" t="s">
        <v>39</v>
      </c>
      <c r="S3900" t="s">
        <v>32</v>
      </c>
      <c r="T3900">
        <v>29</v>
      </c>
      <c r="W3900">
        <v>12.5</v>
      </c>
      <c r="X3900">
        <v>24.5</v>
      </c>
      <c r="Z3900" t="s">
        <v>145</v>
      </c>
      <c r="AB3900" t="s">
        <v>121</v>
      </c>
      <c r="AC3900" t="s">
        <v>59</v>
      </c>
    </row>
    <row r="3901" spans="1:30" x14ac:dyDescent="0.2">
      <c r="A3901" s="3">
        <v>42588</v>
      </c>
      <c r="B3901" t="s">
        <v>23</v>
      </c>
      <c r="C3901">
        <v>113</v>
      </c>
      <c r="D3901">
        <v>1</v>
      </c>
      <c r="E3901">
        <v>1</v>
      </c>
      <c r="F3901" t="s">
        <v>64</v>
      </c>
      <c r="G3901" t="s">
        <v>25</v>
      </c>
      <c r="H3901" t="s">
        <v>26</v>
      </c>
      <c r="I3901" t="s">
        <v>142</v>
      </c>
      <c r="J3901" t="s">
        <v>34</v>
      </c>
      <c r="K3901" t="s">
        <v>29</v>
      </c>
      <c r="L3901" t="s">
        <v>30</v>
      </c>
      <c r="M3901">
        <v>0</v>
      </c>
      <c r="N3901">
        <v>1</v>
      </c>
      <c r="O3901" s="17" t="s">
        <v>1205</v>
      </c>
      <c r="Q3901">
        <f>38-13</f>
        <v>25</v>
      </c>
      <c r="R3901" t="s">
        <v>273</v>
      </c>
      <c r="S3901" t="s">
        <v>145</v>
      </c>
      <c r="T3901">
        <v>30</v>
      </c>
      <c r="Z3901" t="s">
        <v>32</v>
      </c>
      <c r="AB3901" t="s">
        <v>121</v>
      </c>
      <c r="AC3901" t="s">
        <v>59</v>
      </c>
    </row>
    <row r="3902" spans="1:30" x14ac:dyDescent="0.2">
      <c r="A3902" s="3">
        <v>42587</v>
      </c>
      <c r="B3902" t="s">
        <v>23</v>
      </c>
      <c r="C3902">
        <v>402</v>
      </c>
      <c r="D3902">
        <v>9</v>
      </c>
      <c r="E3902">
        <v>1</v>
      </c>
      <c r="F3902" t="s">
        <v>64</v>
      </c>
      <c r="G3902" t="s">
        <v>25</v>
      </c>
      <c r="H3902" t="s">
        <v>26</v>
      </c>
      <c r="I3902" t="s">
        <v>142</v>
      </c>
      <c r="J3902" t="s">
        <v>34</v>
      </c>
      <c r="K3902" t="s">
        <v>188</v>
      </c>
      <c r="L3902" t="s">
        <v>35</v>
      </c>
      <c r="M3902">
        <v>0</v>
      </c>
      <c r="N3902">
        <v>1</v>
      </c>
      <c r="O3902" s="17" t="s">
        <v>1190</v>
      </c>
      <c r="Q3902">
        <f>32-16</f>
        <v>16</v>
      </c>
      <c r="R3902" t="s">
        <v>39</v>
      </c>
      <c r="T3902">
        <v>30</v>
      </c>
      <c r="W3902">
        <v>12.7</v>
      </c>
      <c r="X3902">
        <v>25.7</v>
      </c>
      <c r="Z3902" t="s">
        <v>145</v>
      </c>
      <c r="AA3902" t="s">
        <v>260</v>
      </c>
      <c r="AB3902" t="s">
        <v>53</v>
      </c>
      <c r="AC3902" t="s">
        <v>254</v>
      </c>
    </row>
    <row r="3903" spans="1:30" x14ac:dyDescent="0.2">
      <c r="A3903" s="3">
        <v>42587</v>
      </c>
      <c r="B3903" t="s">
        <v>23</v>
      </c>
      <c r="C3903">
        <v>402</v>
      </c>
      <c r="D3903">
        <v>4</v>
      </c>
      <c r="E3903">
        <v>2</v>
      </c>
      <c r="F3903" t="s">
        <v>64</v>
      </c>
      <c r="G3903" t="s">
        <v>25</v>
      </c>
      <c r="H3903" t="s">
        <v>26</v>
      </c>
      <c r="I3903" t="s">
        <v>142</v>
      </c>
      <c r="J3903" t="s">
        <v>34</v>
      </c>
      <c r="K3903" t="s">
        <v>29</v>
      </c>
      <c r="L3903" t="s">
        <v>30</v>
      </c>
      <c r="M3903">
        <v>0</v>
      </c>
      <c r="N3903">
        <v>1</v>
      </c>
      <c r="O3903" s="17" t="s">
        <v>1187</v>
      </c>
      <c r="Q3903">
        <f>49-13</f>
        <v>36</v>
      </c>
      <c r="R3903" t="s">
        <v>192</v>
      </c>
      <c r="S3903" t="s">
        <v>32</v>
      </c>
      <c r="T3903">
        <v>30.5</v>
      </c>
      <c r="W3903">
        <v>13.1</v>
      </c>
      <c r="X3903">
        <v>26.6</v>
      </c>
      <c r="Y3903" t="s">
        <v>1188</v>
      </c>
      <c r="Z3903" t="s">
        <v>145</v>
      </c>
      <c r="AA3903" t="s">
        <v>260</v>
      </c>
      <c r="AB3903" t="s">
        <v>53</v>
      </c>
      <c r="AC3903" t="s">
        <v>254</v>
      </c>
    </row>
    <row r="3904" spans="1:30" x14ac:dyDescent="0.2">
      <c r="A3904" s="3">
        <v>42587</v>
      </c>
      <c r="B3904" t="s">
        <v>23</v>
      </c>
      <c r="C3904">
        <v>112</v>
      </c>
      <c r="D3904">
        <v>1</v>
      </c>
      <c r="E3904">
        <v>1</v>
      </c>
      <c r="F3904" t="s">
        <v>64</v>
      </c>
      <c r="G3904" t="s">
        <v>25</v>
      </c>
      <c r="H3904" t="s">
        <v>26</v>
      </c>
      <c r="I3904" t="s">
        <v>142</v>
      </c>
      <c r="J3904" t="s">
        <v>34</v>
      </c>
      <c r="K3904" t="s">
        <v>29</v>
      </c>
      <c r="L3904" t="s">
        <v>35</v>
      </c>
      <c r="M3904">
        <v>0</v>
      </c>
      <c r="N3904">
        <v>1</v>
      </c>
      <c r="O3904" s="17" t="s">
        <v>1167</v>
      </c>
      <c r="Q3904">
        <f>32.5-13</f>
        <v>19.5</v>
      </c>
      <c r="R3904" t="s">
        <v>39</v>
      </c>
      <c r="T3904">
        <v>29</v>
      </c>
      <c r="W3904">
        <v>12.8</v>
      </c>
      <c r="X3904">
        <v>26.9</v>
      </c>
      <c r="Z3904" t="s">
        <v>145</v>
      </c>
      <c r="AA3904" t="s">
        <v>260</v>
      </c>
      <c r="AB3904" t="s">
        <v>1165</v>
      </c>
      <c r="AC3904" t="s">
        <v>254</v>
      </c>
    </row>
    <row r="3905" spans="1:29" x14ac:dyDescent="0.2">
      <c r="A3905" s="3">
        <v>42591</v>
      </c>
      <c r="B3905" t="s">
        <v>23</v>
      </c>
      <c r="C3905">
        <v>701</v>
      </c>
      <c r="D3905">
        <v>9</v>
      </c>
      <c r="E3905">
        <v>1</v>
      </c>
      <c r="F3905" t="s">
        <v>64</v>
      </c>
      <c r="G3905" t="s">
        <v>25</v>
      </c>
      <c r="H3905" t="s">
        <v>26</v>
      </c>
      <c r="I3905" t="s">
        <v>142</v>
      </c>
      <c r="J3905" t="s">
        <v>34</v>
      </c>
      <c r="K3905" t="s">
        <v>188</v>
      </c>
      <c r="L3905" t="s">
        <v>35</v>
      </c>
      <c r="M3905">
        <v>0</v>
      </c>
      <c r="N3905">
        <v>1</v>
      </c>
      <c r="O3905" s="17" t="s">
        <v>1371</v>
      </c>
      <c r="Q3905">
        <f>31-13</f>
        <v>18</v>
      </c>
      <c r="R3905" t="s">
        <v>39</v>
      </c>
      <c r="T3905">
        <v>28</v>
      </c>
      <c r="W3905">
        <v>12.7</v>
      </c>
      <c r="X3905">
        <v>25.9</v>
      </c>
      <c r="Z3905" t="s">
        <v>145</v>
      </c>
      <c r="AA3905" t="s">
        <v>260</v>
      </c>
      <c r="AB3905" t="s">
        <v>44</v>
      </c>
      <c r="AC3905" t="s">
        <v>59</v>
      </c>
    </row>
    <row r="3906" spans="1:29" x14ac:dyDescent="0.2">
      <c r="A3906" s="3">
        <v>42592</v>
      </c>
      <c r="B3906" t="s">
        <v>23</v>
      </c>
      <c r="C3906">
        <v>703</v>
      </c>
      <c r="D3906">
        <v>5</v>
      </c>
      <c r="E3906">
        <v>1</v>
      </c>
      <c r="F3906" t="s">
        <v>64</v>
      </c>
      <c r="G3906" t="s">
        <v>25</v>
      </c>
      <c r="H3906" t="s">
        <v>26</v>
      </c>
      <c r="I3906" t="s">
        <v>142</v>
      </c>
      <c r="J3906" t="s">
        <v>34</v>
      </c>
      <c r="K3906" t="s">
        <v>29</v>
      </c>
      <c r="L3906" t="s">
        <v>35</v>
      </c>
      <c r="M3906">
        <v>0</v>
      </c>
      <c r="N3906">
        <v>1</v>
      </c>
      <c r="O3906" s="17" t="s">
        <v>1392</v>
      </c>
      <c r="Q3906">
        <f>39-13</f>
        <v>26</v>
      </c>
      <c r="R3906" t="s">
        <v>39</v>
      </c>
      <c r="T3906">
        <v>30</v>
      </c>
      <c r="W3906">
        <v>13.1</v>
      </c>
      <c r="X3906">
        <v>26.5</v>
      </c>
      <c r="Z3906" t="s">
        <v>32</v>
      </c>
      <c r="AB3906" t="s">
        <v>53</v>
      </c>
      <c r="AC3906" t="s">
        <v>59</v>
      </c>
    </row>
    <row r="3907" spans="1:29" x14ac:dyDescent="0.2">
      <c r="A3907" s="3">
        <v>42592</v>
      </c>
      <c r="B3907" t="s">
        <v>23</v>
      </c>
      <c r="C3907">
        <v>801</v>
      </c>
      <c r="D3907">
        <v>4</v>
      </c>
      <c r="E3907">
        <v>1</v>
      </c>
      <c r="F3907" t="s">
        <v>64</v>
      </c>
      <c r="G3907" t="s">
        <v>25</v>
      </c>
      <c r="H3907" t="s">
        <v>26</v>
      </c>
      <c r="I3907" t="s">
        <v>142</v>
      </c>
      <c r="J3907" t="s">
        <v>34</v>
      </c>
      <c r="K3907" t="s">
        <v>29</v>
      </c>
      <c r="L3907" t="s">
        <v>35</v>
      </c>
      <c r="M3907">
        <v>0</v>
      </c>
      <c r="N3907">
        <v>1</v>
      </c>
      <c r="O3907" s="17" t="s">
        <v>1431</v>
      </c>
      <c r="Q3907">
        <f>34.5-13</f>
        <v>21.5</v>
      </c>
      <c r="R3907" t="s">
        <v>39</v>
      </c>
      <c r="T3907">
        <v>30</v>
      </c>
      <c r="W3907">
        <v>12.9</v>
      </c>
      <c r="X3907">
        <v>26.2</v>
      </c>
      <c r="Z3907" t="s">
        <v>145</v>
      </c>
      <c r="AA3907" t="s">
        <v>1433</v>
      </c>
      <c r="AB3907" t="s">
        <v>53</v>
      </c>
      <c r="AC3907" t="s">
        <v>59</v>
      </c>
    </row>
    <row r="3908" spans="1:29" x14ac:dyDescent="0.2">
      <c r="A3908" s="3">
        <v>42606</v>
      </c>
      <c r="B3908" t="s">
        <v>23</v>
      </c>
      <c r="C3908">
        <v>801</v>
      </c>
      <c r="D3908">
        <v>9</v>
      </c>
      <c r="E3908">
        <v>1</v>
      </c>
      <c r="F3908" t="s">
        <v>24</v>
      </c>
      <c r="G3908" t="s">
        <v>25</v>
      </c>
      <c r="H3908" t="s">
        <v>26</v>
      </c>
      <c r="I3908" t="s">
        <v>142</v>
      </c>
      <c r="J3908" t="s">
        <v>28</v>
      </c>
      <c r="K3908" t="s">
        <v>29</v>
      </c>
      <c r="L3908" t="s">
        <v>35</v>
      </c>
      <c r="M3908">
        <v>0</v>
      </c>
      <c r="N3908">
        <v>0</v>
      </c>
      <c r="O3908" s="17" t="s">
        <v>1431</v>
      </c>
      <c r="Q3908">
        <f>38-13</f>
        <v>25</v>
      </c>
      <c r="R3908" t="s">
        <v>63</v>
      </c>
      <c r="T3908">
        <v>30</v>
      </c>
      <c r="W3908">
        <v>13.75</v>
      </c>
      <c r="X3908">
        <v>26.9</v>
      </c>
      <c r="AB3908" t="s">
        <v>44</v>
      </c>
      <c r="AC3908" t="s">
        <v>59</v>
      </c>
    </row>
    <row r="3909" spans="1:29" x14ac:dyDescent="0.2">
      <c r="A3909" s="3">
        <v>42592</v>
      </c>
      <c r="B3909" t="s">
        <v>23</v>
      </c>
      <c r="C3909">
        <v>801</v>
      </c>
      <c r="D3909">
        <v>6</v>
      </c>
      <c r="E3909">
        <v>1</v>
      </c>
      <c r="F3909" t="s">
        <v>64</v>
      </c>
      <c r="G3909" t="s">
        <v>25</v>
      </c>
      <c r="H3909" t="s">
        <v>26</v>
      </c>
      <c r="I3909" t="s">
        <v>142</v>
      </c>
      <c r="J3909" t="s">
        <v>34</v>
      </c>
      <c r="K3909" t="s">
        <v>29</v>
      </c>
      <c r="L3909" t="s">
        <v>35</v>
      </c>
      <c r="M3909">
        <v>0</v>
      </c>
      <c r="N3909">
        <v>1</v>
      </c>
      <c r="O3909" s="17" t="s">
        <v>1446</v>
      </c>
      <c r="R3909" t="s">
        <v>39</v>
      </c>
      <c r="T3909">
        <v>28.5</v>
      </c>
      <c r="W3909">
        <v>12.9</v>
      </c>
      <c r="X3909">
        <v>28.4</v>
      </c>
      <c r="Z3909" t="s">
        <v>145</v>
      </c>
      <c r="AA3909" t="s">
        <v>1447</v>
      </c>
      <c r="AB3909" t="s">
        <v>53</v>
      </c>
      <c r="AC3909" t="s">
        <v>59</v>
      </c>
    </row>
    <row r="3910" spans="1:29" x14ac:dyDescent="0.2">
      <c r="A3910" s="3">
        <v>42593</v>
      </c>
      <c r="B3910" t="s">
        <v>23</v>
      </c>
      <c r="C3910">
        <v>801</v>
      </c>
      <c r="D3910">
        <v>5</v>
      </c>
      <c r="E3910">
        <v>2</v>
      </c>
      <c r="F3910" t="s">
        <v>64</v>
      </c>
      <c r="G3910" t="s">
        <v>25</v>
      </c>
      <c r="H3910" t="s">
        <v>26</v>
      </c>
      <c r="I3910" t="s">
        <v>142</v>
      </c>
      <c r="J3910" t="s">
        <v>28</v>
      </c>
      <c r="K3910" t="s">
        <v>29</v>
      </c>
      <c r="L3910" t="s">
        <v>35</v>
      </c>
      <c r="M3910">
        <v>0</v>
      </c>
      <c r="N3910">
        <v>0</v>
      </c>
      <c r="O3910" s="17" t="s">
        <v>1446</v>
      </c>
      <c r="Q3910">
        <f>41-18</f>
        <v>23</v>
      </c>
      <c r="R3910" t="s">
        <v>39</v>
      </c>
      <c r="T3910">
        <v>30</v>
      </c>
      <c r="W3910">
        <v>13.1</v>
      </c>
      <c r="X3910">
        <v>25.9</v>
      </c>
      <c r="Z3910" t="s">
        <v>145</v>
      </c>
      <c r="AA3910" t="s">
        <v>260</v>
      </c>
      <c r="AB3910" t="s">
        <v>44</v>
      </c>
      <c r="AC3910" t="s">
        <v>122</v>
      </c>
    </row>
    <row r="3911" spans="1:29" x14ac:dyDescent="0.2">
      <c r="A3911" s="3">
        <v>42592</v>
      </c>
      <c r="B3911" t="s">
        <v>23</v>
      </c>
      <c r="C3911">
        <v>801</v>
      </c>
      <c r="D3911">
        <v>7</v>
      </c>
      <c r="E3911">
        <v>1</v>
      </c>
      <c r="F3911" t="s">
        <v>64</v>
      </c>
      <c r="G3911" t="s">
        <v>25</v>
      </c>
      <c r="H3911" t="s">
        <v>26</v>
      </c>
      <c r="I3911" t="s">
        <v>142</v>
      </c>
      <c r="J3911" t="s">
        <v>34</v>
      </c>
      <c r="K3911" t="s">
        <v>29</v>
      </c>
      <c r="L3911" t="s">
        <v>30</v>
      </c>
      <c r="M3911">
        <v>0</v>
      </c>
      <c r="N3911">
        <v>1</v>
      </c>
      <c r="O3911" s="17" t="s">
        <v>1448</v>
      </c>
      <c r="Q3911">
        <f>35-18</f>
        <v>17</v>
      </c>
      <c r="R3911" t="s">
        <v>31</v>
      </c>
      <c r="S3911" t="s">
        <v>32</v>
      </c>
      <c r="T3911">
        <v>28.5</v>
      </c>
      <c r="W3911">
        <v>12.9</v>
      </c>
      <c r="X3911">
        <v>26</v>
      </c>
      <c r="Y3911" t="s">
        <v>1450</v>
      </c>
      <c r="Z3911" t="s">
        <v>145</v>
      </c>
      <c r="AA3911" t="s">
        <v>1449</v>
      </c>
      <c r="AB3911" t="s">
        <v>53</v>
      </c>
      <c r="AC3911" t="s">
        <v>59</v>
      </c>
    </row>
    <row r="3912" spans="1:29" x14ac:dyDescent="0.2">
      <c r="A3912" s="3">
        <v>42598</v>
      </c>
      <c r="B3912" t="s">
        <v>23</v>
      </c>
      <c r="C3912">
        <v>203</v>
      </c>
      <c r="D3912">
        <v>4</v>
      </c>
      <c r="E3912">
        <v>1</v>
      </c>
      <c r="F3912" t="s">
        <v>64</v>
      </c>
      <c r="G3912" t="s">
        <v>25</v>
      </c>
      <c r="H3912" t="s">
        <v>26</v>
      </c>
      <c r="I3912" t="s">
        <v>142</v>
      </c>
      <c r="J3912" t="s">
        <v>34</v>
      </c>
      <c r="K3912" t="s">
        <v>188</v>
      </c>
      <c r="L3912" t="s">
        <v>35</v>
      </c>
      <c r="M3912">
        <v>0</v>
      </c>
      <c r="N3912">
        <v>1</v>
      </c>
      <c r="O3912" s="17" t="s">
        <v>1554</v>
      </c>
      <c r="Q3912">
        <f>29-13</f>
        <v>16</v>
      </c>
      <c r="R3912" t="s">
        <v>63</v>
      </c>
      <c r="T3912">
        <v>28</v>
      </c>
      <c r="W3912">
        <v>13</v>
      </c>
      <c r="X3912">
        <v>24.8</v>
      </c>
      <c r="Z3912" t="s">
        <v>145</v>
      </c>
      <c r="AA3912" t="s">
        <v>260</v>
      </c>
      <c r="AB3912" t="s">
        <v>121</v>
      </c>
      <c r="AC3912" t="s">
        <v>122</v>
      </c>
    </row>
    <row r="3913" spans="1:29" x14ac:dyDescent="0.2">
      <c r="A3913" s="3">
        <v>42599</v>
      </c>
      <c r="B3913" t="s">
        <v>23</v>
      </c>
      <c r="C3913">
        <v>113</v>
      </c>
      <c r="D3913">
        <v>7</v>
      </c>
      <c r="E3913">
        <v>2</v>
      </c>
      <c r="F3913" t="s">
        <v>24</v>
      </c>
      <c r="G3913" t="s">
        <v>25</v>
      </c>
      <c r="H3913" t="s">
        <v>26</v>
      </c>
      <c r="I3913" t="s">
        <v>142</v>
      </c>
      <c r="J3913" t="s">
        <v>34</v>
      </c>
      <c r="K3913" t="s">
        <v>123</v>
      </c>
      <c r="L3913" t="s">
        <v>30</v>
      </c>
      <c r="M3913">
        <v>0</v>
      </c>
      <c r="N3913">
        <v>1</v>
      </c>
      <c r="O3913" s="17" t="s">
        <v>1839</v>
      </c>
      <c r="Q3913">
        <f>30.5-14</f>
        <v>16.5</v>
      </c>
      <c r="R3913" t="s">
        <v>31</v>
      </c>
      <c r="S3913" t="s">
        <v>32</v>
      </c>
      <c r="T3913">
        <v>29</v>
      </c>
      <c r="W3913">
        <v>12.5</v>
      </c>
      <c r="X3913">
        <v>24.9</v>
      </c>
      <c r="AB3913" t="s">
        <v>121</v>
      </c>
      <c r="AC3913" t="s">
        <v>59</v>
      </c>
    </row>
    <row r="3914" spans="1:29" x14ac:dyDescent="0.2">
      <c r="A3914" s="3">
        <v>42600</v>
      </c>
      <c r="B3914" t="s">
        <v>23</v>
      </c>
      <c r="C3914">
        <v>113</v>
      </c>
      <c r="D3914">
        <v>4</v>
      </c>
      <c r="E3914">
        <v>1</v>
      </c>
      <c r="F3914" t="s">
        <v>24</v>
      </c>
      <c r="G3914" t="s">
        <v>25</v>
      </c>
      <c r="H3914" t="s">
        <v>26</v>
      </c>
      <c r="I3914" t="s">
        <v>142</v>
      </c>
      <c r="J3914" t="s">
        <v>28</v>
      </c>
      <c r="K3914" t="s">
        <v>29</v>
      </c>
      <c r="L3914" t="s">
        <v>30</v>
      </c>
      <c r="M3914">
        <v>0</v>
      </c>
      <c r="N3914">
        <v>0</v>
      </c>
      <c r="O3914" s="17" t="s">
        <v>1839</v>
      </c>
      <c r="Q3914">
        <f>31-13</f>
        <v>18</v>
      </c>
      <c r="R3914" t="s">
        <v>31</v>
      </c>
      <c r="S3914" t="s">
        <v>32</v>
      </c>
      <c r="T3914">
        <v>28.5</v>
      </c>
      <c r="W3914">
        <v>12.8</v>
      </c>
      <c r="X3914">
        <v>24.3</v>
      </c>
      <c r="AB3914" t="s">
        <v>121</v>
      </c>
      <c r="AC3914" t="s">
        <v>59</v>
      </c>
    </row>
    <row r="3915" spans="1:29" x14ac:dyDescent="0.2">
      <c r="A3915" s="3">
        <v>42592</v>
      </c>
      <c r="B3915" t="s">
        <v>23</v>
      </c>
      <c r="C3915">
        <v>401</v>
      </c>
      <c r="D3915">
        <v>10</v>
      </c>
      <c r="E3915">
        <v>1</v>
      </c>
      <c r="F3915" t="s">
        <v>24</v>
      </c>
      <c r="G3915" t="s">
        <v>25</v>
      </c>
      <c r="H3915" t="s">
        <v>26</v>
      </c>
      <c r="I3915" t="s">
        <v>142</v>
      </c>
      <c r="J3915" t="s">
        <v>34</v>
      </c>
      <c r="K3915" t="s">
        <v>29</v>
      </c>
      <c r="M3915">
        <v>0</v>
      </c>
      <c r="N3915">
        <v>1</v>
      </c>
      <c r="O3915" s="17" t="s">
        <v>1264</v>
      </c>
      <c r="Q3915">
        <f>34.5-14</f>
        <v>20.5</v>
      </c>
      <c r="T3915">
        <v>30</v>
      </c>
      <c r="W3915">
        <v>12.9</v>
      </c>
      <c r="X3915">
        <v>26.35</v>
      </c>
      <c r="Z3915" t="s">
        <v>145</v>
      </c>
      <c r="AB3915" t="s">
        <v>44</v>
      </c>
      <c r="AC3915" t="s">
        <v>59</v>
      </c>
    </row>
    <row r="3916" spans="1:29" x14ac:dyDescent="0.2">
      <c r="A3916" s="3">
        <v>42589</v>
      </c>
      <c r="B3916" t="s">
        <v>23</v>
      </c>
      <c r="C3916">
        <v>402</v>
      </c>
      <c r="D3916">
        <v>9</v>
      </c>
      <c r="E3916">
        <v>1</v>
      </c>
      <c r="F3916" t="s">
        <v>64</v>
      </c>
      <c r="G3916" t="s">
        <v>25</v>
      </c>
      <c r="H3916" t="s">
        <v>26</v>
      </c>
      <c r="I3916" t="s">
        <v>142</v>
      </c>
      <c r="J3916" t="s">
        <v>34</v>
      </c>
      <c r="K3916" t="s">
        <v>29</v>
      </c>
      <c r="L3916" t="s">
        <v>30</v>
      </c>
      <c r="M3916">
        <v>0</v>
      </c>
      <c r="N3916">
        <v>1</v>
      </c>
      <c r="O3916" s="17" t="s">
        <v>1326</v>
      </c>
      <c r="Q3916">
        <f>32-14</f>
        <v>18</v>
      </c>
      <c r="R3916" t="s">
        <v>31</v>
      </c>
      <c r="S3916" t="s">
        <v>32</v>
      </c>
      <c r="T3916">
        <v>30</v>
      </c>
      <c r="W3916">
        <v>12.5</v>
      </c>
      <c r="X3916">
        <v>23</v>
      </c>
      <c r="Z3916" t="s">
        <v>145</v>
      </c>
      <c r="AA3916" t="s">
        <v>260</v>
      </c>
      <c r="AB3916" t="s">
        <v>121</v>
      </c>
      <c r="AC3916" t="s">
        <v>59</v>
      </c>
    </row>
    <row r="3917" spans="1:29" x14ac:dyDescent="0.2">
      <c r="A3917" s="3">
        <v>42592</v>
      </c>
      <c r="B3917" t="s">
        <v>23</v>
      </c>
      <c r="C3917">
        <v>503</v>
      </c>
      <c r="D3917">
        <v>2</v>
      </c>
      <c r="E3917">
        <v>1</v>
      </c>
      <c r="F3917" t="s">
        <v>24</v>
      </c>
      <c r="G3917" t="s">
        <v>25</v>
      </c>
      <c r="H3917" t="s">
        <v>26</v>
      </c>
      <c r="I3917" t="s">
        <v>142</v>
      </c>
      <c r="J3917" t="s">
        <v>34</v>
      </c>
      <c r="K3917" t="s">
        <v>29</v>
      </c>
      <c r="L3917" t="s">
        <v>30</v>
      </c>
      <c r="M3917">
        <v>0</v>
      </c>
      <c r="N3917">
        <v>1</v>
      </c>
      <c r="O3917" s="17" t="s">
        <v>1248</v>
      </c>
      <c r="Q3917">
        <f>34-12.5</f>
        <v>21.5</v>
      </c>
      <c r="R3917" t="s">
        <v>31</v>
      </c>
      <c r="S3917" t="s">
        <v>32</v>
      </c>
      <c r="T3917">
        <v>30</v>
      </c>
      <c r="W3917">
        <v>13.2</v>
      </c>
      <c r="X3917">
        <v>26.5</v>
      </c>
      <c r="Z3917" t="s">
        <v>32</v>
      </c>
      <c r="AB3917" t="s">
        <v>44</v>
      </c>
      <c r="AC3917" t="s">
        <v>59</v>
      </c>
    </row>
    <row r="3918" spans="1:29" x14ac:dyDescent="0.2">
      <c r="A3918" s="3">
        <v>42591</v>
      </c>
      <c r="B3918" t="s">
        <v>23</v>
      </c>
      <c r="C3918">
        <v>401</v>
      </c>
      <c r="D3918">
        <v>7</v>
      </c>
      <c r="E3918">
        <v>1</v>
      </c>
      <c r="F3918" t="s">
        <v>24</v>
      </c>
      <c r="G3918" t="s">
        <v>25</v>
      </c>
      <c r="H3918" t="s">
        <v>26</v>
      </c>
      <c r="I3918" t="s">
        <v>142</v>
      </c>
      <c r="J3918" t="s">
        <v>34</v>
      </c>
      <c r="K3918" t="s">
        <v>29</v>
      </c>
      <c r="L3918" t="s">
        <v>30</v>
      </c>
      <c r="M3918">
        <v>0</v>
      </c>
      <c r="N3918">
        <v>1</v>
      </c>
      <c r="O3918" s="17" t="s">
        <v>1137</v>
      </c>
      <c r="Q3918">
        <f>35-13</f>
        <v>22</v>
      </c>
      <c r="R3918" t="s">
        <v>94</v>
      </c>
      <c r="S3918" t="s">
        <v>32</v>
      </c>
      <c r="T3918">
        <v>28</v>
      </c>
      <c r="W3918">
        <v>13</v>
      </c>
      <c r="X3918">
        <v>25.5</v>
      </c>
      <c r="Z3918" t="s">
        <v>145</v>
      </c>
      <c r="AB3918" t="s">
        <v>44</v>
      </c>
      <c r="AC3918" t="s">
        <v>59</v>
      </c>
    </row>
    <row r="3919" spans="1:29" x14ac:dyDescent="0.2">
      <c r="A3919" s="3">
        <v>42592</v>
      </c>
      <c r="B3919" t="s">
        <v>23</v>
      </c>
      <c r="C3919">
        <v>401</v>
      </c>
      <c r="D3919">
        <v>2</v>
      </c>
      <c r="E3919">
        <v>1</v>
      </c>
      <c r="F3919" t="s">
        <v>24</v>
      </c>
      <c r="G3919" t="s">
        <v>25</v>
      </c>
      <c r="H3919" t="s">
        <v>26</v>
      </c>
      <c r="I3919" t="s">
        <v>142</v>
      </c>
      <c r="J3919" t="s">
        <v>28</v>
      </c>
      <c r="K3919" t="s">
        <v>29</v>
      </c>
      <c r="L3919" t="s">
        <v>30</v>
      </c>
      <c r="M3919">
        <v>0</v>
      </c>
      <c r="N3919">
        <v>0</v>
      </c>
      <c r="O3919" s="17" t="s">
        <v>1137</v>
      </c>
      <c r="Q3919">
        <f>35-14.5</f>
        <v>20.5</v>
      </c>
      <c r="R3919" t="s">
        <v>31</v>
      </c>
      <c r="S3919" t="s">
        <v>32</v>
      </c>
      <c r="T3919">
        <v>29</v>
      </c>
      <c r="W3919">
        <v>13.5</v>
      </c>
      <c r="X3919">
        <v>26.4</v>
      </c>
      <c r="Z3919" t="s">
        <v>32</v>
      </c>
      <c r="AB3919" t="s">
        <v>44</v>
      </c>
      <c r="AC3919" t="s">
        <v>59</v>
      </c>
    </row>
    <row r="3920" spans="1:29" x14ac:dyDescent="0.2">
      <c r="A3920" s="3">
        <v>42593</v>
      </c>
      <c r="B3920" t="s">
        <v>23</v>
      </c>
      <c r="C3920">
        <v>401</v>
      </c>
      <c r="D3920">
        <v>8</v>
      </c>
      <c r="E3920">
        <v>2</v>
      </c>
      <c r="F3920" t="s">
        <v>24</v>
      </c>
      <c r="G3920" t="s">
        <v>25</v>
      </c>
      <c r="H3920" t="s">
        <v>26</v>
      </c>
      <c r="I3920" t="s">
        <v>142</v>
      </c>
      <c r="J3920" t="s">
        <v>28</v>
      </c>
      <c r="K3920" t="s">
        <v>29</v>
      </c>
      <c r="L3920" t="s">
        <v>30</v>
      </c>
      <c r="M3920">
        <v>0</v>
      </c>
      <c r="N3920">
        <v>0</v>
      </c>
      <c r="O3920" s="17" t="s">
        <v>1137</v>
      </c>
      <c r="Q3920">
        <f>32-12.5</f>
        <v>19.5</v>
      </c>
      <c r="R3920" t="s">
        <v>31</v>
      </c>
      <c r="S3920" t="s">
        <v>32</v>
      </c>
      <c r="T3920">
        <v>28</v>
      </c>
      <c r="W3920">
        <v>13.2</v>
      </c>
      <c r="X3920">
        <v>27.8</v>
      </c>
      <c r="Z3920" t="s">
        <v>32</v>
      </c>
      <c r="AB3920" t="s">
        <v>44</v>
      </c>
      <c r="AC3920" t="s">
        <v>122</v>
      </c>
    </row>
    <row r="3921" spans="1:30" x14ac:dyDescent="0.2">
      <c r="A3921" s="3">
        <v>42585</v>
      </c>
      <c r="B3921" t="s">
        <v>23</v>
      </c>
      <c r="C3921">
        <v>112</v>
      </c>
      <c r="D3921">
        <v>9</v>
      </c>
      <c r="E3921">
        <v>2</v>
      </c>
      <c r="F3921" t="s">
        <v>64</v>
      </c>
      <c r="G3921" t="s">
        <v>25</v>
      </c>
      <c r="H3921" t="s">
        <v>26</v>
      </c>
      <c r="I3921" t="s">
        <v>142</v>
      </c>
      <c r="J3921" t="s">
        <v>34</v>
      </c>
      <c r="K3921" t="s">
        <v>29</v>
      </c>
      <c r="L3921" t="s">
        <v>35</v>
      </c>
      <c r="M3921">
        <v>0</v>
      </c>
      <c r="N3921">
        <v>1</v>
      </c>
      <c r="O3921" s="17" t="s">
        <v>921</v>
      </c>
      <c r="Q3921">
        <f>22.5-4</f>
        <v>18.5</v>
      </c>
      <c r="R3921" t="s">
        <v>39</v>
      </c>
      <c r="T3921">
        <v>30</v>
      </c>
      <c r="W3921">
        <v>12.8</v>
      </c>
      <c r="X3921">
        <v>26.9</v>
      </c>
      <c r="Z3921" t="s">
        <v>145</v>
      </c>
      <c r="AA3921" t="s">
        <v>260</v>
      </c>
      <c r="AB3921" t="s">
        <v>53</v>
      </c>
      <c r="AC3921" t="s">
        <v>122</v>
      </c>
    </row>
    <row r="3922" spans="1:30" x14ac:dyDescent="0.2">
      <c r="A3922" s="3">
        <v>42514</v>
      </c>
      <c r="B3922" t="s">
        <v>23</v>
      </c>
      <c r="C3922">
        <v>501</v>
      </c>
      <c r="D3922">
        <v>9</v>
      </c>
      <c r="E3922">
        <v>2</v>
      </c>
      <c r="F3922" t="s">
        <v>33</v>
      </c>
      <c r="G3922" t="s">
        <v>25</v>
      </c>
      <c r="H3922" t="s">
        <v>26</v>
      </c>
      <c r="I3922" t="s">
        <v>142</v>
      </c>
      <c r="J3922" t="s">
        <v>34</v>
      </c>
      <c r="K3922" t="s">
        <v>29</v>
      </c>
      <c r="L3922" t="s">
        <v>35</v>
      </c>
      <c r="M3922">
        <v>0</v>
      </c>
      <c r="N3922">
        <v>1</v>
      </c>
      <c r="O3922" s="17">
        <v>50336</v>
      </c>
      <c r="Q3922">
        <f>36.5-5</f>
        <v>31.5</v>
      </c>
      <c r="R3922" t="s">
        <v>39</v>
      </c>
      <c r="S3922" t="s">
        <v>32</v>
      </c>
      <c r="Z3922" t="s">
        <v>32</v>
      </c>
      <c r="AB3922" t="s">
        <v>44</v>
      </c>
      <c r="AC3922" t="s">
        <v>59</v>
      </c>
    </row>
    <row r="3923" spans="1:30" x14ac:dyDescent="0.2">
      <c r="A3923" s="3">
        <v>42515</v>
      </c>
      <c r="B3923" t="s">
        <v>23</v>
      </c>
      <c r="C3923">
        <v>501</v>
      </c>
      <c r="D3923">
        <v>6</v>
      </c>
      <c r="E3923">
        <v>1</v>
      </c>
      <c r="F3923" t="s">
        <v>33</v>
      </c>
      <c r="G3923" t="s">
        <v>25</v>
      </c>
      <c r="H3923" t="s">
        <v>26</v>
      </c>
      <c r="I3923" t="s">
        <v>142</v>
      </c>
      <c r="J3923" t="s">
        <v>28</v>
      </c>
      <c r="K3923" t="s">
        <v>29</v>
      </c>
      <c r="L3923" t="s">
        <v>35</v>
      </c>
      <c r="M3923">
        <v>0</v>
      </c>
      <c r="N3923">
        <v>0</v>
      </c>
      <c r="O3923" s="17">
        <v>50336</v>
      </c>
      <c r="Q3923">
        <f>23.5-1.5</f>
        <v>22</v>
      </c>
      <c r="R3923" t="s">
        <v>39</v>
      </c>
      <c r="S3923" t="s">
        <v>32</v>
      </c>
      <c r="Z3923" t="s">
        <v>32</v>
      </c>
      <c r="AB3923" t="s">
        <v>144</v>
      </c>
      <c r="AC3923" t="s">
        <v>122</v>
      </c>
    </row>
    <row r="3924" spans="1:30" x14ac:dyDescent="0.2">
      <c r="A3924" s="3">
        <v>42530</v>
      </c>
      <c r="B3924" t="s">
        <v>23</v>
      </c>
      <c r="C3924">
        <v>304</v>
      </c>
      <c r="D3924">
        <v>10</v>
      </c>
      <c r="E3924">
        <v>2</v>
      </c>
      <c r="F3924" t="s">
        <v>24</v>
      </c>
      <c r="G3924" t="s">
        <v>25</v>
      </c>
      <c r="H3924" t="s">
        <v>26</v>
      </c>
      <c r="I3924" t="s">
        <v>142</v>
      </c>
      <c r="J3924" t="s">
        <v>34</v>
      </c>
      <c r="K3924" t="s">
        <v>187</v>
      </c>
      <c r="L3924" t="s">
        <v>35</v>
      </c>
      <c r="M3924">
        <v>0</v>
      </c>
      <c r="N3924">
        <v>1</v>
      </c>
      <c r="O3924" s="17">
        <v>50351</v>
      </c>
      <c r="Q3924">
        <v>19</v>
      </c>
      <c r="R3924" t="s">
        <v>63</v>
      </c>
      <c r="S3924" t="s">
        <v>32</v>
      </c>
      <c r="T3924">
        <v>28</v>
      </c>
      <c r="W3924">
        <v>11.1</v>
      </c>
      <c r="X3924">
        <v>26.8</v>
      </c>
      <c r="Z3924" t="s">
        <v>32</v>
      </c>
      <c r="AB3924" t="s">
        <v>59</v>
      </c>
      <c r="AC3924" t="s">
        <v>191</v>
      </c>
    </row>
    <row r="3925" spans="1:30" x14ac:dyDescent="0.2">
      <c r="A3925" s="3">
        <v>42550</v>
      </c>
      <c r="B3925" t="s">
        <v>23</v>
      </c>
      <c r="C3925">
        <v>503</v>
      </c>
      <c r="D3925">
        <v>5</v>
      </c>
      <c r="E3925">
        <v>1</v>
      </c>
      <c r="F3925" t="s">
        <v>33</v>
      </c>
      <c r="G3925" t="s">
        <v>25</v>
      </c>
      <c r="H3925" t="s">
        <v>26</v>
      </c>
      <c r="I3925" t="s">
        <v>142</v>
      </c>
      <c r="J3925" t="s">
        <v>34</v>
      </c>
      <c r="K3925" t="s">
        <v>29</v>
      </c>
      <c r="L3925" t="s">
        <v>30</v>
      </c>
      <c r="M3925">
        <v>0</v>
      </c>
      <c r="N3925">
        <v>0</v>
      </c>
      <c r="O3925" s="17">
        <v>50449</v>
      </c>
      <c r="Q3925">
        <f>36-11</f>
        <v>25</v>
      </c>
      <c r="R3925" t="s">
        <v>251</v>
      </c>
      <c r="S3925" t="s">
        <v>145</v>
      </c>
      <c r="T3925">
        <v>30</v>
      </c>
      <c r="W3925">
        <v>13</v>
      </c>
      <c r="X3925">
        <v>30</v>
      </c>
      <c r="Z3925" t="s">
        <v>32</v>
      </c>
      <c r="AB3925" t="s">
        <v>149</v>
      </c>
      <c r="AC3925" t="s">
        <v>59</v>
      </c>
    </row>
    <row r="3926" spans="1:30" x14ac:dyDescent="0.2">
      <c r="A3926" s="3">
        <v>42551</v>
      </c>
      <c r="B3926" t="s">
        <v>23</v>
      </c>
      <c r="C3926">
        <v>503</v>
      </c>
      <c r="D3926">
        <v>8</v>
      </c>
      <c r="E3926">
        <v>1</v>
      </c>
      <c r="F3926" t="s">
        <v>33</v>
      </c>
      <c r="G3926" t="s">
        <v>25</v>
      </c>
      <c r="H3926" t="s">
        <v>26</v>
      </c>
      <c r="I3926" t="s">
        <v>142</v>
      </c>
      <c r="J3926" t="s">
        <v>28</v>
      </c>
      <c r="K3926" t="s">
        <v>29</v>
      </c>
      <c r="L3926" t="s">
        <v>30</v>
      </c>
      <c r="M3926">
        <v>0</v>
      </c>
      <c r="N3926">
        <v>0</v>
      </c>
      <c r="O3926" s="17">
        <v>50449</v>
      </c>
      <c r="Q3926">
        <f>35-12</f>
        <v>23</v>
      </c>
      <c r="R3926" t="s">
        <v>251</v>
      </c>
      <c r="S3926" t="s">
        <v>145</v>
      </c>
      <c r="T3926">
        <v>30</v>
      </c>
      <c r="Z3926" t="s">
        <v>32</v>
      </c>
      <c r="AB3926" t="s">
        <v>44</v>
      </c>
      <c r="AC3926" t="s">
        <v>59</v>
      </c>
    </row>
    <row r="3927" spans="1:30" x14ac:dyDescent="0.2">
      <c r="A3927" s="3">
        <v>42564</v>
      </c>
      <c r="B3927" t="s">
        <v>23</v>
      </c>
      <c r="C3927">
        <v>503</v>
      </c>
      <c r="D3927">
        <v>1</v>
      </c>
      <c r="E3927">
        <v>1</v>
      </c>
      <c r="F3927" t="s">
        <v>24</v>
      </c>
      <c r="G3927" t="s">
        <v>25</v>
      </c>
      <c r="H3927" t="s">
        <v>26</v>
      </c>
      <c r="I3927" t="s">
        <v>142</v>
      </c>
      <c r="J3927" t="s">
        <v>28</v>
      </c>
      <c r="K3927" t="s">
        <v>29</v>
      </c>
      <c r="L3927" t="s">
        <v>30</v>
      </c>
      <c r="M3927">
        <v>0</v>
      </c>
      <c r="N3927">
        <v>0</v>
      </c>
      <c r="O3927" s="17">
        <v>50449</v>
      </c>
      <c r="Q3927">
        <f>34-9.5</f>
        <v>24.5</v>
      </c>
      <c r="R3927" t="s">
        <v>75</v>
      </c>
      <c r="S3927" t="s">
        <v>32</v>
      </c>
      <c r="T3927">
        <v>30</v>
      </c>
      <c r="W3927">
        <v>13.1</v>
      </c>
      <c r="X3927">
        <v>27.5</v>
      </c>
      <c r="Z3927" t="s">
        <v>32</v>
      </c>
    </row>
    <row r="3928" spans="1:30" x14ac:dyDescent="0.2">
      <c r="A3928" s="3">
        <v>42565</v>
      </c>
      <c r="B3928" t="s">
        <v>23</v>
      </c>
      <c r="C3928">
        <v>503</v>
      </c>
      <c r="D3928">
        <v>7</v>
      </c>
      <c r="E3928">
        <v>1</v>
      </c>
      <c r="F3928" t="s">
        <v>24</v>
      </c>
      <c r="G3928" t="s">
        <v>25</v>
      </c>
      <c r="H3928" t="s">
        <v>26</v>
      </c>
      <c r="I3928" t="s">
        <v>142</v>
      </c>
      <c r="J3928" t="s">
        <v>28</v>
      </c>
      <c r="K3928" t="s">
        <v>29</v>
      </c>
      <c r="L3928" t="s">
        <v>30</v>
      </c>
      <c r="M3928">
        <v>0</v>
      </c>
      <c r="N3928">
        <v>0</v>
      </c>
      <c r="O3928" s="17">
        <v>50449</v>
      </c>
      <c r="Q3928">
        <v>24</v>
      </c>
      <c r="R3928" t="s">
        <v>75</v>
      </c>
      <c r="S3928" t="s">
        <v>145</v>
      </c>
      <c r="T3928">
        <v>29</v>
      </c>
      <c r="W3928">
        <v>13.15</v>
      </c>
      <c r="X3928">
        <v>28</v>
      </c>
      <c r="Z3928" t="s">
        <v>32</v>
      </c>
      <c r="AB3928" t="s">
        <v>489</v>
      </c>
      <c r="AC3928" t="s">
        <v>254</v>
      </c>
    </row>
    <row r="3929" spans="1:30" x14ac:dyDescent="0.2">
      <c r="A3929" s="3">
        <v>42536</v>
      </c>
      <c r="B3929" t="s">
        <v>23</v>
      </c>
      <c r="C3929">
        <v>701</v>
      </c>
      <c r="D3929">
        <v>8</v>
      </c>
      <c r="E3929">
        <v>1</v>
      </c>
      <c r="F3929" t="s">
        <v>33</v>
      </c>
      <c r="G3929" t="s">
        <v>25</v>
      </c>
      <c r="H3929" t="s">
        <v>26</v>
      </c>
      <c r="I3929" t="s">
        <v>142</v>
      </c>
      <c r="J3929" t="s">
        <v>34</v>
      </c>
      <c r="K3929" t="s">
        <v>187</v>
      </c>
      <c r="L3929" t="s">
        <v>35</v>
      </c>
      <c r="M3929">
        <v>0</v>
      </c>
      <c r="N3929">
        <v>1</v>
      </c>
      <c r="O3929" s="17">
        <v>50472</v>
      </c>
      <c r="Q3929">
        <f>28-3</f>
        <v>25</v>
      </c>
      <c r="R3929" t="s">
        <v>39</v>
      </c>
      <c r="T3929">
        <v>30</v>
      </c>
      <c r="W3929">
        <v>12.6</v>
      </c>
      <c r="X3929">
        <v>30</v>
      </c>
      <c r="Z3929" t="s">
        <v>32</v>
      </c>
      <c r="AB3929" t="s">
        <v>44</v>
      </c>
      <c r="AC3929" t="s">
        <v>59</v>
      </c>
    </row>
    <row r="3930" spans="1:30" x14ac:dyDescent="0.2">
      <c r="A3930" s="3">
        <v>42549</v>
      </c>
      <c r="B3930" t="s">
        <v>23</v>
      </c>
      <c r="C3930">
        <v>703</v>
      </c>
      <c r="D3930">
        <v>2</v>
      </c>
      <c r="E3930">
        <v>2</v>
      </c>
      <c r="F3930" t="s">
        <v>24</v>
      </c>
      <c r="G3930" t="s">
        <v>25</v>
      </c>
      <c r="H3930" t="s">
        <v>26</v>
      </c>
      <c r="I3930" t="s">
        <v>142</v>
      </c>
      <c r="J3930" t="s">
        <v>34</v>
      </c>
      <c r="K3930" t="s">
        <v>29</v>
      </c>
      <c r="L3930" t="s">
        <v>30</v>
      </c>
      <c r="M3930">
        <v>0</v>
      </c>
      <c r="N3930">
        <v>1</v>
      </c>
      <c r="O3930" s="17">
        <v>50489</v>
      </c>
      <c r="Q3930">
        <f>39-12.5</f>
        <v>26.5</v>
      </c>
      <c r="R3930" t="s">
        <v>75</v>
      </c>
      <c r="S3930" t="s">
        <v>145</v>
      </c>
      <c r="T3930">
        <v>29</v>
      </c>
      <c r="W3930">
        <v>12.8</v>
      </c>
      <c r="X3930">
        <v>27.5</v>
      </c>
      <c r="Z3930" t="s">
        <v>32</v>
      </c>
      <c r="AB3930" t="s">
        <v>149</v>
      </c>
      <c r="AC3930" t="s">
        <v>122</v>
      </c>
    </row>
    <row r="3931" spans="1:30" x14ac:dyDescent="0.2">
      <c r="A3931" s="3">
        <v>42604</v>
      </c>
      <c r="B3931" t="s">
        <v>23</v>
      </c>
      <c r="C3931">
        <v>703</v>
      </c>
      <c r="D3931">
        <v>5</v>
      </c>
      <c r="E3931">
        <v>2</v>
      </c>
      <c r="F3931" t="s">
        <v>24</v>
      </c>
      <c r="G3931" t="s">
        <v>25</v>
      </c>
      <c r="H3931" t="s">
        <v>26</v>
      </c>
      <c r="I3931" t="s">
        <v>142</v>
      </c>
      <c r="J3931" t="s">
        <v>28</v>
      </c>
      <c r="K3931" t="s">
        <v>29</v>
      </c>
      <c r="L3931" t="s">
        <v>30</v>
      </c>
      <c r="M3931">
        <v>0</v>
      </c>
      <c r="N3931">
        <v>0</v>
      </c>
      <c r="O3931" s="17" t="s">
        <v>1867</v>
      </c>
      <c r="Q3931">
        <f>44.5-12.5</f>
        <v>32</v>
      </c>
      <c r="R3931" t="s">
        <v>94</v>
      </c>
      <c r="S3931" t="s">
        <v>32</v>
      </c>
      <c r="T3931">
        <v>29.5</v>
      </c>
      <c r="W3931">
        <v>13.3</v>
      </c>
      <c r="X3931">
        <v>26.3</v>
      </c>
      <c r="AB3931" t="s">
        <v>582</v>
      </c>
      <c r="AC3931" t="s">
        <v>116</v>
      </c>
    </row>
    <row r="3932" spans="1:30" x14ac:dyDescent="0.2">
      <c r="A3932" s="3">
        <v>42542</v>
      </c>
      <c r="B3932" t="s">
        <v>23</v>
      </c>
      <c r="C3932">
        <v>112</v>
      </c>
      <c r="D3932">
        <v>9</v>
      </c>
      <c r="E3932">
        <v>2</v>
      </c>
      <c r="F3932" t="s">
        <v>24</v>
      </c>
      <c r="G3932" t="s">
        <v>25</v>
      </c>
      <c r="H3932" t="s">
        <v>26</v>
      </c>
      <c r="I3932" t="s">
        <v>142</v>
      </c>
      <c r="J3932" t="s">
        <v>34</v>
      </c>
      <c r="K3932" t="s">
        <v>29</v>
      </c>
      <c r="L3932" t="s">
        <v>30</v>
      </c>
      <c r="M3932">
        <v>0</v>
      </c>
      <c r="N3932">
        <v>1</v>
      </c>
      <c r="O3932" s="17">
        <v>50494</v>
      </c>
      <c r="Q3932">
        <f>37.5-11.5</f>
        <v>26</v>
      </c>
      <c r="R3932" t="s">
        <v>75</v>
      </c>
      <c r="S3932" t="s">
        <v>145</v>
      </c>
      <c r="T3932">
        <v>29</v>
      </c>
      <c r="W3932">
        <v>13.1</v>
      </c>
      <c r="X3932">
        <v>28</v>
      </c>
      <c r="Z3932" t="s">
        <v>32</v>
      </c>
      <c r="AB3932" t="s">
        <v>44</v>
      </c>
      <c r="AC3932" t="s">
        <v>122</v>
      </c>
    </row>
    <row r="3933" spans="1:30" x14ac:dyDescent="0.2">
      <c r="A3933" s="3">
        <v>42558</v>
      </c>
      <c r="B3933" t="s">
        <v>23</v>
      </c>
      <c r="C3933">
        <v>112</v>
      </c>
      <c r="D3933">
        <v>8</v>
      </c>
      <c r="E3933">
        <v>2</v>
      </c>
      <c r="F3933" t="s">
        <v>33</v>
      </c>
      <c r="G3933" t="s">
        <v>25</v>
      </c>
      <c r="H3933" t="s">
        <v>26</v>
      </c>
      <c r="I3933" t="s">
        <v>142</v>
      </c>
      <c r="J3933" t="s">
        <v>45</v>
      </c>
      <c r="K3933" t="s">
        <v>29</v>
      </c>
      <c r="L3933" t="s">
        <v>30</v>
      </c>
      <c r="M3933">
        <v>1</v>
      </c>
      <c r="N3933">
        <v>0</v>
      </c>
      <c r="O3933" s="17">
        <v>50494</v>
      </c>
      <c r="P3933" s="17">
        <v>50521</v>
      </c>
      <c r="Q3933">
        <f>34-9</f>
        <v>25</v>
      </c>
      <c r="R3933" t="s">
        <v>273</v>
      </c>
      <c r="S3933" t="s">
        <v>145</v>
      </c>
      <c r="T3933">
        <v>28</v>
      </c>
      <c r="W3933">
        <v>12.9</v>
      </c>
      <c r="X3933">
        <v>27.3</v>
      </c>
      <c r="Z3933" t="s">
        <v>32</v>
      </c>
      <c r="AB3933" t="s">
        <v>121</v>
      </c>
      <c r="AC3933" t="s">
        <v>254</v>
      </c>
      <c r="AD3933" t="s">
        <v>445</v>
      </c>
    </row>
    <row r="3934" spans="1:30" x14ac:dyDescent="0.2">
      <c r="A3934" s="3">
        <v>42542</v>
      </c>
      <c r="B3934" t="s">
        <v>23</v>
      </c>
      <c r="C3934">
        <v>112</v>
      </c>
      <c r="D3934">
        <v>4</v>
      </c>
      <c r="E3934">
        <v>2</v>
      </c>
      <c r="F3934" t="s">
        <v>24</v>
      </c>
      <c r="G3934" t="s">
        <v>25</v>
      </c>
      <c r="H3934" t="s">
        <v>26</v>
      </c>
      <c r="I3934" t="s">
        <v>142</v>
      </c>
      <c r="J3934" t="s">
        <v>34</v>
      </c>
      <c r="K3934" t="s">
        <v>29</v>
      </c>
      <c r="L3934" t="s">
        <v>35</v>
      </c>
      <c r="M3934">
        <v>0</v>
      </c>
      <c r="N3934">
        <v>1</v>
      </c>
      <c r="O3934" s="17">
        <v>50495</v>
      </c>
      <c r="Q3934">
        <f>38-17.5</f>
        <v>20.5</v>
      </c>
      <c r="R3934" t="s">
        <v>39</v>
      </c>
      <c r="S3934" t="s">
        <v>32</v>
      </c>
      <c r="T3934">
        <v>28</v>
      </c>
      <c r="W3934">
        <v>12.3</v>
      </c>
      <c r="X3934">
        <v>27.8</v>
      </c>
      <c r="Z3934" t="s">
        <v>32</v>
      </c>
      <c r="AB3934" t="s">
        <v>44</v>
      </c>
      <c r="AC3934" t="s">
        <v>122</v>
      </c>
      <c r="AD3934" t="s">
        <v>275</v>
      </c>
    </row>
    <row r="3935" spans="1:30" x14ac:dyDescent="0.2">
      <c r="A3935" s="3">
        <v>42556</v>
      </c>
      <c r="B3935" t="s">
        <v>23</v>
      </c>
      <c r="C3935">
        <v>112</v>
      </c>
      <c r="D3935">
        <v>6</v>
      </c>
      <c r="E3935">
        <v>1</v>
      </c>
      <c r="F3935" t="s">
        <v>33</v>
      </c>
      <c r="G3935" t="s">
        <v>25</v>
      </c>
      <c r="H3935" t="s">
        <v>26</v>
      </c>
      <c r="I3935" t="s">
        <v>142</v>
      </c>
      <c r="J3935" t="s">
        <v>28</v>
      </c>
      <c r="K3935" t="s">
        <v>29</v>
      </c>
      <c r="L3935" t="s">
        <v>35</v>
      </c>
      <c r="M3935">
        <v>0</v>
      </c>
      <c r="N3935">
        <v>0</v>
      </c>
      <c r="O3935" s="17">
        <v>50495</v>
      </c>
      <c r="Q3935">
        <f>28-9</f>
        <v>19</v>
      </c>
      <c r="R3935" t="s">
        <v>39</v>
      </c>
      <c r="T3935">
        <v>30</v>
      </c>
      <c r="Z3935" t="s">
        <v>32</v>
      </c>
      <c r="AB3935" t="s">
        <v>53</v>
      </c>
      <c r="AC3935" t="s">
        <v>59</v>
      </c>
      <c r="AD3935" t="s">
        <v>277</v>
      </c>
    </row>
    <row r="3936" spans="1:30" x14ac:dyDescent="0.2">
      <c r="A3936" s="3">
        <v>42571</v>
      </c>
      <c r="B3936" t="s">
        <v>23</v>
      </c>
      <c r="C3936">
        <v>112</v>
      </c>
      <c r="D3936">
        <v>6</v>
      </c>
      <c r="E3936">
        <v>2</v>
      </c>
      <c r="F3936" t="s">
        <v>24</v>
      </c>
      <c r="G3936" t="s">
        <v>25</v>
      </c>
      <c r="H3936" t="s">
        <v>26</v>
      </c>
      <c r="I3936" t="s">
        <v>142</v>
      </c>
      <c r="J3936" t="s">
        <v>28</v>
      </c>
      <c r="K3936" t="s">
        <v>29</v>
      </c>
      <c r="L3936" t="s">
        <v>35</v>
      </c>
      <c r="M3936">
        <v>0</v>
      </c>
      <c r="N3936">
        <v>0</v>
      </c>
      <c r="O3936" s="17">
        <v>50495</v>
      </c>
      <c r="Q3936">
        <f>33-12</f>
        <v>21</v>
      </c>
      <c r="R3936" t="s">
        <v>39</v>
      </c>
      <c r="T3936">
        <v>30</v>
      </c>
      <c r="W3936">
        <v>12.75</v>
      </c>
      <c r="X3936">
        <v>27.3</v>
      </c>
      <c r="Z3936" t="s">
        <v>32</v>
      </c>
      <c r="AB3936" t="s">
        <v>44</v>
      </c>
      <c r="AC3936" t="s">
        <v>59</v>
      </c>
    </row>
    <row r="3937" spans="1:30" x14ac:dyDescent="0.2">
      <c r="A3937" s="3">
        <v>42572</v>
      </c>
      <c r="B3937" t="s">
        <v>23</v>
      </c>
      <c r="C3937">
        <v>112</v>
      </c>
      <c r="D3937">
        <v>9</v>
      </c>
      <c r="E3937">
        <v>1</v>
      </c>
      <c r="F3937" t="s">
        <v>24</v>
      </c>
      <c r="G3937" t="s">
        <v>25</v>
      </c>
      <c r="H3937" t="s">
        <v>26</v>
      </c>
      <c r="I3937" t="s">
        <v>142</v>
      </c>
      <c r="J3937" t="s">
        <v>28</v>
      </c>
      <c r="K3937" t="s">
        <v>29</v>
      </c>
      <c r="L3937" t="s">
        <v>35</v>
      </c>
      <c r="M3937">
        <v>0</v>
      </c>
      <c r="N3937">
        <v>0</v>
      </c>
      <c r="O3937" s="17">
        <v>50495</v>
      </c>
      <c r="P3937" s="17" t="s">
        <v>333</v>
      </c>
      <c r="Q3937">
        <f>32-11.5</f>
        <v>20.5</v>
      </c>
      <c r="R3937" t="s">
        <v>39</v>
      </c>
      <c r="T3937">
        <v>29</v>
      </c>
      <c r="X3937">
        <v>25.5</v>
      </c>
      <c r="Z3937" t="s">
        <v>32</v>
      </c>
      <c r="AB3937" t="s">
        <v>121</v>
      </c>
      <c r="AC3937" t="s">
        <v>122</v>
      </c>
    </row>
    <row r="3938" spans="1:30" x14ac:dyDescent="0.2">
      <c r="A3938" s="3">
        <v>42586</v>
      </c>
      <c r="B3938" t="s">
        <v>23</v>
      </c>
      <c r="C3938">
        <v>112</v>
      </c>
      <c r="D3938">
        <v>7</v>
      </c>
      <c r="E3938">
        <v>2</v>
      </c>
      <c r="F3938" t="s">
        <v>64</v>
      </c>
      <c r="G3938" t="s">
        <v>25</v>
      </c>
      <c r="H3938" t="s">
        <v>26</v>
      </c>
      <c r="I3938" t="s">
        <v>142</v>
      </c>
      <c r="J3938" t="s">
        <v>28</v>
      </c>
      <c r="K3938" t="s">
        <v>29</v>
      </c>
      <c r="L3938" t="s">
        <v>35</v>
      </c>
      <c r="M3938">
        <v>0</v>
      </c>
      <c r="N3938">
        <v>0</v>
      </c>
      <c r="O3938" s="17" t="s">
        <v>968</v>
      </c>
      <c r="Q3938">
        <f>34.5-15</f>
        <v>19.5</v>
      </c>
      <c r="R3938" t="s">
        <v>39</v>
      </c>
      <c r="T3938">
        <v>29</v>
      </c>
      <c r="W3938">
        <v>12.9</v>
      </c>
      <c r="X3938">
        <v>25.5</v>
      </c>
      <c r="Z3938" t="s">
        <v>32</v>
      </c>
      <c r="AB3938" t="s">
        <v>53</v>
      </c>
      <c r="AC3938" t="s">
        <v>122</v>
      </c>
    </row>
    <row r="3939" spans="1:30" x14ac:dyDescent="0.2">
      <c r="A3939" s="3">
        <v>42589</v>
      </c>
      <c r="B3939" t="s">
        <v>23</v>
      </c>
      <c r="C3939">
        <v>112</v>
      </c>
      <c r="D3939">
        <v>3</v>
      </c>
      <c r="E3939">
        <v>2</v>
      </c>
      <c r="F3939" t="s">
        <v>64</v>
      </c>
      <c r="G3939" t="s">
        <v>25</v>
      </c>
      <c r="H3939" t="s">
        <v>26</v>
      </c>
      <c r="I3939" t="s">
        <v>142</v>
      </c>
      <c r="J3939" t="s">
        <v>28</v>
      </c>
      <c r="K3939" t="s">
        <v>29</v>
      </c>
      <c r="L3939" t="s">
        <v>35</v>
      </c>
      <c r="M3939">
        <v>0</v>
      </c>
      <c r="N3939">
        <v>0</v>
      </c>
      <c r="O3939" s="17" t="s">
        <v>968</v>
      </c>
      <c r="Q3939">
        <f>33-13.5</f>
        <v>19.5</v>
      </c>
      <c r="R3939" t="s">
        <v>39</v>
      </c>
      <c r="T3939">
        <v>30</v>
      </c>
      <c r="W3939">
        <v>12.9</v>
      </c>
      <c r="X3939">
        <v>25.7</v>
      </c>
      <c r="Z3939" t="s">
        <v>32</v>
      </c>
      <c r="AB3939" t="s">
        <v>121</v>
      </c>
      <c r="AC3939" t="s">
        <v>59</v>
      </c>
    </row>
    <row r="3940" spans="1:30" x14ac:dyDescent="0.2">
      <c r="A3940" s="3">
        <v>42598</v>
      </c>
      <c r="B3940" t="s">
        <v>23</v>
      </c>
      <c r="C3940">
        <v>112</v>
      </c>
      <c r="D3940">
        <v>8</v>
      </c>
      <c r="E3940">
        <v>1</v>
      </c>
      <c r="F3940" t="s">
        <v>24</v>
      </c>
      <c r="G3940" t="s">
        <v>25</v>
      </c>
      <c r="H3940" t="s">
        <v>26</v>
      </c>
      <c r="I3940" t="s">
        <v>142</v>
      </c>
      <c r="J3940" t="s">
        <v>28</v>
      </c>
      <c r="K3940" t="s">
        <v>29</v>
      </c>
      <c r="L3940" t="s">
        <v>35</v>
      </c>
      <c r="M3940">
        <v>0</v>
      </c>
      <c r="N3940">
        <v>0</v>
      </c>
      <c r="O3940" s="17" t="s">
        <v>968</v>
      </c>
      <c r="Q3940">
        <f>45-18</f>
        <v>27</v>
      </c>
      <c r="R3940" t="s">
        <v>39</v>
      </c>
      <c r="T3940">
        <v>29.5</v>
      </c>
      <c r="W3940">
        <v>13.3</v>
      </c>
      <c r="X3940">
        <v>26</v>
      </c>
      <c r="AB3940" t="s">
        <v>1589</v>
      </c>
      <c r="AC3940" t="s">
        <v>122</v>
      </c>
      <c r="AD3940" t="s">
        <v>1799</v>
      </c>
    </row>
    <row r="3941" spans="1:30" x14ac:dyDescent="0.2">
      <c r="A3941" s="3">
        <v>42599</v>
      </c>
      <c r="B3941" t="s">
        <v>23</v>
      </c>
      <c r="C3941">
        <v>112</v>
      </c>
      <c r="D3941">
        <v>5</v>
      </c>
      <c r="E3941">
        <v>2</v>
      </c>
      <c r="F3941" t="s">
        <v>24</v>
      </c>
      <c r="G3941" t="s">
        <v>25</v>
      </c>
      <c r="H3941" t="s">
        <v>26</v>
      </c>
      <c r="I3941" t="s">
        <v>142</v>
      </c>
      <c r="J3941" t="s">
        <v>28</v>
      </c>
      <c r="K3941" t="s">
        <v>29</v>
      </c>
      <c r="L3941" t="s">
        <v>35</v>
      </c>
      <c r="M3941">
        <v>0</v>
      </c>
      <c r="N3941">
        <v>0</v>
      </c>
      <c r="O3941" s="17" t="s">
        <v>968</v>
      </c>
      <c r="P3941" s="17" t="s">
        <v>333</v>
      </c>
      <c r="Q3941">
        <f>37.5-13</f>
        <v>24.5</v>
      </c>
      <c r="R3941" t="s">
        <v>63</v>
      </c>
      <c r="T3941">
        <v>30</v>
      </c>
      <c r="W3941">
        <v>13.2</v>
      </c>
      <c r="X3941">
        <v>25.3</v>
      </c>
      <c r="AB3941" t="s">
        <v>121</v>
      </c>
      <c r="AC3941" t="s">
        <v>59</v>
      </c>
    </row>
    <row r="3942" spans="1:30" x14ac:dyDescent="0.2">
      <c r="A3942" s="3">
        <v>42600</v>
      </c>
      <c r="B3942" t="s">
        <v>23</v>
      </c>
      <c r="C3942">
        <v>112</v>
      </c>
      <c r="D3942">
        <v>7</v>
      </c>
      <c r="E3942">
        <v>1</v>
      </c>
      <c r="F3942" t="s">
        <v>66</v>
      </c>
      <c r="G3942" t="s">
        <v>25</v>
      </c>
      <c r="H3942" t="s">
        <v>26</v>
      </c>
      <c r="I3942" t="s">
        <v>142</v>
      </c>
      <c r="J3942" t="s">
        <v>28</v>
      </c>
      <c r="K3942" t="s">
        <v>29</v>
      </c>
      <c r="L3942" t="s">
        <v>35</v>
      </c>
      <c r="M3942">
        <v>0</v>
      </c>
      <c r="N3942">
        <v>0</v>
      </c>
      <c r="O3942" s="17" t="s">
        <v>968</v>
      </c>
      <c r="Q3942">
        <v>23</v>
      </c>
      <c r="R3942" t="s">
        <v>39</v>
      </c>
      <c r="T3942">
        <v>30</v>
      </c>
      <c r="W3942">
        <v>13.7</v>
      </c>
      <c r="X3942">
        <v>26.7</v>
      </c>
    </row>
    <row r="3943" spans="1:30" x14ac:dyDescent="0.2">
      <c r="A3943" s="3">
        <v>42558</v>
      </c>
      <c r="B3943" t="s">
        <v>23</v>
      </c>
      <c r="C3943">
        <v>402</v>
      </c>
      <c r="D3943">
        <v>4</v>
      </c>
      <c r="E3943">
        <v>2</v>
      </c>
      <c r="F3943" t="s">
        <v>33</v>
      </c>
      <c r="G3943" t="s">
        <v>25</v>
      </c>
      <c r="H3943" t="s">
        <v>26</v>
      </c>
      <c r="I3943" t="s">
        <v>142</v>
      </c>
      <c r="J3943" t="s">
        <v>34</v>
      </c>
      <c r="K3943" t="s">
        <v>29</v>
      </c>
      <c r="L3943" t="s">
        <v>30</v>
      </c>
      <c r="M3943">
        <v>0</v>
      </c>
      <c r="N3943">
        <v>1</v>
      </c>
      <c r="O3943" s="17">
        <v>50518</v>
      </c>
      <c r="Q3943">
        <f>36-11</f>
        <v>25</v>
      </c>
      <c r="R3943" t="s">
        <v>273</v>
      </c>
      <c r="S3943" t="s">
        <v>145</v>
      </c>
      <c r="T3943">
        <v>29</v>
      </c>
      <c r="W3943">
        <v>13.3</v>
      </c>
      <c r="X3943">
        <v>27.7</v>
      </c>
      <c r="Z3943" t="s">
        <v>32</v>
      </c>
      <c r="AB3943" t="s">
        <v>121</v>
      </c>
      <c r="AC3943" t="s">
        <v>254</v>
      </c>
    </row>
    <row r="3944" spans="1:30" x14ac:dyDescent="0.2">
      <c r="A3944" s="3">
        <v>42557</v>
      </c>
      <c r="B3944" t="s">
        <v>23</v>
      </c>
      <c r="C3944">
        <v>111</v>
      </c>
      <c r="D3944">
        <v>5</v>
      </c>
      <c r="E3944">
        <v>2</v>
      </c>
      <c r="F3944" t="s">
        <v>33</v>
      </c>
      <c r="G3944" t="s">
        <v>25</v>
      </c>
      <c r="H3944" t="s">
        <v>26</v>
      </c>
      <c r="I3944" t="s">
        <v>142</v>
      </c>
      <c r="J3944" t="s">
        <v>34</v>
      </c>
      <c r="K3944" t="s">
        <v>29</v>
      </c>
      <c r="L3944" t="s">
        <v>30</v>
      </c>
      <c r="M3944">
        <v>0</v>
      </c>
      <c r="N3944">
        <v>1</v>
      </c>
      <c r="O3944" s="17">
        <v>50555</v>
      </c>
      <c r="Q3944">
        <v>23</v>
      </c>
      <c r="R3944" t="s">
        <v>251</v>
      </c>
      <c r="S3944" t="s">
        <v>145</v>
      </c>
      <c r="T3944">
        <v>20</v>
      </c>
      <c r="W3944">
        <v>12.9</v>
      </c>
      <c r="X3944">
        <v>26.5</v>
      </c>
      <c r="Z3944" t="s">
        <v>32</v>
      </c>
      <c r="AB3944" t="s">
        <v>44</v>
      </c>
      <c r="AC3944" t="s">
        <v>122</v>
      </c>
    </row>
    <row r="3945" spans="1:30" x14ac:dyDescent="0.2">
      <c r="A3945" s="3">
        <v>42557</v>
      </c>
      <c r="B3945" t="s">
        <v>23</v>
      </c>
      <c r="C3945">
        <v>402</v>
      </c>
      <c r="D3945">
        <v>1</v>
      </c>
      <c r="E3945">
        <v>1</v>
      </c>
      <c r="F3945" t="s">
        <v>33</v>
      </c>
      <c r="G3945" t="s">
        <v>25</v>
      </c>
      <c r="H3945" t="s">
        <v>26</v>
      </c>
      <c r="I3945" t="s">
        <v>142</v>
      </c>
      <c r="J3945" t="s">
        <v>34</v>
      </c>
      <c r="K3945" t="s">
        <v>29</v>
      </c>
      <c r="L3945" t="s">
        <v>30</v>
      </c>
      <c r="M3945">
        <v>0</v>
      </c>
      <c r="N3945">
        <v>1</v>
      </c>
      <c r="O3945" s="17">
        <v>50560</v>
      </c>
      <c r="Q3945">
        <f>34-9</f>
        <v>25</v>
      </c>
      <c r="R3945" t="s">
        <v>83</v>
      </c>
      <c r="S3945" t="s">
        <v>145</v>
      </c>
      <c r="T3945">
        <v>29</v>
      </c>
      <c r="W3945">
        <v>12.1</v>
      </c>
      <c r="X3945">
        <v>25.8</v>
      </c>
      <c r="Z3945" t="s">
        <v>32</v>
      </c>
      <c r="AB3945" t="s">
        <v>44</v>
      </c>
      <c r="AC3945" t="s">
        <v>122</v>
      </c>
    </row>
    <row r="3946" spans="1:30" x14ac:dyDescent="0.2">
      <c r="A3946" s="3">
        <v>42535</v>
      </c>
      <c r="B3946" t="s">
        <v>23</v>
      </c>
      <c r="C3946">
        <v>503</v>
      </c>
      <c r="D3946">
        <v>8</v>
      </c>
      <c r="E3946">
        <v>2</v>
      </c>
      <c r="F3946" t="s">
        <v>24</v>
      </c>
      <c r="G3946" t="s">
        <v>25</v>
      </c>
      <c r="H3946" t="s">
        <v>26</v>
      </c>
      <c r="I3946" t="s">
        <v>142</v>
      </c>
      <c r="J3946" t="s">
        <v>45</v>
      </c>
      <c r="K3946" t="s">
        <v>187</v>
      </c>
      <c r="L3946" t="s">
        <v>35</v>
      </c>
      <c r="M3946">
        <v>1</v>
      </c>
      <c r="N3946">
        <v>0</v>
      </c>
      <c r="O3946" s="17">
        <v>50580</v>
      </c>
      <c r="Q3946">
        <v>24</v>
      </c>
      <c r="R3946" t="s">
        <v>63</v>
      </c>
      <c r="S3946" t="s">
        <v>32</v>
      </c>
      <c r="T3946">
        <v>29.5</v>
      </c>
      <c r="W3946">
        <v>12.2</v>
      </c>
      <c r="X3946">
        <v>30</v>
      </c>
      <c r="Z3946" t="s">
        <v>32</v>
      </c>
      <c r="AB3946" t="s">
        <v>44</v>
      </c>
      <c r="AC3946" t="s">
        <v>116</v>
      </c>
    </row>
    <row r="3947" spans="1:30" x14ac:dyDescent="0.2">
      <c r="A3947" s="3">
        <v>42556</v>
      </c>
      <c r="B3947" t="s">
        <v>23</v>
      </c>
      <c r="C3947">
        <v>203</v>
      </c>
      <c r="D3947">
        <v>4</v>
      </c>
      <c r="E3947">
        <v>2</v>
      </c>
      <c r="F3947" t="s">
        <v>24</v>
      </c>
      <c r="G3947" t="s">
        <v>25</v>
      </c>
      <c r="H3947" t="s">
        <v>26</v>
      </c>
      <c r="I3947" t="s">
        <v>142</v>
      </c>
      <c r="J3947" t="s">
        <v>34</v>
      </c>
      <c r="K3947" t="s">
        <v>29</v>
      </c>
      <c r="L3947" t="s">
        <v>30</v>
      </c>
      <c r="M3947">
        <v>0</v>
      </c>
      <c r="N3947">
        <v>1</v>
      </c>
      <c r="O3947" s="17">
        <v>50631</v>
      </c>
      <c r="Q3947">
        <v>21.5</v>
      </c>
      <c r="R3947" t="s">
        <v>75</v>
      </c>
      <c r="S3947" t="s">
        <v>145</v>
      </c>
      <c r="T3947">
        <v>28</v>
      </c>
      <c r="W3947">
        <v>12</v>
      </c>
      <c r="X3947">
        <v>27.5</v>
      </c>
      <c r="Z3947" t="s">
        <v>32</v>
      </c>
      <c r="AB3947" t="s">
        <v>44</v>
      </c>
      <c r="AC3947" t="s">
        <v>59</v>
      </c>
    </row>
    <row r="3948" spans="1:30" x14ac:dyDescent="0.2">
      <c r="A3948" s="3">
        <v>42557</v>
      </c>
      <c r="B3948" t="s">
        <v>23</v>
      </c>
      <c r="C3948">
        <v>203</v>
      </c>
      <c r="D3948">
        <v>7</v>
      </c>
      <c r="E3948">
        <v>2</v>
      </c>
      <c r="F3948" t="s">
        <v>24</v>
      </c>
      <c r="G3948" t="s">
        <v>25</v>
      </c>
      <c r="H3948" t="s">
        <v>26</v>
      </c>
      <c r="I3948" t="s">
        <v>142</v>
      </c>
      <c r="J3948" t="s">
        <v>28</v>
      </c>
      <c r="K3948" t="s">
        <v>29</v>
      </c>
      <c r="L3948" t="s">
        <v>30</v>
      </c>
      <c r="M3948">
        <v>0</v>
      </c>
      <c r="N3948">
        <v>0</v>
      </c>
      <c r="O3948" s="17">
        <v>50631</v>
      </c>
      <c r="Q3948">
        <f>33-9.5</f>
        <v>23.5</v>
      </c>
      <c r="R3948" t="s">
        <v>75</v>
      </c>
      <c r="S3948" t="s">
        <v>145</v>
      </c>
      <c r="T3948">
        <v>27</v>
      </c>
      <c r="W3948">
        <v>12.1</v>
      </c>
      <c r="X3948">
        <v>27.7</v>
      </c>
      <c r="Z3948" t="s">
        <v>32</v>
      </c>
      <c r="AB3948" t="s">
        <v>44</v>
      </c>
      <c r="AC3948" t="s">
        <v>122</v>
      </c>
    </row>
    <row r="3949" spans="1:30" x14ac:dyDescent="0.2">
      <c r="A3949" s="3">
        <v>42558</v>
      </c>
      <c r="B3949" t="s">
        <v>23</v>
      </c>
      <c r="C3949">
        <v>203</v>
      </c>
      <c r="D3949">
        <v>1</v>
      </c>
      <c r="E3949">
        <v>2</v>
      </c>
      <c r="F3949" t="s">
        <v>24</v>
      </c>
      <c r="G3949" t="s">
        <v>25</v>
      </c>
      <c r="H3949" t="s">
        <v>26</v>
      </c>
      <c r="I3949" t="s">
        <v>142</v>
      </c>
      <c r="J3949" t="s">
        <v>28</v>
      </c>
      <c r="K3949" t="s">
        <v>29</v>
      </c>
      <c r="L3949" t="s">
        <v>30</v>
      </c>
      <c r="M3949">
        <v>0</v>
      </c>
      <c r="N3949">
        <v>0</v>
      </c>
      <c r="O3949" s="17">
        <v>50631</v>
      </c>
      <c r="Q3949">
        <f>35-10.5</f>
        <v>24.5</v>
      </c>
      <c r="R3949" t="s">
        <v>31</v>
      </c>
      <c r="S3949" t="s">
        <v>32</v>
      </c>
      <c r="T3949">
        <v>28</v>
      </c>
      <c r="W3949">
        <v>12.7</v>
      </c>
      <c r="X3949">
        <v>29.8</v>
      </c>
      <c r="Z3949" t="s">
        <v>32</v>
      </c>
      <c r="AB3949" t="s">
        <v>121</v>
      </c>
      <c r="AC3949" t="s">
        <v>254</v>
      </c>
    </row>
    <row r="3950" spans="1:30" x14ac:dyDescent="0.2">
      <c r="A3950" s="3">
        <v>42556</v>
      </c>
      <c r="B3950" t="s">
        <v>23</v>
      </c>
      <c r="C3950">
        <v>203</v>
      </c>
      <c r="D3950">
        <v>8</v>
      </c>
      <c r="E3950">
        <v>2</v>
      </c>
      <c r="F3950" t="s">
        <v>24</v>
      </c>
      <c r="G3950" t="s">
        <v>25</v>
      </c>
      <c r="H3950" t="s">
        <v>26</v>
      </c>
      <c r="I3950" t="s">
        <v>142</v>
      </c>
      <c r="J3950" t="s">
        <v>34</v>
      </c>
      <c r="K3950" t="s">
        <v>29</v>
      </c>
      <c r="M3950">
        <v>0</v>
      </c>
      <c r="N3950">
        <v>1</v>
      </c>
      <c r="O3950" s="17">
        <v>50635</v>
      </c>
      <c r="Q3950">
        <f>31-9.5</f>
        <v>21.5</v>
      </c>
      <c r="Z3950" t="s">
        <v>32</v>
      </c>
      <c r="AB3950" t="s">
        <v>44</v>
      </c>
      <c r="AC3950" t="s">
        <v>59</v>
      </c>
    </row>
    <row r="3951" spans="1:30" x14ac:dyDescent="0.2">
      <c r="A3951" s="3">
        <v>42558</v>
      </c>
      <c r="B3951" t="s">
        <v>23</v>
      </c>
      <c r="C3951">
        <v>203</v>
      </c>
      <c r="D3951">
        <v>10</v>
      </c>
      <c r="E3951">
        <v>2</v>
      </c>
      <c r="F3951" t="s">
        <v>24</v>
      </c>
      <c r="G3951" t="s">
        <v>25</v>
      </c>
      <c r="H3951" t="s">
        <v>26</v>
      </c>
      <c r="I3951" t="s">
        <v>142</v>
      </c>
      <c r="J3951" t="s">
        <v>28</v>
      </c>
      <c r="K3951" t="s">
        <v>29</v>
      </c>
      <c r="L3951" t="s">
        <v>35</v>
      </c>
      <c r="M3951">
        <v>0</v>
      </c>
      <c r="N3951">
        <v>0</v>
      </c>
      <c r="O3951" s="17">
        <v>50635</v>
      </c>
      <c r="Q3951">
        <v>22</v>
      </c>
      <c r="R3951" t="s">
        <v>39</v>
      </c>
      <c r="T3951">
        <v>28</v>
      </c>
      <c r="W3951">
        <v>13.3</v>
      </c>
      <c r="X3951">
        <v>27.3</v>
      </c>
      <c r="Z3951" t="s">
        <v>32</v>
      </c>
      <c r="AB3951" t="s">
        <v>149</v>
      </c>
      <c r="AC3951" t="s">
        <v>254</v>
      </c>
    </row>
    <row r="3952" spans="1:30" x14ac:dyDescent="0.2">
      <c r="A3952" s="3">
        <v>42558</v>
      </c>
      <c r="B3952" t="s">
        <v>23</v>
      </c>
      <c r="C3952">
        <v>203</v>
      </c>
      <c r="D3952">
        <v>2</v>
      </c>
      <c r="E3952">
        <v>1</v>
      </c>
      <c r="F3952" t="s">
        <v>24</v>
      </c>
      <c r="G3952" t="s">
        <v>25</v>
      </c>
      <c r="H3952" t="s">
        <v>26</v>
      </c>
      <c r="I3952" t="s">
        <v>142</v>
      </c>
      <c r="J3952" t="s">
        <v>34</v>
      </c>
      <c r="K3952" t="s">
        <v>29</v>
      </c>
      <c r="L3952" t="s">
        <v>35</v>
      </c>
      <c r="M3952">
        <v>0</v>
      </c>
      <c r="N3952">
        <v>1</v>
      </c>
      <c r="O3952" s="17">
        <v>50657</v>
      </c>
      <c r="Q3952">
        <v>26</v>
      </c>
      <c r="R3952" t="s">
        <v>39</v>
      </c>
      <c r="T3952">
        <v>29</v>
      </c>
      <c r="W3952">
        <v>13.7</v>
      </c>
      <c r="X3952">
        <v>28.2</v>
      </c>
      <c r="Z3952" t="s">
        <v>32</v>
      </c>
      <c r="AB3952" t="s">
        <v>121</v>
      </c>
      <c r="AC3952" t="s">
        <v>254</v>
      </c>
    </row>
    <row r="3953" spans="1:30" x14ac:dyDescent="0.2">
      <c r="A3953" s="3">
        <v>42558</v>
      </c>
      <c r="B3953" t="s">
        <v>23</v>
      </c>
      <c r="C3953">
        <v>203</v>
      </c>
      <c r="D3953">
        <v>3</v>
      </c>
      <c r="E3953">
        <v>1</v>
      </c>
      <c r="F3953" t="s">
        <v>24</v>
      </c>
      <c r="G3953" t="s">
        <v>25</v>
      </c>
      <c r="H3953" t="s">
        <v>26</v>
      </c>
      <c r="I3953" t="s">
        <v>142</v>
      </c>
      <c r="J3953" t="s">
        <v>34</v>
      </c>
      <c r="K3953" t="s">
        <v>29</v>
      </c>
      <c r="L3953" t="s">
        <v>30</v>
      </c>
      <c r="M3953">
        <v>0</v>
      </c>
      <c r="N3953">
        <v>1</v>
      </c>
      <c r="O3953" s="17">
        <v>50676</v>
      </c>
      <c r="Q3953">
        <f>37-11.5</f>
        <v>25.5</v>
      </c>
      <c r="R3953" t="s">
        <v>39</v>
      </c>
      <c r="T3953">
        <v>28</v>
      </c>
      <c r="W3953">
        <v>13.2</v>
      </c>
      <c r="X3953">
        <v>29.9</v>
      </c>
      <c r="Z3953" t="s">
        <v>32</v>
      </c>
      <c r="AB3953" t="s">
        <v>121</v>
      </c>
      <c r="AC3953" t="s">
        <v>254</v>
      </c>
    </row>
    <row r="3954" spans="1:30" x14ac:dyDescent="0.2">
      <c r="A3954" s="3">
        <v>42551</v>
      </c>
      <c r="B3954" t="s">
        <v>23</v>
      </c>
      <c r="C3954">
        <v>803</v>
      </c>
      <c r="D3954">
        <v>8</v>
      </c>
      <c r="E3954">
        <v>2</v>
      </c>
      <c r="F3954" t="s">
        <v>24</v>
      </c>
      <c r="G3954" t="s">
        <v>25</v>
      </c>
      <c r="H3954" t="s">
        <v>26</v>
      </c>
      <c r="I3954" t="s">
        <v>142</v>
      </c>
      <c r="J3954" t="s">
        <v>28</v>
      </c>
      <c r="K3954" t="s">
        <v>29</v>
      </c>
      <c r="L3954" t="s">
        <v>35</v>
      </c>
      <c r="M3954">
        <v>0</v>
      </c>
      <c r="N3954">
        <v>0</v>
      </c>
      <c r="O3954" s="17">
        <v>50684</v>
      </c>
      <c r="Q3954">
        <f>31.5-12</f>
        <v>19.5</v>
      </c>
      <c r="R3954" t="s">
        <v>39</v>
      </c>
      <c r="T3954">
        <v>28</v>
      </c>
      <c r="W3954">
        <v>12.5</v>
      </c>
      <c r="X3954">
        <v>26.7</v>
      </c>
      <c r="Z3954" t="s">
        <v>32</v>
      </c>
      <c r="AB3954" t="s">
        <v>44</v>
      </c>
      <c r="AC3954" t="s">
        <v>116</v>
      </c>
    </row>
    <row r="3955" spans="1:30" x14ac:dyDescent="0.2">
      <c r="A3955" s="3">
        <v>42563</v>
      </c>
      <c r="B3955" t="s">
        <v>23</v>
      </c>
      <c r="C3955">
        <v>503</v>
      </c>
      <c r="D3955">
        <v>6</v>
      </c>
      <c r="E3955">
        <v>2</v>
      </c>
      <c r="F3955" t="s">
        <v>24</v>
      </c>
      <c r="G3955" t="s">
        <v>25</v>
      </c>
      <c r="H3955" t="s">
        <v>26</v>
      </c>
      <c r="I3955" t="s">
        <v>142</v>
      </c>
      <c r="J3955" t="s">
        <v>34</v>
      </c>
      <c r="K3955" t="s">
        <v>29</v>
      </c>
      <c r="L3955" t="s">
        <v>35</v>
      </c>
      <c r="M3955">
        <v>0</v>
      </c>
      <c r="N3955">
        <v>1</v>
      </c>
      <c r="O3955" s="17">
        <v>50731</v>
      </c>
      <c r="Q3955">
        <f>31-9</f>
        <v>22</v>
      </c>
      <c r="R3955" t="s">
        <v>39</v>
      </c>
      <c r="T3955">
        <v>29</v>
      </c>
      <c r="W3955">
        <v>12.5</v>
      </c>
      <c r="X3955">
        <v>28.8</v>
      </c>
      <c r="Z3955" t="s">
        <v>32</v>
      </c>
      <c r="AB3955" t="s">
        <v>53</v>
      </c>
      <c r="AC3955" t="s">
        <v>122</v>
      </c>
    </row>
    <row r="3956" spans="1:30" x14ac:dyDescent="0.2">
      <c r="A3956" s="3">
        <v>42592</v>
      </c>
      <c r="B3956" t="s">
        <v>23</v>
      </c>
      <c r="C3956">
        <v>803</v>
      </c>
      <c r="D3956">
        <v>9</v>
      </c>
      <c r="E3956">
        <v>2</v>
      </c>
      <c r="F3956" t="s">
        <v>64</v>
      </c>
      <c r="G3956" t="s">
        <v>25</v>
      </c>
      <c r="H3956" t="s">
        <v>26</v>
      </c>
      <c r="I3956" t="s">
        <v>142</v>
      </c>
      <c r="J3956" t="s">
        <v>28</v>
      </c>
      <c r="K3956" t="s">
        <v>29</v>
      </c>
      <c r="L3956" t="s">
        <v>30</v>
      </c>
      <c r="M3956">
        <v>0</v>
      </c>
      <c r="N3956">
        <v>0</v>
      </c>
      <c r="O3956" s="17" t="s">
        <v>1460</v>
      </c>
      <c r="Q3956">
        <f>46-27</f>
        <v>19</v>
      </c>
      <c r="R3956" t="s">
        <v>75</v>
      </c>
      <c r="S3956" t="s">
        <v>145</v>
      </c>
      <c r="T3956">
        <v>29</v>
      </c>
      <c r="W3956">
        <v>12.5</v>
      </c>
      <c r="X3956">
        <v>25.9</v>
      </c>
      <c r="Z3956" t="s">
        <v>145</v>
      </c>
      <c r="AA3956" t="s">
        <v>260</v>
      </c>
      <c r="AB3956" t="s">
        <v>53</v>
      </c>
      <c r="AC3956" t="s">
        <v>59</v>
      </c>
    </row>
    <row r="3957" spans="1:30" x14ac:dyDescent="0.2">
      <c r="A3957" s="3">
        <v>42565</v>
      </c>
      <c r="B3957" t="s">
        <v>23</v>
      </c>
      <c r="C3957">
        <v>803</v>
      </c>
      <c r="D3957">
        <v>8</v>
      </c>
      <c r="E3957">
        <v>2</v>
      </c>
      <c r="F3957" t="s">
        <v>33</v>
      </c>
      <c r="G3957" t="s">
        <v>25</v>
      </c>
      <c r="H3957" t="s">
        <v>26</v>
      </c>
      <c r="I3957" t="s">
        <v>142</v>
      </c>
      <c r="J3957" t="s">
        <v>34</v>
      </c>
      <c r="K3957" t="s">
        <v>29</v>
      </c>
      <c r="L3957" t="s">
        <v>30</v>
      </c>
      <c r="M3957">
        <v>0</v>
      </c>
      <c r="N3957">
        <v>1</v>
      </c>
      <c r="O3957" s="17">
        <v>50751</v>
      </c>
      <c r="Q3957">
        <f>36-9.5</f>
        <v>26.5</v>
      </c>
      <c r="R3957" t="s">
        <v>273</v>
      </c>
      <c r="S3957" t="s">
        <v>145</v>
      </c>
      <c r="T3957">
        <v>29</v>
      </c>
      <c r="W3957">
        <v>12.9</v>
      </c>
      <c r="X3957">
        <v>37.5</v>
      </c>
      <c r="Z3957" t="s">
        <v>32</v>
      </c>
      <c r="AB3957" t="s">
        <v>121</v>
      </c>
      <c r="AC3957" t="s">
        <v>254</v>
      </c>
    </row>
    <row r="3958" spans="1:30" x14ac:dyDescent="0.2">
      <c r="A3958" s="3">
        <v>42575</v>
      </c>
      <c r="B3958" t="s">
        <v>23</v>
      </c>
      <c r="C3958">
        <v>803</v>
      </c>
      <c r="D3958">
        <v>4</v>
      </c>
      <c r="E3958">
        <v>1</v>
      </c>
      <c r="F3958" t="s">
        <v>24</v>
      </c>
      <c r="G3958" t="s">
        <v>25</v>
      </c>
      <c r="H3958" t="s">
        <v>26</v>
      </c>
      <c r="I3958" t="s">
        <v>142</v>
      </c>
      <c r="J3958" t="s">
        <v>28</v>
      </c>
      <c r="K3958" t="s">
        <v>29</v>
      </c>
      <c r="L3958" t="s">
        <v>30</v>
      </c>
      <c r="M3958">
        <v>0</v>
      </c>
      <c r="N3958">
        <v>0</v>
      </c>
      <c r="O3958" s="17">
        <v>50751</v>
      </c>
      <c r="Q3958">
        <f>44-16</f>
        <v>28</v>
      </c>
      <c r="R3958" t="s">
        <v>75</v>
      </c>
      <c r="S3958" t="s">
        <v>145</v>
      </c>
      <c r="T3958">
        <v>28</v>
      </c>
      <c r="W3958">
        <v>12.9</v>
      </c>
      <c r="X3958">
        <v>28.1</v>
      </c>
      <c r="Z3958" t="s">
        <v>32</v>
      </c>
      <c r="AB3958" t="s">
        <v>582</v>
      </c>
      <c r="AC3958" t="s">
        <v>59</v>
      </c>
    </row>
    <row r="3959" spans="1:30" x14ac:dyDescent="0.2">
      <c r="A3959" s="3">
        <v>42576</v>
      </c>
      <c r="B3959" t="s">
        <v>23</v>
      </c>
      <c r="C3959">
        <v>803</v>
      </c>
      <c r="D3959">
        <v>3</v>
      </c>
      <c r="E3959">
        <v>2</v>
      </c>
      <c r="F3959" t="s">
        <v>66</v>
      </c>
      <c r="G3959" t="s">
        <v>25</v>
      </c>
      <c r="H3959" t="s">
        <v>26</v>
      </c>
      <c r="I3959" t="s">
        <v>142</v>
      </c>
      <c r="J3959" t="s">
        <v>28</v>
      </c>
      <c r="K3959" t="s">
        <v>29</v>
      </c>
      <c r="L3959" t="s">
        <v>30</v>
      </c>
      <c r="M3959">
        <v>0</v>
      </c>
      <c r="N3959">
        <v>0</v>
      </c>
      <c r="O3959" s="17">
        <v>50751</v>
      </c>
      <c r="Q3959">
        <f>34-9</f>
        <v>25</v>
      </c>
      <c r="R3959" t="s">
        <v>75</v>
      </c>
      <c r="S3959" t="s">
        <v>145</v>
      </c>
      <c r="T3959">
        <v>28</v>
      </c>
      <c r="W3959">
        <v>13.2</v>
      </c>
      <c r="X3959">
        <v>29.3</v>
      </c>
      <c r="Z3959" t="s">
        <v>32</v>
      </c>
      <c r="AB3959" t="s">
        <v>121</v>
      </c>
      <c r="AC3959" t="s">
        <v>122</v>
      </c>
    </row>
    <row r="3960" spans="1:30" x14ac:dyDescent="0.2">
      <c r="A3960" s="3">
        <v>42565</v>
      </c>
      <c r="B3960" t="s">
        <v>23</v>
      </c>
      <c r="C3960">
        <v>803</v>
      </c>
      <c r="D3960">
        <v>7</v>
      </c>
      <c r="E3960">
        <v>1</v>
      </c>
      <c r="F3960" t="s">
        <v>33</v>
      </c>
      <c r="G3960" t="s">
        <v>25</v>
      </c>
      <c r="H3960" t="s">
        <v>26</v>
      </c>
      <c r="I3960" t="s">
        <v>142</v>
      </c>
      <c r="J3960" t="s">
        <v>34</v>
      </c>
      <c r="K3960" t="s">
        <v>29</v>
      </c>
      <c r="L3960" t="s">
        <v>30</v>
      </c>
      <c r="M3960">
        <v>0</v>
      </c>
      <c r="N3960">
        <v>1</v>
      </c>
      <c r="O3960" s="17">
        <v>50752</v>
      </c>
      <c r="Q3960">
        <v>23</v>
      </c>
      <c r="R3960" t="s">
        <v>273</v>
      </c>
      <c r="S3960" t="s">
        <v>145</v>
      </c>
      <c r="Z3960" t="s">
        <v>32</v>
      </c>
      <c r="AB3960" t="s">
        <v>121</v>
      </c>
      <c r="AC3960" t="s">
        <v>254</v>
      </c>
    </row>
    <row r="3961" spans="1:30" x14ac:dyDescent="0.2">
      <c r="A3961" s="3">
        <v>42575</v>
      </c>
      <c r="B3961" t="s">
        <v>23</v>
      </c>
      <c r="C3961">
        <v>803</v>
      </c>
      <c r="D3961">
        <v>6</v>
      </c>
      <c r="E3961">
        <v>1</v>
      </c>
      <c r="F3961" t="s">
        <v>24</v>
      </c>
      <c r="G3961" t="s">
        <v>25</v>
      </c>
      <c r="H3961" t="s">
        <v>26</v>
      </c>
      <c r="I3961" t="s">
        <v>142</v>
      </c>
      <c r="J3961" t="s">
        <v>28</v>
      </c>
      <c r="K3961" t="s">
        <v>29</v>
      </c>
      <c r="L3961" t="s">
        <v>30</v>
      </c>
      <c r="M3961">
        <v>0</v>
      </c>
      <c r="N3961">
        <v>0</v>
      </c>
      <c r="O3961" s="17">
        <v>50752</v>
      </c>
      <c r="Q3961">
        <f>36-16.5</f>
        <v>19.5</v>
      </c>
      <c r="R3961" t="s">
        <v>75</v>
      </c>
      <c r="S3961" t="s">
        <v>145</v>
      </c>
      <c r="T3961">
        <v>28</v>
      </c>
      <c r="W3961">
        <v>12.7</v>
      </c>
      <c r="X3961">
        <v>25.85</v>
      </c>
      <c r="Z3961" t="s">
        <v>32</v>
      </c>
      <c r="AB3961" t="s">
        <v>582</v>
      </c>
      <c r="AC3961" t="s">
        <v>59</v>
      </c>
    </row>
    <row r="3962" spans="1:30" x14ac:dyDescent="0.2">
      <c r="A3962" s="3">
        <v>42604</v>
      </c>
      <c r="B3962" t="s">
        <v>23</v>
      </c>
      <c r="C3962">
        <v>803</v>
      </c>
      <c r="D3962">
        <v>9</v>
      </c>
      <c r="E3962">
        <v>2</v>
      </c>
      <c r="F3962" t="s">
        <v>24</v>
      </c>
      <c r="G3962" t="s">
        <v>25</v>
      </c>
      <c r="H3962" t="s">
        <v>26</v>
      </c>
      <c r="I3962" t="s">
        <v>142</v>
      </c>
      <c r="J3962" t="s">
        <v>28</v>
      </c>
      <c r="K3962" t="s">
        <v>29</v>
      </c>
      <c r="L3962" t="s">
        <v>30</v>
      </c>
      <c r="M3962">
        <v>0</v>
      </c>
      <c r="N3962">
        <v>0</v>
      </c>
      <c r="O3962" s="17" t="s">
        <v>1380</v>
      </c>
      <c r="Q3962">
        <f>38-14</f>
        <v>24</v>
      </c>
      <c r="R3962" t="s">
        <v>31</v>
      </c>
      <c r="S3962" t="s">
        <v>32</v>
      </c>
      <c r="T3962">
        <v>29</v>
      </c>
      <c r="W3962">
        <v>13.1</v>
      </c>
      <c r="X3962">
        <v>25.8</v>
      </c>
      <c r="Z3962" t="s">
        <v>145</v>
      </c>
      <c r="AB3962" t="s">
        <v>582</v>
      </c>
      <c r="AC3962" t="s">
        <v>116</v>
      </c>
      <c r="AD3962" t="s">
        <v>1883</v>
      </c>
    </row>
    <row r="3963" spans="1:30" x14ac:dyDescent="0.2">
      <c r="A3963" s="3">
        <v>42606</v>
      </c>
      <c r="B3963" t="s">
        <v>23</v>
      </c>
      <c r="C3963">
        <v>803</v>
      </c>
      <c r="D3963">
        <v>5</v>
      </c>
      <c r="E3963">
        <v>1</v>
      </c>
      <c r="F3963" t="s">
        <v>24</v>
      </c>
      <c r="G3963" t="s">
        <v>25</v>
      </c>
      <c r="H3963" t="s">
        <v>26</v>
      </c>
      <c r="I3963" t="s">
        <v>142</v>
      </c>
      <c r="J3963" t="s">
        <v>28</v>
      </c>
      <c r="K3963" t="s">
        <v>29</v>
      </c>
      <c r="L3963" t="s">
        <v>30</v>
      </c>
      <c r="M3963">
        <v>0</v>
      </c>
      <c r="N3963">
        <v>0</v>
      </c>
      <c r="O3963" s="17" t="s">
        <v>1380</v>
      </c>
      <c r="Q3963">
        <f>36-16</f>
        <v>20</v>
      </c>
      <c r="R3963" t="s">
        <v>63</v>
      </c>
      <c r="S3963" t="s">
        <v>32</v>
      </c>
      <c r="T3963">
        <v>28</v>
      </c>
      <c r="W3963">
        <v>13.05</v>
      </c>
      <c r="X3963">
        <v>25.2</v>
      </c>
      <c r="AB3963" t="s">
        <v>44</v>
      </c>
      <c r="AC3963" t="s">
        <v>59</v>
      </c>
    </row>
    <row r="3964" spans="1:30" x14ac:dyDescent="0.2">
      <c r="A3964" s="3">
        <v>42571</v>
      </c>
      <c r="B3964" t="s">
        <v>23</v>
      </c>
      <c r="C3964">
        <v>112</v>
      </c>
      <c r="D3964">
        <v>9</v>
      </c>
      <c r="E3964">
        <v>2</v>
      </c>
      <c r="F3964" t="s">
        <v>24</v>
      </c>
      <c r="G3964" t="s">
        <v>25</v>
      </c>
      <c r="H3964" t="s">
        <v>26</v>
      </c>
      <c r="I3964" t="s">
        <v>142</v>
      </c>
      <c r="J3964" t="s">
        <v>34</v>
      </c>
      <c r="K3964" t="s">
        <v>123</v>
      </c>
      <c r="L3964" t="s">
        <v>35</v>
      </c>
      <c r="M3964">
        <v>0</v>
      </c>
      <c r="N3964">
        <v>1</v>
      </c>
      <c r="O3964" s="17">
        <v>50805</v>
      </c>
      <c r="Q3964">
        <f>29.5-11</f>
        <v>18.5</v>
      </c>
      <c r="R3964" t="s">
        <v>39</v>
      </c>
      <c r="T3964">
        <v>27</v>
      </c>
      <c r="W3964">
        <v>12.4</v>
      </c>
      <c r="X3964">
        <v>26.3</v>
      </c>
      <c r="Z3964" t="s">
        <v>32</v>
      </c>
      <c r="AB3964" t="s">
        <v>44</v>
      </c>
      <c r="AC3964" t="s">
        <v>59</v>
      </c>
    </row>
    <row r="3965" spans="1:30" x14ac:dyDescent="0.2">
      <c r="A3965" s="3">
        <v>42572</v>
      </c>
      <c r="B3965" t="s">
        <v>23</v>
      </c>
      <c r="C3965">
        <v>112</v>
      </c>
      <c r="D3965">
        <v>4</v>
      </c>
      <c r="E3965">
        <v>1</v>
      </c>
      <c r="F3965" t="s">
        <v>24</v>
      </c>
      <c r="G3965" t="s">
        <v>25</v>
      </c>
      <c r="H3965" t="s">
        <v>26</v>
      </c>
      <c r="I3965" t="s">
        <v>142</v>
      </c>
      <c r="J3965" t="s">
        <v>34</v>
      </c>
      <c r="K3965" t="s">
        <v>29</v>
      </c>
      <c r="L3965" t="s">
        <v>30</v>
      </c>
      <c r="M3965">
        <v>0</v>
      </c>
      <c r="N3965">
        <v>1</v>
      </c>
      <c r="O3965" s="17">
        <v>50817</v>
      </c>
      <c r="Q3965">
        <f>35-19.5</f>
        <v>15.5</v>
      </c>
      <c r="R3965" t="s">
        <v>94</v>
      </c>
      <c r="S3965" t="s">
        <v>32</v>
      </c>
      <c r="T3965">
        <v>28</v>
      </c>
      <c r="W3965">
        <v>13.4</v>
      </c>
      <c r="X3965">
        <v>25.7</v>
      </c>
      <c r="Z3965" t="s">
        <v>32</v>
      </c>
      <c r="AB3965" t="s">
        <v>121</v>
      </c>
      <c r="AC3965" t="s">
        <v>122</v>
      </c>
    </row>
    <row r="3966" spans="1:30" x14ac:dyDescent="0.2">
      <c r="A3966" s="3">
        <v>42584</v>
      </c>
      <c r="B3966" t="s">
        <v>23</v>
      </c>
      <c r="C3966">
        <v>112</v>
      </c>
      <c r="D3966">
        <v>3</v>
      </c>
      <c r="E3966">
        <v>2</v>
      </c>
      <c r="F3966" t="s">
        <v>33</v>
      </c>
      <c r="G3966" t="s">
        <v>25</v>
      </c>
      <c r="H3966" t="s">
        <v>26</v>
      </c>
      <c r="I3966" t="s">
        <v>142</v>
      </c>
      <c r="J3966" t="s">
        <v>28</v>
      </c>
      <c r="K3966" t="s">
        <v>29</v>
      </c>
      <c r="L3966" t="s">
        <v>30</v>
      </c>
      <c r="M3966">
        <v>0</v>
      </c>
      <c r="N3966">
        <v>0</v>
      </c>
      <c r="O3966" s="17">
        <v>50817</v>
      </c>
      <c r="Q3966">
        <f>34.5-10</f>
        <v>24.5</v>
      </c>
      <c r="R3966" t="s">
        <v>273</v>
      </c>
      <c r="S3966" t="s">
        <v>145</v>
      </c>
      <c r="T3966">
        <v>29</v>
      </c>
      <c r="W3966">
        <v>13</v>
      </c>
      <c r="X3966">
        <v>26.7</v>
      </c>
      <c r="Z3966" t="s">
        <v>145</v>
      </c>
      <c r="AA3966" t="s">
        <v>260</v>
      </c>
      <c r="AB3966" t="s">
        <v>121</v>
      </c>
      <c r="AC3966" t="s">
        <v>59</v>
      </c>
    </row>
    <row r="3967" spans="1:30" x14ac:dyDescent="0.2">
      <c r="A3967" s="3">
        <v>42586</v>
      </c>
      <c r="B3967" t="s">
        <v>23</v>
      </c>
      <c r="C3967">
        <v>112</v>
      </c>
      <c r="D3967">
        <v>1</v>
      </c>
      <c r="E3967">
        <v>2</v>
      </c>
      <c r="F3967" t="s">
        <v>64</v>
      </c>
      <c r="G3967" t="s">
        <v>25</v>
      </c>
      <c r="H3967" t="s">
        <v>26</v>
      </c>
      <c r="I3967" t="s">
        <v>142</v>
      </c>
      <c r="J3967" t="s">
        <v>28</v>
      </c>
      <c r="K3967" t="s">
        <v>29</v>
      </c>
      <c r="L3967" t="s">
        <v>30</v>
      </c>
      <c r="M3967">
        <v>0</v>
      </c>
      <c r="N3967">
        <v>0</v>
      </c>
      <c r="O3967" s="17" t="s">
        <v>958</v>
      </c>
      <c r="Q3967">
        <f>37-14</f>
        <v>23</v>
      </c>
      <c r="R3967" t="s">
        <v>83</v>
      </c>
      <c r="S3967" t="s">
        <v>145</v>
      </c>
      <c r="T3967">
        <v>29</v>
      </c>
      <c r="W3967">
        <v>12.8</v>
      </c>
      <c r="X3967">
        <v>26.6</v>
      </c>
      <c r="Z3967" t="s">
        <v>145</v>
      </c>
      <c r="AA3967" t="s">
        <v>260</v>
      </c>
      <c r="AB3967" t="s">
        <v>53</v>
      </c>
      <c r="AC3967" t="s">
        <v>122</v>
      </c>
    </row>
    <row r="3968" spans="1:30" x14ac:dyDescent="0.2">
      <c r="A3968" s="3">
        <v>42588</v>
      </c>
      <c r="B3968" t="s">
        <v>23</v>
      </c>
      <c r="C3968">
        <v>112</v>
      </c>
      <c r="D3968">
        <v>8</v>
      </c>
      <c r="E3968">
        <v>1</v>
      </c>
      <c r="F3968" t="s">
        <v>24</v>
      </c>
      <c r="G3968" t="s">
        <v>25</v>
      </c>
      <c r="H3968" t="s">
        <v>26</v>
      </c>
      <c r="I3968" t="s">
        <v>142</v>
      </c>
      <c r="J3968" t="s">
        <v>28</v>
      </c>
      <c r="K3968" t="s">
        <v>29</v>
      </c>
      <c r="L3968" t="s">
        <v>30</v>
      </c>
      <c r="M3968">
        <v>0</v>
      </c>
      <c r="N3968">
        <v>0</v>
      </c>
      <c r="O3968" s="17" t="s">
        <v>958</v>
      </c>
      <c r="Q3968">
        <f>35-13</f>
        <v>22</v>
      </c>
      <c r="R3968" t="s">
        <v>75</v>
      </c>
      <c r="S3968" t="s">
        <v>145</v>
      </c>
      <c r="T3968">
        <v>27</v>
      </c>
      <c r="W3968">
        <v>13.15</v>
      </c>
      <c r="X3968">
        <v>25.4</v>
      </c>
      <c r="Z3968" t="s">
        <v>145</v>
      </c>
      <c r="AB3968" t="s">
        <v>121</v>
      </c>
      <c r="AC3968" t="s">
        <v>59</v>
      </c>
    </row>
    <row r="3969" spans="1:30" x14ac:dyDescent="0.2">
      <c r="A3969" s="3">
        <v>42598</v>
      </c>
      <c r="B3969" t="s">
        <v>23</v>
      </c>
      <c r="C3969">
        <v>112</v>
      </c>
      <c r="D3969">
        <v>4</v>
      </c>
      <c r="E3969">
        <v>1</v>
      </c>
      <c r="F3969" t="s">
        <v>24</v>
      </c>
      <c r="G3969" t="s">
        <v>25</v>
      </c>
      <c r="H3969" t="s">
        <v>26</v>
      </c>
      <c r="I3969" t="s">
        <v>142</v>
      </c>
      <c r="J3969" t="s">
        <v>28</v>
      </c>
      <c r="K3969" t="s">
        <v>29</v>
      </c>
      <c r="L3969" t="s">
        <v>30</v>
      </c>
      <c r="M3969">
        <v>0</v>
      </c>
      <c r="N3969">
        <v>0</v>
      </c>
      <c r="O3969" s="17" t="s">
        <v>958</v>
      </c>
      <c r="Q3969">
        <f>42-15</f>
        <v>27</v>
      </c>
      <c r="R3969" t="s">
        <v>75</v>
      </c>
      <c r="S3969" t="s">
        <v>145</v>
      </c>
      <c r="T3969">
        <v>28.5</v>
      </c>
      <c r="W3969">
        <v>12.7</v>
      </c>
      <c r="AB3969" t="s">
        <v>1589</v>
      </c>
      <c r="AC3969" t="s">
        <v>122</v>
      </c>
      <c r="AD3969" t="s">
        <v>1794</v>
      </c>
    </row>
    <row r="3970" spans="1:30" x14ac:dyDescent="0.2">
      <c r="A3970" s="3">
        <v>42584</v>
      </c>
      <c r="B3970" t="s">
        <v>23</v>
      </c>
      <c r="C3970">
        <v>402</v>
      </c>
      <c r="D3970">
        <v>6</v>
      </c>
      <c r="E3970">
        <v>1</v>
      </c>
      <c r="F3970" t="s">
        <v>33</v>
      </c>
      <c r="G3970" t="s">
        <v>25</v>
      </c>
      <c r="H3970" t="s">
        <v>26</v>
      </c>
      <c r="I3970" t="s">
        <v>142</v>
      </c>
      <c r="J3970" t="s">
        <v>34</v>
      </c>
      <c r="K3970" t="s">
        <v>29</v>
      </c>
      <c r="M3970">
        <v>0</v>
      </c>
      <c r="N3970">
        <v>1</v>
      </c>
      <c r="O3970" s="17">
        <v>50827</v>
      </c>
      <c r="AD3970" t="s">
        <v>845</v>
      </c>
    </row>
    <row r="3971" spans="1:30" x14ac:dyDescent="0.2">
      <c r="A3971" s="3">
        <v>42572</v>
      </c>
      <c r="B3971" t="s">
        <v>23</v>
      </c>
      <c r="C3971">
        <v>203</v>
      </c>
      <c r="D3971">
        <v>5</v>
      </c>
      <c r="E3971">
        <v>2</v>
      </c>
      <c r="F3971" t="s">
        <v>33</v>
      </c>
      <c r="G3971" t="s">
        <v>25</v>
      </c>
      <c r="H3971" t="s">
        <v>26</v>
      </c>
      <c r="I3971" t="s">
        <v>142</v>
      </c>
      <c r="J3971" t="s">
        <v>34</v>
      </c>
      <c r="K3971" t="s">
        <v>29</v>
      </c>
      <c r="L3971" t="s">
        <v>30</v>
      </c>
      <c r="M3971">
        <v>0</v>
      </c>
      <c r="N3971">
        <v>1</v>
      </c>
      <c r="O3971" s="17">
        <v>50837</v>
      </c>
      <c r="Q3971">
        <f>34-9.5</f>
        <v>24.5</v>
      </c>
      <c r="R3971" t="s">
        <v>273</v>
      </c>
      <c r="S3971" t="s">
        <v>145</v>
      </c>
      <c r="T3971">
        <v>30</v>
      </c>
      <c r="Z3971" t="s">
        <v>32</v>
      </c>
      <c r="AB3971" t="s">
        <v>121</v>
      </c>
      <c r="AC3971" t="s">
        <v>59</v>
      </c>
    </row>
    <row r="3972" spans="1:30" x14ac:dyDescent="0.2">
      <c r="A3972" s="3">
        <v>42599</v>
      </c>
      <c r="B3972" t="s">
        <v>23</v>
      </c>
      <c r="C3972">
        <v>203</v>
      </c>
      <c r="D3972">
        <v>1</v>
      </c>
      <c r="E3972">
        <v>1</v>
      </c>
      <c r="F3972" t="s">
        <v>64</v>
      </c>
      <c r="G3972" t="s">
        <v>25</v>
      </c>
      <c r="H3972" t="s">
        <v>26</v>
      </c>
      <c r="I3972" t="s">
        <v>142</v>
      </c>
      <c r="J3972" t="s">
        <v>28</v>
      </c>
      <c r="K3972" t="s">
        <v>29</v>
      </c>
      <c r="L3972" t="s">
        <v>30</v>
      </c>
      <c r="M3972">
        <v>0</v>
      </c>
      <c r="N3972">
        <v>0</v>
      </c>
      <c r="O3972" s="17" t="s">
        <v>1149</v>
      </c>
      <c r="Q3972">
        <f>40.5-14</f>
        <v>26.5</v>
      </c>
      <c r="R3972" t="s">
        <v>251</v>
      </c>
      <c r="S3972" t="s">
        <v>145</v>
      </c>
      <c r="T3972">
        <v>29</v>
      </c>
      <c r="W3972">
        <v>13</v>
      </c>
      <c r="X3972">
        <v>26</v>
      </c>
      <c r="Z3972" t="s">
        <v>145</v>
      </c>
      <c r="AA3972" t="s">
        <v>260</v>
      </c>
      <c r="AB3972" t="s">
        <v>121</v>
      </c>
      <c r="AC3972" t="s">
        <v>59</v>
      </c>
    </row>
    <row r="3973" spans="1:30" x14ac:dyDescent="0.2">
      <c r="A3973" s="3">
        <v>42574</v>
      </c>
      <c r="B3973" t="s">
        <v>23</v>
      </c>
      <c r="C3973">
        <v>701</v>
      </c>
      <c r="D3973">
        <v>10</v>
      </c>
      <c r="E3973">
        <v>2</v>
      </c>
      <c r="F3973" t="s">
        <v>24</v>
      </c>
      <c r="G3973" t="s">
        <v>25</v>
      </c>
      <c r="H3973" t="s">
        <v>26</v>
      </c>
      <c r="I3973" t="s">
        <v>142</v>
      </c>
      <c r="J3973" t="s">
        <v>34</v>
      </c>
      <c r="K3973" t="s">
        <v>29</v>
      </c>
      <c r="L3973" t="s">
        <v>30</v>
      </c>
      <c r="M3973">
        <v>0</v>
      </c>
      <c r="N3973">
        <v>1</v>
      </c>
      <c r="O3973" s="17">
        <v>50858</v>
      </c>
      <c r="Q3973">
        <v>23</v>
      </c>
      <c r="R3973" t="s">
        <v>31</v>
      </c>
      <c r="S3973" t="s">
        <v>32</v>
      </c>
      <c r="T3973">
        <v>29</v>
      </c>
      <c r="W3973">
        <v>13.1</v>
      </c>
      <c r="X3973">
        <v>25.9</v>
      </c>
      <c r="Z3973" t="s">
        <v>145</v>
      </c>
      <c r="AA3973" t="s">
        <v>739</v>
      </c>
      <c r="AB3973" t="s">
        <v>582</v>
      </c>
      <c r="AC3973" t="s">
        <v>59</v>
      </c>
    </row>
    <row r="3974" spans="1:30" x14ac:dyDescent="0.2">
      <c r="A3974" s="3">
        <v>42575</v>
      </c>
      <c r="B3974" t="s">
        <v>23</v>
      </c>
      <c r="C3974">
        <v>701</v>
      </c>
      <c r="D3974">
        <v>5</v>
      </c>
      <c r="E3974">
        <v>2</v>
      </c>
      <c r="F3974" t="s">
        <v>24</v>
      </c>
      <c r="G3974" t="s">
        <v>25</v>
      </c>
      <c r="H3974" t="s">
        <v>26</v>
      </c>
      <c r="I3974" t="s">
        <v>142</v>
      </c>
      <c r="J3974" t="s">
        <v>28</v>
      </c>
      <c r="K3974" t="s">
        <v>29</v>
      </c>
      <c r="L3974" t="s">
        <v>30</v>
      </c>
      <c r="M3974">
        <v>0</v>
      </c>
      <c r="N3974">
        <v>0</v>
      </c>
      <c r="O3974" s="17">
        <v>50858</v>
      </c>
      <c r="Q3974">
        <v>23</v>
      </c>
      <c r="R3974" t="s">
        <v>75</v>
      </c>
      <c r="S3974" t="s">
        <v>145</v>
      </c>
      <c r="T3974">
        <v>30</v>
      </c>
      <c r="W3974">
        <v>13.1</v>
      </c>
      <c r="X3974">
        <v>28.2</v>
      </c>
      <c r="Z3974" t="s">
        <v>32</v>
      </c>
      <c r="AB3974" t="s">
        <v>582</v>
      </c>
      <c r="AC3974" t="s">
        <v>59</v>
      </c>
    </row>
    <row r="3975" spans="1:30" x14ac:dyDescent="0.2">
      <c r="A3975" s="3">
        <v>42576</v>
      </c>
      <c r="B3975" t="s">
        <v>23</v>
      </c>
      <c r="C3975">
        <v>701</v>
      </c>
      <c r="D3975">
        <v>7</v>
      </c>
      <c r="E3975">
        <v>1</v>
      </c>
      <c r="F3975" t="s">
        <v>24</v>
      </c>
      <c r="G3975" t="s">
        <v>25</v>
      </c>
      <c r="H3975" t="s">
        <v>26</v>
      </c>
      <c r="I3975" t="s">
        <v>142</v>
      </c>
      <c r="J3975" t="s">
        <v>28</v>
      </c>
      <c r="K3975" t="s">
        <v>29</v>
      </c>
      <c r="L3975" t="s">
        <v>30</v>
      </c>
      <c r="M3975">
        <v>0</v>
      </c>
      <c r="N3975">
        <v>0</v>
      </c>
      <c r="O3975" s="17">
        <v>50858</v>
      </c>
      <c r="Q3975">
        <f>34.5-9.5</f>
        <v>25</v>
      </c>
      <c r="R3975" t="s">
        <v>75</v>
      </c>
      <c r="S3975" t="s">
        <v>145</v>
      </c>
      <c r="T3975">
        <v>30</v>
      </c>
      <c r="W3975">
        <v>13.5</v>
      </c>
      <c r="X3975">
        <v>26.7</v>
      </c>
      <c r="Z3975" t="s">
        <v>32</v>
      </c>
      <c r="AB3975" t="s">
        <v>121</v>
      </c>
      <c r="AC3975" t="s">
        <v>122</v>
      </c>
    </row>
    <row r="3976" spans="1:30" x14ac:dyDescent="0.2">
      <c r="A3976" s="3">
        <v>42584</v>
      </c>
      <c r="B3976" t="s">
        <v>23</v>
      </c>
      <c r="C3976">
        <v>112</v>
      </c>
      <c r="D3976">
        <v>10</v>
      </c>
      <c r="E3976">
        <v>1</v>
      </c>
      <c r="F3976" t="s">
        <v>33</v>
      </c>
      <c r="G3976" t="s">
        <v>25</v>
      </c>
      <c r="H3976" t="s">
        <v>26</v>
      </c>
      <c r="I3976" t="s">
        <v>142</v>
      </c>
      <c r="J3976" t="s">
        <v>34</v>
      </c>
      <c r="K3976" t="s">
        <v>29</v>
      </c>
      <c r="L3976" t="s">
        <v>35</v>
      </c>
      <c r="M3976">
        <v>0</v>
      </c>
      <c r="N3976">
        <v>1</v>
      </c>
      <c r="O3976" s="17">
        <v>50888</v>
      </c>
      <c r="Q3976">
        <f>31.5-10</f>
        <v>21.5</v>
      </c>
      <c r="R3976" t="s">
        <v>39</v>
      </c>
      <c r="T3976">
        <v>29</v>
      </c>
      <c r="W3976">
        <v>12.9</v>
      </c>
      <c r="X3976">
        <v>27.2</v>
      </c>
      <c r="Z3976" t="s">
        <v>145</v>
      </c>
      <c r="AA3976" t="s">
        <v>830</v>
      </c>
      <c r="AB3976" t="s">
        <v>121</v>
      </c>
      <c r="AC3976" t="s">
        <v>59</v>
      </c>
      <c r="AD3976" t="s">
        <v>831</v>
      </c>
    </row>
    <row r="3977" spans="1:30" x14ac:dyDescent="0.2">
      <c r="A3977" s="3">
        <v>42584</v>
      </c>
      <c r="B3977" t="s">
        <v>23</v>
      </c>
      <c r="C3977">
        <v>402</v>
      </c>
      <c r="D3977">
        <v>10</v>
      </c>
      <c r="E3977">
        <v>1</v>
      </c>
      <c r="F3977" t="s">
        <v>33</v>
      </c>
      <c r="G3977" t="s">
        <v>25</v>
      </c>
      <c r="H3977" t="s">
        <v>26</v>
      </c>
      <c r="I3977" t="s">
        <v>142</v>
      </c>
      <c r="J3977" t="s">
        <v>34</v>
      </c>
      <c r="K3977" t="s">
        <v>29</v>
      </c>
      <c r="L3977" t="s">
        <v>35</v>
      </c>
      <c r="M3977">
        <v>0</v>
      </c>
      <c r="N3977">
        <v>1</v>
      </c>
      <c r="O3977" s="17">
        <v>50898</v>
      </c>
      <c r="Q3977">
        <f>30-11</f>
        <v>19</v>
      </c>
      <c r="R3977" t="s">
        <v>39</v>
      </c>
      <c r="T3977">
        <v>28</v>
      </c>
      <c r="W3977">
        <v>13</v>
      </c>
      <c r="X3977">
        <v>26.7</v>
      </c>
      <c r="Z3977" t="s">
        <v>145</v>
      </c>
      <c r="AA3977" t="s">
        <v>260</v>
      </c>
      <c r="AB3977" t="s">
        <v>121</v>
      </c>
      <c r="AC3977" t="s">
        <v>59</v>
      </c>
      <c r="AD3977" t="s">
        <v>846</v>
      </c>
    </row>
    <row r="3978" spans="1:30" x14ac:dyDescent="0.2">
      <c r="A3978" s="3">
        <v>42584</v>
      </c>
      <c r="B3978" t="s">
        <v>23</v>
      </c>
      <c r="C3978">
        <v>201</v>
      </c>
      <c r="D3978">
        <v>9</v>
      </c>
      <c r="E3978">
        <v>1</v>
      </c>
      <c r="F3978" t="s">
        <v>24</v>
      </c>
      <c r="G3978" t="s">
        <v>25</v>
      </c>
      <c r="H3978" t="s">
        <v>26</v>
      </c>
      <c r="I3978" t="s">
        <v>142</v>
      </c>
      <c r="J3978" t="s">
        <v>34</v>
      </c>
      <c r="K3978" t="s">
        <v>29</v>
      </c>
      <c r="L3978" t="s">
        <v>35</v>
      </c>
      <c r="M3978">
        <v>0</v>
      </c>
      <c r="N3978">
        <v>1</v>
      </c>
      <c r="O3978" s="17">
        <v>50931</v>
      </c>
      <c r="Q3978">
        <f>48.5-22.5</f>
        <v>26</v>
      </c>
      <c r="R3978" t="s">
        <v>39</v>
      </c>
      <c r="T3978">
        <v>28.5</v>
      </c>
      <c r="W3978">
        <v>13</v>
      </c>
      <c r="X3978">
        <v>25.8</v>
      </c>
      <c r="Z3978" t="s">
        <v>145</v>
      </c>
      <c r="AA3978" t="s">
        <v>260</v>
      </c>
      <c r="AB3978" t="s">
        <v>44</v>
      </c>
      <c r="AC3978" t="s">
        <v>59</v>
      </c>
    </row>
    <row r="3979" spans="1:30" x14ac:dyDescent="0.2">
      <c r="A3979" s="3">
        <v>42584</v>
      </c>
      <c r="B3979" t="s">
        <v>23</v>
      </c>
      <c r="C3979">
        <v>202</v>
      </c>
      <c r="D3979">
        <v>5</v>
      </c>
      <c r="E3979">
        <v>1</v>
      </c>
      <c r="F3979" t="s">
        <v>24</v>
      </c>
      <c r="G3979" t="s">
        <v>25</v>
      </c>
      <c r="H3979" t="s">
        <v>26</v>
      </c>
      <c r="I3979" t="s">
        <v>142</v>
      </c>
      <c r="J3979" t="s">
        <v>34</v>
      </c>
      <c r="K3979" t="s">
        <v>188</v>
      </c>
      <c r="L3979" t="s">
        <v>35</v>
      </c>
      <c r="M3979">
        <v>1</v>
      </c>
      <c r="N3979">
        <v>0</v>
      </c>
      <c r="O3979" s="17">
        <v>50938</v>
      </c>
      <c r="Q3979">
        <f>28.5-12.5</f>
        <v>16</v>
      </c>
      <c r="R3979" t="s">
        <v>39</v>
      </c>
      <c r="T3979">
        <v>29</v>
      </c>
      <c r="W3979">
        <v>12.25</v>
      </c>
      <c r="X3979">
        <v>25</v>
      </c>
      <c r="Z3979" t="s">
        <v>145</v>
      </c>
      <c r="AA3979" t="s">
        <v>850</v>
      </c>
      <c r="AB3979" t="s">
        <v>44</v>
      </c>
      <c r="AC3979" t="s">
        <v>59</v>
      </c>
    </row>
    <row r="3980" spans="1:30" x14ac:dyDescent="0.2">
      <c r="A3980" s="3">
        <v>42584</v>
      </c>
      <c r="B3980" t="s">
        <v>23</v>
      </c>
      <c r="C3980">
        <v>304</v>
      </c>
      <c r="D3980">
        <v>10</v>
      </c>
      <c r="E3980">
        <v>1</v>
      </c>
      <c r="F3980" t="s">
        <v>24</v>
      </c>
      <c r="G3980" t="s">
        <v>25</v>
      </c>
      <c r="H3980" t="s">
        <v>26</v>
      </c>
      <c r="I3980" t="s">
        <v>142</v>
      </c>
      <c r="J3980" t="s">
        <v>34</v>
      </c>
      <c r="K3980" t="s">
        <v>29</v>
      </c>
      <c r="L3980" t="s">
        <v>30</v>
      </c>
      <c r="M3980">
        <v>0</v>
      </c>
      <c r="N3980">
        <v>1</v>
      </c>
      <c r="O3980" s="17">
        <v>50939</v>
      </c>
      <c r="Q3980">
        <f>34.5-13</f>
        <v>21.5</v>
      </c>
      <c r="R3980" t="s">
        <v>75</v>
      </c>
      <c r="S3980" t="s">
        <v>145</v>
      </c>
      <c r="T3980">
        <v>26</v>
      </c>
      <c r="W3980">
        <v>12.9</v>
      </c>
      <c r="X3980">
        <v>26</v>
      </c>
      <c r="Z3980" t="s">
        <v>32</v>
      </c>
      <c r="AB3980" t="s">
        <v>44</v>
      </c>
      <c r="AC3980" t="s">
        <v>59</v>
      </c>
    </row>
    <row r="3981" spans="1:30" x14ac:dyDescent="0.2">
      <c r="A3981" s="3">
        <v>42576</v>
      </c>
      <c r="B3981" t="s">
        <v>23</v>
      </c>
      <c r="C3981">
        <v>401</v>
      </c>
      <c r="D3981">
        <v>7</v>
      </c>
      <c r="E3981">
        <v>1</v>
      </c>
      <c r="F3981" t="s">
        <v>33</v>
      </c>
      <c r="G3981" t="s">
        <v>25</v>
      </c>
      <c r="H3981" t="s">
        <v>26</v>
      </c>
      <c r="I3981" t="s">
        <v>142</v>
      </c>
      <c r="J3981" t="s">
        <v>34</v>
      </c>
      <c r="K3981" t="s">
        <v>29</v>
      </c>
      <c r="L3981" t="s">
        <v>30</v>
      </c>
      <c r="M3981">
        <v>0</v>
      </c>
      <c r="N3981">
        <v>1</v>
      </c>
      <c r="O3981" s="17">
        <v>50957</v>
      </c>
      <c r="Q3981">
        <f>40.5-14.5</f>
        <v>26</v>
      </c>
      <c r="R3981" t="s">
        <v>273</v>
      </c>
      <c r="S3981" t="s">
        <v>145</v>
      </c>
      <c r="T3981">
        <v>28</v>
      </c>
      <c r="W3981">
        <v>13.1</v>
      </c>
      <c r="X3981">
        <v>27.3</v>
      </c>
      <c r="Z3981" t="s">
        <v>145</v>
      </c>
      <c r="AA3981" t="s">
        <v>260</v>
      </c>
      <c r="AB3981" t="s">
        <v>121</v>
      </c>
      <c r="AC3981" t="s">
        <v>122</v>
      </c>
    </row>
    <row r="3982" spans="1:30" x14ac:dyDescent="0.2">
      <c r="A3982" s="3">
        <v>42576</v>
      </c>
      <c r="B3982" t="s">
        <v>23</v>
      </c>
      <c r="C3982">
        <v>503</v>
      </c>
      <c r="D3982">
        <v>6</v>
      </c>
      <c r="E3982">
        <v>2</v>
      </c>
      <c r="F3982" t="s">
        <v>33</v>
      </c>
      <c r="G3982" t="s">
        <v>25</v>
      </c>
      <c r="H3982" t="s">
        <v>26</v>
      </c>
      <c r="I3982" t="s">
        <v>142</v>
      </c>
      <c r="J3982" t="s">
        <v>34</v>
      </c>
      <c r="K3982" t="s">
        <v>29</v>
      </c>
      <c r="L3982" t="s">
        <v>35</v>
      </c>
      <c r="M3982">
        <v>0</v>
      </c>
      <c r="N3982">
        <v>1</v>
      </c>
      <c r="O3982" s="17">
        <v>50969</v>
      </c>
      <c r="Q3982">
        <f>35-11</f>
        <v>24</v>
      </c>
      <c r="R3982" t="s">
        <v>39</v>
      </c>
      <c r="T3982">
        <v>31</v>
      </c>
      <c r="W3982">
        <v>12.9</v>
      </c>
      <c r="X3982">
        <v>28.6</v>
      </c>
      <c r="Z3982" t="s">
        <v>32</v>
      </c>
      <c r="AB3982" t="s">
        <v>121</v>
      </c>
      <c r="AC3982" t="s">
        <v>122</v>
      </c>
    </row>
    <row r="3983" spans="1:30" x14ac:dyDescent="0.2">
      <c r="A3983" s="3">
        <v>42576</v>
      </c>
      <c r="B3983" t="s">
        <v>23</v>
      </c>
      <c r="C3983">
        <v>803</v>
      </c>
      <c r="D3983">
        <v>2</v>
      </c>
      <c r="E3983">
        <v>2</v>
      </c>
      <c r="F3983" t="s">
        <v>66</v>
      </c>
      <c r="G3983" t="s">
        <v>25</v>
      </c>
      <c r="H3983" t="s">
        <v>26</v>
      </c>
      <c r="I3983" t="s">
        <v>142</v>
      </c>
      <c r="J3983" t="s">
        <v>28</v>
      </c>
      <c r="K3983" t="s">
        <v>123</v>
      </c>
      <c r="L3983" t="s">
        <v>30</v>
      </c>
      <c r="M3983">
        <v>0</v>
      </c>
      <c r="N3983">
        <v>0</v>
      </c>
      <c r="O3983" s="17">
        <v>50994</v>
      </c>
      <c r="Q3983">
        <f>26-10.5</f>
        <v>15.5</v>
      </c>
      <c r="R3983" t="s">
        <v>31</v>
      </c>
      <c r="S3983" t="s">
        <v>32</v>
      </c>
      <c r="T3983">
        <v>31</v>
      </c>
      <c r="W3983">
        <v>12.6</v>
      </c>
      <c r="X3983">
        <v>24.1</v>
      </c>
      <c r="Z3983" t="s">
        <v>32</v>
      </c>
      <c r="AB3983" t="s">
        <v>121</v>
      </c>
      <c r="AC3983" t="s">
        <v>122</v>
      </c>
    </row>
    <row r="3984" spans="1:30" x14ac:dyDescent="0.2">
      <c r="A3984" s="3">
        <v>42600</v>
      </c>
      <c r="B3984" t="s">
        <v>23</v>
      </c>
      <c r="C3984">
        <v>113</v>
      </c>
      <c r="D3984">
        <v>1</v>
      </c>
      <c r="E3984">
        <v>2</v>
      </c>
      <c r="F3984" t="s">
        <v>66</v>
      </c>
      <c r="G3984" t="s">
        <v>25</v>
      </c>
      <c r="H3984" t="s">
        <v>26</v>
      </c>
      <c r="I3984" t="s">
        <v>142</v>
      </c>
      <c r="J3984" t="s">
        <v>34</v>
      </c>
      <c r="K3984" t="s">
        <v>29</v>
      </c>
      <c r="L3984" t="s">
        <v>30</v>
      </c>
      <c r="M3984">
        <v>0</v>
      </c>
      <c r="N3984">
        <v>1</v>
      </c>
      <c r="O3984" s="17" t="s">
        <v>1611</v>
      </c>
      <c r="Q3984">
        <v>20</v>
      </c>
      <c r="R3984" t="s">
        <v>31</v>
      </c>
      <c r="S3984" t="s">
        <v>32</v>
      </c>
      <c r="T3984">
        <v>28</v>
      </c>
      <c r="W3984">
        <v>12.9</v>
      </c>
      <c r="X3984">
        <v>26.7</v>
      </c>
      <c r="AD3984" t="s">
        <v>1615</v>
      </c>
    </row>
    <row r="3985" spans="1:30" x14ac:dyDescent="0.2">
      <c r="A3985" s="3">
        <v>42557</v>
      </c>
      <c r="B3985" t="s">
        <v>23</v>
      </c>
      <c r="C3985">
        <v>201</v>
      </c>
      <c r="D3985">
        <v>4</v>
      </c>
      <c r="E3985">
        <v>2</v>
      </c>
      <c r="F3985" t="s">
        <v>24</v>
      </c>
      <c r="G3985" t="s">
        <v>25</v>
      </c>
      <c r="H3985" t="s">
        <v>26</v>
      </c>
      <c r="I3985" t="s">
        <v>142</v>
      </c>
      <c r="J3985" t="s">
        <v>28</v>
      </c>
      <c r="K3985" t="s">
        <v>29</v>
      </c>
      <c r="L3985" t="s">
        <v>30</v>
      </c>
      <c r="M3985">
        <v>0</v>
      </c>
      <c r="N3985">
        <v>0</v>
      </c>
      <c r="O3985" s="17" t="s">
        <v>434</v>
      </c>
      <c r="Q3985">
        <f>33.5-9</f>
        <v>24.5</v>
      </c>
      <c r="R3985" t="s">
        <v>75</v>
      </c>
      <c r="S3985" t="s">
        <v>145</v>
      </c>
      <c r="T3985">
        <v>28</v>
      </c>
      <c r="W3985">
        <v>12.9</v>
      </c>
      <c r="X3985">
        <v>27.55</v>
      </c>
      <c r="Z3985" t="s">
        <v>32</v>
      </c>
      <c r="AB3985" t="s">
        <v>44</v>
      </c>
      <c r="AC3985" t="s">
        <v>122</v>
      </c>
    </row>
    <row r="3986" spans="1:30" x14ac:dyDescent="0.2">
      <c r="A3986" s="3">
        <v>42537</v>
      </c>
      <c r="B3986" t="s">
        <v>23</v>
      </c>
      <c r="C3986">
        <v>303</v>
      </c>
      <c r="D3986">
        <v>5</v>
      </c>
      <c r="E3986">
        <v>1</v>
      </c>
      <c r="F3986" t="s">
        <v>24</v>
      </c>
      <c r="G3986" t="s">
        <v>25</v>
      </c>
      <c r="H3986" t="s">
        <v>26</v>
      </c>
      <c r="I3986" t="s">
        <v>142</v>
      </c>
      <c r="J3986" t="s">
        <v>217</v>
      </c>
      <c r="K3986" t="s">
        <v>187</v>
      </c>
      <c r="M3986">
        <v>0</v>
      </c>
      <c r="N3986">
        <v>0</v>
      </c>
      <c r="O3986" s="17" t="s">
        <v>218</v>
      </c>
      <c r="Z3986" t="s">
        <v>32</v>
      </c>
    </row>
    <row r="3987" spans="1:30" x14ac:dyDescent="0.2">
      <c r="A3987" s="3">
        <v>42550</v>
      </c>
      <c r="B3987" t="s">
        <v>23</v>
      </c>
      <c r="C3987">
        <v>303</v>
      </c>
      <c r="D3987">
        <v>4</v>
      </c>
      <c r="E3987">
        <v>1</v>
      </c>
      <c r="F3987" t="s">
        <v>33</v>
      </c>
      <c r="G3987" t="s">
        <v>25</v>
      </c>
      <c r="H3987" t="s">
        <v>26</v>
      </c>
      <c r="I3987" t="s">
        <v>142</v>
      </c>
      <c r="J3987" t="s">
        <v>28</v>
      </c>
      <c r="K3987" t="s">
        <v>29</v>
      </c>
      <c r="L3987" t="s">
        <v>30</v>
      </c>
      <c r="M3987">
        <v>0</v>
      </c>
      <c r="N3987">
        <v>0</v>
      </c>
      <c r="O3987" s="17" t="s">
        <v>218</v>
      </c>
      <c r="Q3987">
        <f>32-12</f>
        <v>20</v>
      </c>
      <c r="R3987" t="s">
        <v>251</v>
      </c>
      <c r="S3987" t="s">
        <v>145</v>
      </c>
      <c r="T3987">
        <v>27</v>
      </c>
      <c r="W3987">
        <v>13.5</v>
      </c>
      <c r="X3987">
        <v>28</v>
      </c>
      <c r="Z3987" t="s">
        <v>32</v>
      </c>
      <c r="AB3987" t="s">
        <v>121</v>
      </c>
      <c r="AC3987" t="s">
        <v>59</v>
      </c>
    </row>
    <row r="3988" spans="1:30" x14ac:dyDescent="0.2">
      <c r="A3988" s="3">
        <v>42551</v>
      </c>
      <c r="B3988" t="s">
        <v>23</v>
      </c>
      <c r="C3988">
        <v>303</v>
      </c>
      <c r="D3988">
        <v>6</v>
      </c>
      <c r="E3988">
        <v>2</v>
      </c>
      <c r="F3988" t="s">
        <v>33</v>
      </c>
      <c r="G3988" t="s">
        <v>25</v>
      </c>
      <c r="H3988" t="s">
        <v>26</v>
      </c>
      <c r="I3988" t="s">
        <v>142</v>
      </c>
      <c r="J3988" t="s">
        <v>28</v>
      </c>
      <c r="K3988" t="s">
        <v>29</v>
      </c>
      <c r="M3988">
        <v>0</v>
      </c>
      <c r="N3988">
        <v>0</v>
      </c>
      <c r="O3988" s="17" t="s">
        <v>218</v>
      </c>
      <c r="Q3988">
        <f>31.5-11.5</f>
        <v>20</v>
      </c>
      <c r="Z3988" t="s">
        <v>32</v>
      </c>
      <c r="AB3988" t="s">
        <v>44</v>
      </c>
      <c r="AC3988" t="s">
        <v>59</v>
      </c>
    </row>
    <row r="3989" spans="1:30" x14ac:dyDescent="0.2">
      <c r="A3989" s="3">
        <v>42574</v>
      </c>
      <c r="B3989" t="s">
        <v>23</v>
      </c>
      <c r="C3989">
        <v>303</v>
      </c>
      <c r="D3989">
        <v>10</v>
      </c>
      <c r="E3989">
        <v>2</v>
      </c>
      <c r="F3989" t="s">
        <v>33</v>
      </c>
      <c r="G3989" t="s">
        <v>25</v>
      </c>
      <c r="H3989" t="s">
        <v>26</v>
      </c>
      <c r="I3989" t="s">
        <v>142</v>
      </c>
      <c r="J3989" t="s">
        <v>28</v>
      </c>
      <c r="K3989" t="s">
        <v>29</v>
      </c>
      <c r="L3989" t="s">
        <v>30</v>
      </c>
      <c r="M3989">
        <v>0</v>
      </c>
      <c r="N3989">
        <v>0</v>
      </c>
      <c r="O3989" s="17" t="s">
        <v>218</v>
      </c>
      <c r="Q3989">
        <f>30-10.5</f>
        <v>19.5</v>
      </c>
      <c r="R3989" t="s">
        <v>273</v>
      </c>
      <c r="S3989" t="s">
        <v>145</v>
      </c>
      <c r="T3989">
        <v>28</v>
      </c>
      <c r="W3989">
        <v>12.9</v>
      </c>
      <c r="X3989">
        <v>25.5</v>
      </c>
      <c r="Z3989" t="s">
        <v>145</v>
      </c>
      <c r="AA3989" t="s">
        <v>260</v>
      </c>
      <c r="AB3989" t="s">
        <v>122</v>
      </c>
      <c r="AC3989" t="s">
        <v>121</v>
      </c>
    </row>
    <row r="3990" spans="1:30" x14ac:dyDescent="0.2">
      <c r="A3990" s="3">
        <v>42591</v>
      </c>
      <c r="B3990" t="s">
        <v>23</v>
      </c>
      <c r="C3990">
        <v>303</v>
      </c>
      <c r="D3990">
        <v>3</v>
      </c>
      <c r="E3990">
        <v>2</v>
      </c>
      <c r="F3990" t="s">
        <v>24</v>
      </c>
      <c r="G3990" t="s">
        <v>25</v>
      </c>
      <c r="H3990" t="s">
        <v>26</v>
      </c>
      <c r="I3990" t="s">
        <v>142</v>
      </c>
      <c r="J3990" t="s">
        <v>28</v>
      </c>
      <c r="K3990" t="s">
        <v>29</v>
      </c>
      <c r="L3990" t="s">
        <v>30</v>
      </c>
      <c r="M3990">
        <v>0</v>
      </c>
      <c r="N3990">
        <v>0</v>
      </c>
      <c r="O3990" s="17" t="s">
        <v>218</v>
      </c>
      <c r="Q3990">
        <f>33-13</f>
        <v>20</v>
      </c>
      <c r="R3990" t="s">
        <v>31</v>
      </c>
      <c r="S3990" t="s">
        <v>32</v>
      </c>
      <c r="T3990">
        <v>28</v>
      </c>
      <c r="W3990">
        <v>12.6</v>
      </c>
      <c r="X3990">
        <v>25.8</v>
      </c>
      <c r="Z3990" t="s">
        <v>145</v>
      </c>
      <c r="AB3990" t="s">
        <v>44</v>
      </c>
      <c r="AC3990" t="s">
        <v>59</v>
      </c>
    </row>
    <row r="3991" spans="1:30" x14ac:dyDescent="0.2">
      <c r="A3991" s="3">
        <v>42592</v>
      </c>
      <c r="B3991" t="s">
        <v>23</v>
      </c>
      <c r="C3991">
        <v>801</v>
      </c>
      <c r="D3991">
        <v>9</v>
      </c>
      <c r="E3991">
        <v>1</v>
      </c>
      <c r="F3991" t="s">
        <v>64</v>
      </c>
      <c r="G3991" t="s">
        <v>25</v>
      </c>
      <c r="H3991" t="s">
        <v>26</v>
      </c>
      <c r="I3991" t="s">
        <v>142</v>
      </c>
      <c r="J3991" t="s">
        <v>28</v>
      </c>
      <c r="K3991" t="s">
        <v>29</v>
      </c>
      <c r="L3991" t="s">
        <v>35</v>
      </c>
      <c r="M3991">
        <v>0</v>
      </c>
      <c r="N3991">
        <v>0</v>
      </c>
      <c r="O3991" s="17" t="s">
        <v>1452</v>
      </c>
      <c r="Q3991">
        <f>37-15</f>
        <v>22</v>
      </c>
      <c r="R3991" t="s">
        <v>39</v>
      </c>
      <c r="T3991">
        <v>29</v>
      </c>
      <c r="W3991">
        <v>12.9</v>
      </c>
      <c r="X3991">
        <v>25.7</v>
      </c>
      <c r="Z3991" t="s">
        <v>145</v>
      </c>
      <c r="AA3991" t="s">
        <v>260</v>
      </c>
      <c r="AB3991" t="s">
        <v>53</v>
      </c>
      <c r="AC3991" t="s">
        <v>59</v>
      </c>
    </row>
    <row r="3992" spans="1:30" x14ac:dyDescent="0.2">
      <c r="A3992" s="3">
        <v>42549</v>
      </c>
      <c r="B3992" t="s">
        <v>23</v>
      </c>
      <c r="C3992">
        <v>803</v>
      </c>
      <c r="D3992">
        <v>3</v>
      </c>
      <c r="E3992">
        <v>1</v>
      </c>
      <c r="F3992" t="s">
        <v>24</v>
      </c>
      <c r="G3992" t="s">
        <v>25</v>
      </c>
      <c r="H3992" t="s">
        <v>26</v>
      </c>
      <c r="I3992" t="s">
        <v>142</v>
      </c>
      <c r="J3992" t="s">
        <v>34</v>
      </c>
      <c r="K3992" t="s">
        <v>29</v>
      </c>
      <c r="L3992" t="s">
        <v>30</v>
      </c>
      <c r="M3992">
        <v>1</v>
      </c>
      <c r="N3992">
        <v>0</v>
      </c>
      <c r="O3992" s="17" t="s">
        <v>333</v>
      </c>
      <c r="P3992" s="17">
        <v>50615</v>
      </c>
      <c r="Q3992">
        <f>39-12</f>
        <v>27</v>
      </c>
      <c r="R3992" t="s">
        <v>75</v>
      </c>
      <c r="S3992" t="s">
        <v>145</v>
      </c>
      <c r="T3992">
        <v>26</v>
      </c>
      <c r="W3992">
        <v>12.65</v>
      </c>
      <c r="X3992">
        <v>28.5</v>
      </c>
      <c r="Z3992" t="s">
        <v>32</v>
      </c>
      <c r="AB3992" t="s">
        <v>121</v>
      </c>
      <c r="AC3992" t="s">
        <v>122</v>
      </c>
    </row>
    <row r="3993" spans="1:30" x14ac:dyDescent="0.2">
      <c r="A3993" s="3">
        <v>42551</v>
      </c>
      <c r="B3993" t="s">
        <v>23</v>
      </c>
      <c r="C3993">
        <v>801</v>
      </c>
      <c r="D3993">
        <v>5</v>
      </c>
      <c r="E3993">
        <v>1</v>
      </c>
      <c r="F3993" t="s">
        <v>24</v>
      </c>
      <c r="G3993" t="s">
        <v>25</v>
      </c>
      <c r="H3993" t="s">
        <v>26</v>
      </c>
      <c r="I3993" t="s">
        <v>142</v>
      </c>
      <c r="J3993" t="s">
        <v>344</v>
      </c>
      <c r="K3993" t="s">
        <v>29</v>
      </c>
      <c r="L3993" t="s">
        <v>30</v>
      </c>
      <c r="M3993">
        <v>0</v>
      </c>
      <c r="N3993">
        <v>0</v>
      </c>
      <c r="O3993" s="17" t="s">
        <v>333</v>
      </c>
      <c r="P3993" s="17" t="s">
        <v>333</v>
      </c>
      <c r="Q3993">
        <f>38.5-12</f>
        <v>26.5</v>
      </c>
      <c r="R3993" t="s">
        <v>75</v>
      </c>
      <c r="S3993" t="s">
        <v>145</v>
      </c>
      <c r="T3993">
        <v>28</v>
      </c>
      <c r="W3993">
        <v>11.85</v>
      </c>
      <c r="X3993">
        <v>29.8</v>
      </c>
      <c r="Z3993" t="s">
        <v>32</v>
      </c>
      <c r="AB3993" t="s">
        <v>44</v>
      </c>
      <c r="AC3993" t="s">
        <v>116</v>
      </c>
    </row>
    <row r="3994" spans="1:30" x14ac:dyDescent="0.2">
      <c r="A3994" s="3">
        <v>42565</v>
      </c>
      <c r="B3994" t="s">
        <v>23</v>
      </c>
      <c r="C3994">
        <v>501</v>
      </c>
      <c r="D3994">
        <v>4</v>
      </c>
      <c r="E3994">
        <v>2</v>
      </c>
      <c r="F3994" t="s">
        <v>24</v>
      </c>
      <c r="G3994" t="s">
        <v>25</v>
      </c>
      <c r="H3994" t="s">
        <v>26</v>
      </c>
      <c r="I3994" t="s">
        <v>142</v>
      </c>
      <c r="J3994" t="s">
        <v>28</v>
      </c>
      <c r="K3994" t="s">
        <v>29</v>
      </c>
      <c r="L3994" t="s">
        <v>30</v>
      </c>
      <c r="M3994">
        <v>0</v>
      </c>
      <c r="N3994">
        <v>0</v>
      </c>
      <c r="O3994" s="17" t="s">
        <v>333</v>
      </c>
      <c r="P3994" s="17">
        <v>50740</v>
      </c>
      <c r="Q3994">
        <f>42.5-11.5</f>
        <v>31</v>
      </c>
      <c r="R3994" t="s">
        <v>75</v>
      </c>
      <c r="S3994" t="s">
        <v>145</v>
      </c>
      <c r="T3994">
        <v>28</v>
      </c>
      <c r="W3994">
        <v>13</v>
      </c>
      <c r="X3994">
        <v>28.5</v>
      </c>
      <c r="Z3994" t="s">
        <v>32</v>
      </c>
      <c r="AB3994" t="s">
        <v>489</v>
      </c>
      <c r="AC3994" t="s">
        <v>254</v>
      </c>
    </row>
    <row r="3995" spans="1:30" x14ac:dyDescent="0.2">
      <c r="A3995" s="3">
        <v>42571</v>
      </c>
      <c r="B3995" t="s">
        <v>23</v>
      </c>
      <c r="C3995">
        <v>112</v>
      </c>
      <c r="D3995">
        <v>7</v>
      </c>
      <c r="E3995">
        <v>1</v>
      </c>
      <c r="F3995" t="s">
        <v>24</v>
      </c>
      <c r="G3995" t="s">
        <v>25</v>
      </c>
      <c r="H3995" t="s">
        <v>26</v>
      </c>
      <c r="I3995" t="s">
        <v>142</v>
      </c>
      <c r="J3995" t="s">
        <v>45</v>
      </c>
      <c r="K3995" t="s">
        <v>29</v>
      </c>
      <c r="L3995" t="s">
        <v>30</v>
      </c>
      <c r="M3995">
        <v>1</v>
      </c>
      <c r="N3995">
        <v>0</v>
      </c>
      <c r="O3995" s="17" t="s">
        <v>333</v>
      </c>
      <c r="P3995" s="17">
        <v>50802</v>
      </c>
      <c r="Q3995">
        <v>28</v>
      </c>
      <c r="R3995" t="s">
        <v>273</v>
      </c>
      <c r="S3995" t="s">
        <v>145</v>
      </c>
      <c r="T3995">
        <v>28.5</v>
      </c>
      <c r="W3995">
        <v>13</v>
      </c>
      <c r="X3995">
        <v>25.7</v>
      </c>
      <c r="Z3995" t="s">
        <v>32</v>
      </c>
      <c r="AB3995" t="s">
        <v>44</v>
      </c>
      <c r="AC3995" t="s">
        <v>59</v>
      </c>
      <c r="AD3995" t="s">
        <v>609</v>
      </c>
    </row>
    <row r="3996" spans="1:30" x14ac:dyDescent="0.2">
      <c r="A3996" s="3">
        <v>42584</v>
      </c>
      <c r="B3996" t="s">
        <v>23</v>
      </c>
      <c r="C3996">
        <v>203</v>
      </c>
      <c r="D3996">
        <v>5</v>
      </c>
      <c r="E3996">
        <v>2</v>
      </c>
      <c r="F3996" t="s">
        <v>24</v>
      </c>
      <c r="G3996" t="s">
        <v>25</v>
      </c>
      <c r="H3996" t="s">
        <v>26</v>
      </c>
      <c r="I3996" t="s">
        <v>142</v>
      </c>
      <c r="J3996" t="s">
        <v>28</v>
      </c>
      <c r="K3996" t="s">
        <v>29</v>
      </c>
      <c r="L3996" t="s">
        <v>30</v>
      </c>
      <c r="M3996">
        <v>0</v>
      </c>
      <c r="N3996">
        <v>0</v>
      </c>
      <c r="O3996" s="17" t="s">
        <v>333</v>
      </c>
      <c r="P3996" s="17">
        <v>50838</v>
      </c>
      <c r="Q3996">
        <f>34-12.5</f>
        <v>21.5</v>
      </c>
      <c r="R3996" t="s">
        <v>75</v>
      </c>
      <c r="S3996" t="s">
        <v>145</v>
      </c>
      <c r="T3996">
        <v>28.5</v>
      </c>
      <c r="W3996">
        <v>12.5</v>
      </c>
      <c r="X3996">
        <v>26.3</v>
      </c>
      <c r="Z3996" t="s">
        <v>145</v>
      </c>
      <c r="AA3996" t="s">
        <v>848</v>
      </c>
      <c r="AB3996" t="s">
        <v>44</v>
      </c>
      <c r="AC3996" t="s">
        <v>59</v>
      </c>
    </row>
    <row r="3997" spans="1:30" x14ac:dyDescent="0.2">
      <c r="A3997" s="3">
        <v>42584</v>
      </c>
      <c r="B3997" t="s">
        <v>23</v>
      </c>
      <c r="C3997">
        <v>203</v>
      </c>
      <c r="D3997">
        <v>7</v>
      </c>
      <c r="E3997">
        <v>2</v>
      </c>
      <c r="F3997" t="s">
        <v>24</v>
      </c>
      <c r="G3997" t="s">
        <v>25</v>
      </c>
      <c r="H3997" t="s">
        <v>26</v>
      </c>
      <c r="I3997" t="s">
        <v>142</v>
      </c>
      <c r="J3997" t="s">
        <v>28</v>
      </c>
      <c r="K3997" t="s">
        <v>29</v>
      </c>
      <c r="L3997" t="s">
        <v>30</v>
      </c>
      <c r="M3997">
        <v>0</v>
      </c>
      <c r="N3997">
        <v>0</v>
      </c>
      <c r="O3997" s="17" t="s">
        <v>333</v>
      </c>
      <c r="P3997" s="17">
        <v>50656</v>
      </c>
      <c r="Q3997">
        <f>36.5-13.5</f>
        <v>23</v>
      </c>
      <c r="R3997" t="s">
        <v>31</v>
      </c>
      <c r="S3997" t="s">
        <v>32</v>
      </c>
      <c r="T3997">
        <v>28</v>
      </c>
      <c r="W3997">
        <v>13.2</v>
      </c>
      <c r="X3997">
        <v>26</v>
      </c>
      <c r="Z3997" t="s">
        <v>32</v>
      </c>
      <c r="AB3997" t="s">
        <v>44</v>
      </c>
      <c r="AC3997" t="s">
        <v>59</v>
      </c>
    </row>
    <row r="3998" spans="1:30" x14ac:dyDescent="0.2">
      <c r="A3998" s="3">
        <v>42585</v>
      </c>
      <c r="B3998" t="s">
        <v>23</v>
      </c>
      <c r="C3998">
        <v>203</v>
      </c>
      <c r="D3998">
        <v>1</v>
      </c>
      <c r="E3998">
        <v>2</v>
      </c>
      <c r="F3998" t="s">
        <v>24</v>
      </c>
      <c r="G3998" t="s">
        <v>25</v>
      </c>
      <c r="H3998" t="s">
        <v>26</v>
      </c>
      <c r="I3998" t="s">
        <v>142</v>
      </c>
      <c r="J3998" t="s">
        <v>28</v>
      </c>
      <c r="K3998" t="s">
        <v>29</v>
      </c>
      <c r="L3998" t="s">
        <v>30</v>
      </c>
      <c r="M3998">
        <v>0</v>
      </c>
      <c r="N3998">
        <v>0</v>
      </c>
      <c r="O3998" s="17" t="s">
        <v>333</v>
      </c>
      <c r="P3998" s="17">
        <v>50656</v>
      </c>
      <c r="Q3998">
        <f>36-12.5</f>
        <v>23.5</v>
      </c>
      <c r="R3998" t="s">
        <v>75</v>
      </c>
      <c r="S3998" t="s">
        <v>145</v>
      </c>
      <c r="T3998">
        <v>29</v>
      </c>
      <c r="W3998">
        <v>13.1</v>
      </c>
      <c r="X3998">
        <v>26.4</v>
      </c>
      <c r="Z3998" t="s">
        <v>32</v>
      </c>
      <c r="AB3998" t="s">
        <v>44</v>
      </c>
      <c r="AC3998" t="s">
        <v>59</v>
      </c>
    </row>
    <row r="3999" spans="1:30" x14ac:dyDescent="0.2">
      <c r="A3999" s="3">
        <v>42585</v>
      </c>
      <c r="B3999" t="s">
        <v>23</v>
      </c>
      <c r="C3999">
        <v>203</v>
      </c>
      <c r="D3999">
        <v>7</v>
      </c>
      <c r="E3999">
        <v>1</v>
      </c>
      <c r="F3999" t="s">
        <v>24</v>
      </c>
      <c r="G3999" t="s">
        <v>25</v>
      </c>
      <c r="H3999" t="s">
        <v>26</v>
      </c>
      <c r="I3999" t="s">
        <v>142</v>
      </c>
      <c r="J3999" t="s">
        <v>28</v>
      </c>
      <c r="K3999" t="s">
        <v>29</v>
      </c>
      <c r="L3999" t="s">
        <v>30</v>
      </c>
      <c r="M3999">
        <v>0</v>
      </c>
      <c r="N3999">
        <v>0</v>
      </c>
      <c r="O3999" s="17" t="s">
        <v>333</v>
      </c>
      <c r="P3999" s="17">
        <v>50838</v>
      </c>
      <c r="Q3999">
        <f>33.5-12</f>
        <v>21.5</v>
      </c>
      <c r="R3999" t="s">
        <v>75</v>
      </c>
      <c r="S3999" t="s">
        <v>145</v>
      </c>
      <c r="T3999">
        <v>29</v>
      </c>
      <c r="W3999">
        <v>12.5</v>
      </c>
      <c r="X3999">
        <v>25.1</v>
      </c>
      <c r="Z3999" t="s">
        <v>32</v>
      </c>
      <c r="AB3999" t="s">
        <v>44</v>
      </c>
      <c r="AC3999" t="s">
        <v>59</v>
      </c>
    </row>
    <row r="4000" spans="1:30" x14ac:dyDescent="0.2">
      <c r="A4000" s="3">
        <v>42599</v>
      </c>
      <c r="B4000" t="s">
        <v>23</v>
      </c>
      <c r="C4000">
        <v>111</v>
      </c>
      <c r="D4000">
        <v>5</v>
      </c>
      <c r="E4000">
        <v>1</v>
      </c>
      <c r="F4000" t="s">
        <v>24</v>
      </c>
      <c r="G4000" t="s">
        <v>25</v>
      </c>
      <c r="H4000" t="s">
        <v>26</v>
      </c>
      <c r="I4000" t="s">
        <v>142</v>
      </c>
      <c r="J4000" t="s">
        <v>28</v>
      </c>
      <c r="K4000" t="s">
        <v>29</v>
      </c>
      <c r="L4000" t="s">
        <v>30</v>
      </c>
      <c r="M4000">
        <v>0</v>
      </c>
      <c r="N4000">
        <v>0</v>
      </c>
      <c r="O4000" s="17" t="s">
        <v>333</v>
      </c>
      <c r="P4000" s="17" t="s">
        <v>1821</v>
      </c>
      <c r="Q4000">
        <f>35-12.5</f>
        <v>22.5</v>
      </c>
      <c r="R4000" t="s">
        <v>75</v>
      </c>
      <c r="S4000" t="s">
        <v>145</v>
      </c>
      <c r="T4000">
        <v>29</v>
      </c>
      <c r="W4000">
        <v>12.9</v>
      </c>
      <c r="X4000">
        <v>24.7</v>
      </c>
      <c r="AB4000" t="s">
        <v>121</v>
      </c>
      <c r="AC4000" t="s">
        <v>59</v>
      </c>
    </row>
    <row r="4001" spans="1:30" x14ac:dyDescent="0.2">
      <c r="A4001" s="3">
        <v>42528</v>
      </c>
      <c r="B4001" t="s">
        <v>23</v>
      </c>
      <c r="C4001">
        <v>112</v>
      </c>
      <c r="D4001">
        <v>6</v>
      </c>
      <c r="E4001">
        <v>1</v>
      </c>
      <c r="F4001" t="s">
        <v>33</v>
      </c>
      <c r="G4001" t="s">
        <v>25</v>
      </c>
      <c r="H4001" t="s">
        <v>26</v>
      </c>
      <c r="I4001" t="s">
        <v>142</v>
      </c>
      <c r="J4001" t="s">
        <v>34</v>
      </c>
      <c r="K4001" t="s">
        <v>29</v>
      </c>
      <c r="L4001" t="s">
        <v>35</v>
      </c>
      <c r="M4001">
        <v>0</v>
      </c>
      <c r="N4001">
        <v>1</v>
      </c>
      <c r="P4001" s="17">
        <v>50342</v>
      </c>
      <c r="R4001" t="s">
        <v>39</v>
      </c>
      <c r="S4001" t="s">
        <v>32</v>
      </c>
      <c r="W4001">
        <v>11.4</v>
      </c>
      <c r="X4001">
        <v>23.9</v>
      </c>
      <c r="Z4001" t="s">
        <v>32</v>
      </c>
      <c r="AB4001" t="s">
        <v>149</v>
      </c>
      <c r="AC4001" t="s">
        <v>59</v>
      </c>
    </row>
    <row r="4002" spans="1:30" x14ac:dyDescent="0.2">
      <c r="A4002" s="3">
        <v>42528</v>
      </c>
      <c r="B4002" t="s">
        <v>23</v>
      </c>
      <c r="C4002">
        <v>112</v>
      </c>
      <c r="D4002">
        <v>8</v>
      </c>
      <c r="E4002">
        <v>1</v>
      </c>
      <c r="F4002" t="s">
        <v>33</v>
      </c>
      <c r="G4002" t="s">
        <v>25</v>
      </c>
      <c r="H4002" t="s">
        <v>26</v>
      </c>
      <c r="I4002" t="s">
        <v>142</v>
      </c>
      <c r="J4002" t="s">
        <v>34</v>
      </c>
      <c r="K4002" t="s">
        <v>29</v>
      </c>
      <c r="M4002">
        <v>0</v>
      </c>
      <c r="N4002">
        <v>1</v>
      </c>
      <c r="P4002" s="17">
        <v>50311</v>
      </c>
      <c r="Q4002">
        <f>22.5-3</f>
        <v>19.5</v>
      </c>
      <c r="W4002">
        <v>10.8</v>
      </c>
      <c r="X4002">
        <v>24.5</v>
      </c>
      <c r="Z4002" t="s">
        <v>32</v>
      </c>
      <c r="AB4002" t="s">
        <v>121</v>
      </c>
      <c r="AC4002" t="s">
        <v>59</v>
      </c>
    </row>
    <row r="4003" spans="1:30" x14ac:dyDescent="0.2">
      <c r="A4003" s="3">
        <v>42530</v>
      </c>
      <c r="B4003" t="s">
        <v>23</v>
      </c>
      <c r="C4003">
        <v>402</v>
      </c>
      <c r="D4003">
        <v>5</v>
      </c>
      <c r="E4003">
        <v>2</v>
      </c>
      <c r="F4003" t="s">
        <v>33</v>
      </c>
      <c r="G4003" t="s">
        <v>25</v>
      </c>
      <c r="H4003" t="s">
        <v>26</v>
      </c>
      <c r="I4003" t="s">
        <v>142</v>
      </c>
      <c r="J4003" t="s">
        <v>34</v>
      </c>
      <c r="K4003" t="s">
        <v>30</v>
      </c>
      <c r="L4003" t="s">
        <v>29</v>
      </c>
      <c r="M4003">
        <v>0</v>
      </c>
      <c r="N4003">
        <v>1</v>
      </c>
      <c r="P4003" s="17">
        <v>50451</v>
      </c>
      <c r="Q4003">
        <v>18.5</v>
      </c>
      <c r="R4003" t="s">
        <v>192</v>
      </c>
      <c r="S4003" t="s">
        <v>32</v>
      </c>
      <c r="W4003">
        <v>11.5</v>
      </c>
      <c r="X4003">
        <v>25</v>
      </c>
      <c r="Z4003" t="s">
        <v>32</v>
      </c>
      <c r="AB4003" t="s">
        <v>53</v>
      </c>
      <c r="AC4003" t="s">
        <v>59</v>
      </c>
      <c r="AD4003" t="s">
        <v>197</v>
      </c>
    </row>
    <row r="4004" spans="1:30" x14ac:dyDescent="0.2">
      <c r="A4004" s="3">
        <v>42536</v>
      </c>
      <c r="B4004" t="s">
        <v>23</v>
      </c>
      <c r="C4004">
        <v>801</v>
      </c>
      <c r="D4004">
        <v>8</v>
      </c>
      <c r="E4004">
        <v>2</v>
      </c>
      <c r="F4004" t="s">
        <v>33</v>
      </c>
      <c r="G4004" t="s">
        <v>25</v>
      </c>
      <c r="H4004" t="s">
        <v>26</v>
      </c>
      <c r="I4004" t="s">
        <v>142</v>
      </c>
      <c r="J4004" t="s">
        <v>205</v>
      </c>
      <c r="Z4004" t="s">
        <v>32</v>
      </c>
    </row>
    <row r="4005" spans="1:30" x14ac:dyDescent="0.2">
      <c r="A4005" s="3">
        <v>42537</v>
      </c>
      <c r="B4005" t="s">
        <v>23</v>
      </c>
      <c r="C4005">
        <v>501</v>
      </c>
      <c r="D4005">
        <v>7</v>
      </c>
      <c r="E4005">
        <v>1</v>
      </c>
      <c r="F4005" t="s">
        <v>24</v>
      </c>
      <c r="G4005" t="s">
        <v>25</v>
      </c>
      <c r="H4005" t="s">
        <v>26</v>
      </c>
      <c r="I4005" t="s">
        <v>142</v>
      </c>
      <c r="J4005" t="s">
        <v>34</v>
      </c>
      <c r="K4005" t="s">
        <v>187</v>
      </c>
      <c r="L4005" t="s">
        <v>30</v>
      </c>
      <c r="M4005">
        <v>0</v>
      </c>
      <c r="N4005">
        <v>1</v>
      </c>
      <c r="P4005" s="17">
        <v>50585</v>
      </c>
      <c r="Q4005">
        <f>38.5-11</f>
        <v>27.5</v>
      </c>
      <c r="R4005" t="s">
        <v>192</v>
      </c>
      <c r="S4005" t="s">
        <v>145</v>
      </c>
      <c r="T4005">
        <v>28</v>
      </c>
      <c r="W4005">
        <v>12.6</v>
      </c>
      <c r="X4005">
        <v>29.8</v>
      </c>
      <c r="Z4005" t="s">
        <v>32</v>
      </c>
      <c r="AB4005" t="s">
        <v>44</v>
      </c>
      <c r="AC4005" t="s">
        <v>122</v>
      </c>
    </row>
    <row r="4006" spans="1:30" x14ac:dyDescent="0.2">
      <c r="A4006" s="3">
        <v>42542</v>
      </c>
      <c r="B4006" t="s">
        <v>23</v>
      </c>
      <c r="C4006">
        <v>112</v>
      </c>
      <c r="D4006">
        <v>7</v>
      </c>
      <c r="E4006">
        <v>2</v>
      </c>
      <c r="F4006" t="s">
        <v>24</v>
      </c>
      <c r="G4006" t="s">
        <v>25</v>
      </c>
      <c r="H4006" t="s">
        <v>26</v>
      </c>
      <c r="I4006" t="s">
        <v>142</v>
      </c>
      <c r="J4006" t="s">
        <v>205</v>
      </c>
      <c r="Z4006" t="s">
        <v>32</v>
      </c>
    </row>
    <row r="4007" spans="1:30" x14ac:dyDescent="0.2">
      <c r="A4007" s="3">
        <v>42543</v>
      </c>
      <c r="B4007" t="s">
        <v>23</v>
      </c>
      <c r="C4007">
        <v>203</v>
      </c>
      <c r="D4007">
        <v>4</v>
      </c>
      <c r="E4007">
        <v>1</v>
      </c>
      <c r="F4007" t="s">
        <v>33</v>
      </c>
      <c r="G4007" t="s">
        <v>25</v>
      </c>
      <c r="H4007" t="s">
        <v>26</v>
      </c>
      <c r="I4007" t="s">
        <v>142</v>
      </c>
      <c r="J4007" t="s">
        <v>213</v>
      </c>
      <c r="P4007" s="17">
        <v>50411</v>
      </c>
      <c r="Z4007" t="s">
        <v>32</v>
      </c>
      <c r="AD4007" t="s">
        <v>289</v>
      </c>
    </row>
    <row r="4008" spans="1:30" x14ac:dyDescent="0.2">
      <c r="A4008" s="3">
        <v>42549</v>
      </c>
      <c r="B4008" t="s">
        <v>23</v>
      </c>
      <c r="C4008">
        <v>503</v>
      </c>
      <c r="D4008">
        <v>2</v>
      </c>
      <c r="E4008">
        <v>2</v>
      </c>
      <c r="F4008" t="s">
        <v>33</v>
      </c>
      <c r="G4008" t="s">
        <v>25</v>
      </c>
      <c r="H4008" t="s">
        <v>26</v>
      </c>
      <c r="I4008" t="s">
        <v>142</v>
      </c>
      <c r="J4008" t="s">
        <v>205</v>
      </c>
      <c r="Z4008" t="s">
        <v>32</v>
      </c>
    </row>
    <row r="4009" spans="1:30" x14ac:dyDescent="0.2">
      <c r="A4009" s="3">
        <v>42549</v>
      </c>
      <c r="B4009" t="s">
        <v>23</v>
      </c>
      <c r="C4009">
        <v>701</v>
      </c>
      <c r="D4009">
        <v>3</v>
      </c>
      <c r="E4009">
        <v>1</v>
      </c>
      <c r="F4009" t="s">
        <v>24</v>
      </c>
      <c r="G4009" t="s">
        <v>25</v>
      </c>
      <c r="H4009" t="s">
        <v>26</v>
      </c>
      <c r="I4009" t="s">
        <v>142</v>
      </c>
      <c r="J4009" t="s">
        <v>45</v>
      </c>
      <c r="K4009" t="s">
        <v>29</v>
      </c>
      <c r="L4009" t="s">
        <v>30</v>
      </c>
      <c r="M4009">
        <v>0</v>
      </c>
      <c r="N4009">
        <v>0</v>
      </c>
      <c r="P4009" s="17">
        <v>50481</v>
      </c>
      <c r="Q4009">
        <f>36.5-11.5</f>
        <v>25</v>
      </c>
      <c r="R4009" t="s">
        <v>75</v>
      </c>
      <c r="S4009" t="s">
        <v>145</v>
      </c>
      <c r="T4009">
        <v>27</v>
      </c>
      <c r="Z4009" t="s">
        <v>32</v>
      </c>
      <c r="AB4009" t="s">
        <v>121</v>
      </c>
      <c r="AC4009" t="s">
        <v>122</v>
      </c>
      <c r="AD4009" t="s">
        <v>330</v>
      </c>
    </row>
    <row r="4010" spans="1:30" x14ac:dyDescent="0.2">
      <c r="A4010" s="3">
        <v>42550</v>
      </c>
      <c r="B4010" t="s">
        <v>23</v>
      </c>
      <c r="C4010">
        <v>501</v>
      </c>
      <c r="D4010">
        <v>5</v>
      </c>
      <c r="E4010">
        <v>2</v>
      </c>
      <c r="F4010" t="s">
        <v>33</v>
      </c>
      <c r="G4010" t="s">
        <v>25</v>
      </c>
      <c r="H4010" t="s">
        <v>26</v>
      </c>
      <c r="I4010" t="s">
        <v>142</v>
      </c>
      <c r="J4010" t="s">
        <v>205</v>
      </c>
      <c r="Z4010" t="s">
        <v>32</v>
      </c>
    </row>
    <row r="4011" spans="1:30" x14ac:dyDescent="0.2">
      <c r="A4011" s="3">
        <v>42550</v>
      </c>
      <c r="B4011" t="s">
        <v>23</v>
      </c>
      <c r="C4011">
        <v>701</v>
      </c>
      <c r="D4011">
        <v>3</v>
      </c>
      <c r="E4011">
        <v>2</v>
      </c>
      <c r="F4011" t="s">
        <v>24</v>
      </c>
      <c r="G4011" t="s">
        <v>25</v>
      </c>
      <c r="H4011" t="s">
        <v>26</v>
      </c>
      <c r="I4011" t="s">
        <v>142</v>
      </c>
      <c r="J4011" t="s">
        <v>28</v>
      </c>
      <c r="K4011" t="s">
        <v>29</v>
      </c>
      <c r="L4011" t="s">
        <v>30</v>
      </c>
      <c r="M4011">
        <v>0</v>
      </c>
      <c r="N4011">
        <v>0</v>
      </c>
      <c r="P4011" s="17">
        <v>50481</v>
      </c>
      <c r="Q4011">
        <f>36-12.5</f>
        <v>23.5</v>
      </c>
      <c r="R4011" t="s">
        <v>75</v>
      </c>
      <c r="S4011" t="s">
        <v>145</v>
      </c>
      <c r="T4011">
        <v>28</v>
      </c>
      <c r="W4011">
        <v>12.8</v>
      </c>
      <c r="X4011">
        <v>25.7</v>
      </c>
      <c r="Z4011" t="s">
        <v>32</v>
      </c>
      <c r="AB4011" t="s">
        <v>255</v>
      </c>
      <c r="AC4011" t="s">
        <v>59</v>
      </c>
    </row>
    <row r="4012" spans="1:30" x14ac:dyDescent="0.2">
      <c r="A4012" s="3">
        <v>42550</v>
      </c>
      <c r="B4012" t="s">
        <v>23</v>
      </c>
      <c r="C4012">
        <v>801</v>
      </c>
      <c r="D4012">
        <v>2</v>
      </c>
      <c r="E4012">
        <v>1</v>
      </c>
      <c r="F4012" t="s">
        <v>24</v>
      </c>
      <c r="G4012" t="s">
        <v>25</v>
      </c>
      <c r="H4012" t="s">
        <v>26</v>
      </c>
      <c r="I4012" t="s">
        <v>142</v>
      </c>
      <c r="J4012" t="s">
        <v>28</v>
      </c>
      <c r="K4012" t="s">
        <v>29</v>
      </c>
      <c r="L4012" t="s">
        <v>30</v>
      </c>
      <c r="M4012">
        <v>0</v>
      </c>
      <c r="N4012">
        <v>0</v>
      </c>
      <c r="P4012" s="17" t="s">
        <v>337</v>
      </c>
      <c r="Q4012">
        <f>36-12</f>
        <v>24</v>
      </c>
      <c r="R4012" t="s">
        <v>75</v>
      </c>
      <c r="S4012" t="s">
        <v>145</v>
      </c>
      <c r="T4012">
        <v>28</v>
      </c>
      <c r="W4012">
        <v>12.5</v>
      </c>
      <c r="X4012">
        <v>26.7</v>
      </c>
      <c r="Z4012" t="s">
        <v>32</v>
      </c>
      <c r="AB4012" t="s">
        <v>53</v>
      </c>
      <c r="AC4012" t="s">
        <v>59</v>
      </c>
    </row>
    <row r="4013" spans="1:30" x14ac:dyDescent="0.2">
      <c r="A4013" s="3">
        <v>42550</v>
      </c>
      <c r="B4013" t="s">
        <v>23</v>
      </c>
      <c r="C4013">
        <v>803</v>
      </c>
      <c r="D4013">
        <v>5</v>
      </c>
      <c r="E4013">
        <v>1</v>
      </c>
      <c r="F4013" t="s">
        <v>24</v>
      </c>
      <c r="G4013" t="s">
        <v>25</v>
      </c>
      <c r="H4013" t="s">
        <v>26</v>
      </c>
      <c r="I4013" t="s">
        <v>142</v>
      </c>
      <c r="J4013" t="s">
        <v>28</v>
      </c>
      <c r="K4013" t="s">
        <v>29</v>
      </c>
      <c r="L4013" t="s">
        <v>30</v>
      </c>
      <c r="M4013">
        <v>0</v>
      </c>
      <c r="N4013">
        <v>0</v>
      </c>
      <c r="P4013" s="17">
        <v>50615</v>
      </c>
      <c r="Q4013">
        <f>37.5-13</f>
        <v>24.5</v>
      </c>
      <c r="R4013" t="s">
        <v>75</v>
      </c>
      <c r="S4013" t="s">
        <v>145</v>
      </c>
      <c r="T4013">
        <v>28</v>
      </c>
      <c r="W4013">
        <v>12.8</v>
      </c>
      <c r="X4013">
        <v>28.15</v>
      </c>
      <c r="Z4013" t="s">
        <v>32</v>
      </c>
      <c r="AB4013" t="s">
        <v>53</v>
      </c>
      <c r="AC4013" t="s">
        <v>59</v>
      </c>
    </row>
    <row r="4014" spans="1:30" x14ac:dyDescent="0.2">
      <c r="A4014" s="3">
        <v>42551</v>
      </c>
      <c r="B4014" t="s">
        <v>23</v>
      </c>
      <c r="C4014">
        <v>501</v>
      </c>
      <c r="D4014">
        <v>8</v>
      </c>
      <c r="E4014">
        <v>1</v>
      </c>
      <c r="F4014" t="s">
        <v>33</v>
      </c>
      <c r="G4014" t="s">
        <v>25</v>
      </c>
      <c r="H4014" t="s">
        <v>26</v>
      </c>
      <c r="I4014" t="s">
        <v>142</v>
      </c>
      <c r="J4014" t="s">
        <v>28</v>
      </c>
      <c r="K4014" t="s">
        <v>29</v>
      </c>
      <c r="L4014" t="s">
        <v>30</v>
      </c>
      <c r="M4014">
        <v>0</v>
      </c>
      <c r="N4014">
        <v>0</v>
      </c>
      <c r="P4014" s="17">
        <v>50585</v>
      </c>
      <c r="Q4014">
        <f>38-12</f>
        <v>26</v>
      </c>
      <c r="R4014" t="s">
        <v>279</v>
      </c>
      <c r="S4014" t="s">
        <v>145</v>
      </c>
      <c r="T4014">
        <v>29</v>
      </c>
      <c r="W4014">
        <v>13.6</v>
      </c>
      <c r="X4014">
        <v>28.8</v>
      </c>
      <c r="Z4014" t="s">
        <v>32</v>
      </c>
      <c r="AB4014" t="s">
        <v>44</v>
      </c>
      <c r="AC4014" t="s">
        <v>59</v>
      </c>
    </row>
    <row r="4015" spans="1:30" x14ac:dyDescent="0.2">
      <c r="A4015" s="3">
        <v>42556</v>
      </c>
      <c r="B4015" t="s">
        <v>23</v>
      </c>
      <c r="C4015">
        <v>402</v>
      </c>
      <c r="D4015">
        <v>8</v>
      </c>
      <c r="E4015">
        <v>2</v>
      </c>
      <c r="F4015" t="s">
        <v>33</v>
      </c>
      <c r="G4015" t="s">
        <v>25</v>
      </c>
      <c r="H4015" t="s">
        <v>26</v>
      </c>
      <c r="I4015" t="s">
        <v>142</v>
      </c>
      <c r="J4015" t="s">
        <v>34</v>
      </c>
      <c r="K4015" t="s">
        <v>29</v>
      </c>
      <c r="L4015" t="s">
        <v>30</v>
      </c>
      <c r="M4015">
        <v>0</v>
      </c>
      <c r="N4015">
        <v>1</v>
      </c>
      <c r="P4015" s="17">
        <v>50554</v>
      </c>
      <c r="Q4015">
        <f>34.5-11.5</f>
        <v>23</v>
      </c>
      <c r="R4015" t="s">
        <v>273</v>
      </c>
      <c r="S4015" t="s">
        <v>145</v>
      </c>
      <c r="T4015">
        <v>30.5</v>
      </c>
      <c r="Z4015" t="s">
        <v>32</v>
      </c>
      <c r="AB4015" t="s">
        <v>53</v>
      </c>
      <c r="AC4015" t="s">
        <v>59</v>
      </c>
    </row>
    <row r="4016" spans="1:30" x14ac:dyDescent="0.2">
      <c r="A4016" s="3">
        <v>42557</v>
      </c>
      <c r="B4016" t="s">
        <v>23</v>
      </c>
      <c r="C4016">
        <v>402</v>
      </c>
      <c r="D4016">
        <v>9</v>
      </c>
      <c r="E4016">
        <v>1</v>
      </c>
      <c r="F4016" t="s">
        <v>33</v>
      </c>
      <c r="G4016" t="s">
        <v>25</v>
      </c>
      <c r="H4016" t="s">
        <v>26</v>
      </c>
      <c r="I4016" t="s">
        <v>142</v>
      </c>
      <c r="J4016" t="s">
        <v>28</v>
      </c>
      <c r="K4016" t="s">
        <v>29</v>
      </c>
      <c r="L4016" t="s">
        <v>30</v>
      </c>
      <c r="M4016">
        <v>0</v>
      </c>
      <c r="N4016">
        <v>0</v>
      </c>
      <c r="P4016" s="17">
        <v>50554</v>
      </c>
      <c r="Q4016">
        <f>32-9</f>
        <v>23</v>
      </c>
      <c r="R4016" t="s">
        <v>273</v>
      </c>
      <c r="S4016" t="s">
        <v>145</v>
      </c>
      <c r="T4016">
        <v>30</v>
      </c>
      <c r="W4016">
        <v>12.3</v>
      </c>
      <c r="X4016">
        <v>26.8</v>
      </c>
      <c r="Z4016" t="s">
        <v>32</v>
      </c>
      <c r="AB4016" t="s">
        <v>44</v>
      </c>
      <c r="AC4016" t="s">
        <v>122</v>
      </c>
    </row>
    <row r="4017" spans="1:30" x14ac:dyDescent="0.2">
      <c r="A4017" s="3">
        <v>42557</v>
      </c>
      <c r="B4017" t="s">
        <v>23</v>
      </c>
      <c r="C4017">
        <v>402</v>
      </c>
      <c r="D4017">
        <v>9</v>
      </c>
      <c r="E4017">
        <v>2</v>
      </c>
      <c r="F4017" t="s">
        <v>33</v>
      </c>
      <c r="G4017" t="s">
        <v>25</v>
      </c>
      <c r="H4017" t="s">
        <v>26</v>
      </c>
      <c r="I4017" t="s">
        <v>142</v>
      </c>
      <c r="J4017" t="s">
        <v>205</v>
      </c>
    </row>
    <row r="4018" spans="1:30" x14ac:dyDescent="0.2">
      <c r="A4018" s="3">
        <v>42557</v>
      </c>
      <c r="B4018" t="s">
        <v>23</v>
      </c>
      <c r="C4018">
        <v>304</v>
      </c>
      <c r="D4018">
        <v>8</v>
      </c>
      <c r="E4018">
        <v>2</v>
      </c>
      <c r="F4018" t="s">
        <v>33</v>
      </c>
      <c r="G4018" t="s">
        <v>25</v>
      </c>
      <c r="H4018" t="s">
        <v>26</v>
      </c>
      <c r="I4018" t="s">
        <v>142</v>
      </c>
      <c r="J4018" t="s">
        <v>34</v>
      </c>
      <c r="K4018" t="s">
        <v>29</v>
      </c>
      <c r="M4018">
        <v>0</v>
      </c>
      <c r="N4018">
        <v>1</v>
      </c>
      <c r="P4018" s="17">
        <v>50563</v>
      </c>
      <c r="AB4018" t="s">
        <v>44</v>
      </c>
      <c r="AC4018" t="s">
        <v>122</v>
      </c>
      <c r="AD4018" t="s">
        <v>431</v>
      </c>
    </row>
    <row r="4019" spans="1:30" x14ac:dyDescent="0.2">
      <c r="A4019" s="3">
        <v>42563</v>
      </c>
      <c r="B4019" t="s">
        <v>23</v>
      </c>
      <c r="C4019">
        <v>801</v>
      </c>
      <c r="D4019">
        <v>10</v>
      </c>
      <c r="E4019">
        <v>1</v>
      </c>
      <c r="F4019" t="s">
        <v>33</v>
      </c>
      <c r="G4019" t="s">
        <v>25</v>
      </c>
      <c r="H4019" t="s">
        <v>26</v>
      </c>
      <c r="I4019" t="s">
        <v>142</v>
      </c>
      <c r="J4019" t="s">
        <v>34</v>
      </c>
      <c r="K4019" t="s">
        <v>29</v>
      </c>
      <c r="L4019" t="s">
        <v>30</v>
      </c>
      <c r="M4019">
        <v>0</v>
      </c>
      <c r="N4019">
        <v>1</v>
      </c>
      <c r="P4019" s="17">
        <v>50510</v>
      </c>
      <c r="Q4019">
        <f>35-9</f>
        <v>26</v>
      </c>
      <c r="R4019" t="s">
        <v>273</v>
      </c>
      <c r="S4019" t="s">
        <v>145</v>
      </c>
      <c r="T4019">
        <v>29</v>
      </c>
      <c r="W4019">
        <v>12.9</v>
      </c>
      <c r="X4019">
        <v>26.2</v>
      </c>
      <c r="Z4019" t="s">
        <v>145</v>
      </c>
      <c r="AA4019" t="s">
        <v>516</v>
      </c>
      <c r="AB4019" t="s">
        <v>53</v>
      </c>
      <c r="AC4019" t="s">
        <v>122</v>
      </c>
    </row>
    <row r="4020" spans="1:30" x14ac:dyDescent="0.2">
      <c r="A4020" s="3">
        <v>42564</v>
      </c>
      <c r="B4020" t="s">
        <v>23</v>
      </c>
      <c r="C4020">
        <v>501</v>
      </c>
      <c r="D4020">
        <v>7</v>
      </c>
      <c r="E4020">
        <v>1</v>
      </c>
      <c r="F4020" t="s">
        <v>24</v>
      </c>
      <c r="G4020" t="s">
        <v>25</v>
      </c>
      <c r="H4020" t="s">
        <v>26</v>
      </c>
      <c r="I4020" t="s">
        <v>142</v>
      </c>
      <c r="J4020" t="s">
        <v>28</v>
      </c>
      <c r="K4020" t="s">
        <v>29</v>
      </c>
      <c r="L4020" t="s">
        <v>30</v>
      </c>
      <c r="M4020">
        <v>0</v>
      </c>
      <c r="N4020">
        <v>0</v>
      </c>
      <c r="P4020" s="17">
        <v>50585</v>
      </c>
      <c r="Q4020">
        <v>31</v>
      </c>
      <c r="R4020" t="s">
        <v>273</v>
      </c>
      <c r="S4020" t="s">
        <v>145</v>
      </c>
      <c r="T4020">
        <v>28</v>
      </c>
      <c r="W4020">
        <v>12.8</v>
      </c>
      <c r="X4020">
        <v>28.5</v>
      </c>
      <c r="Z4020" t="s">
        <v>32</v>
      </c>
    </row>
    <row r="4021" spans="1:30" x14ac:dyDescent="0.2">
      <c r="A4021" s="3">
        <v>42564</v>
      </c>
      <c r="B4021" t="s">
        <v>23</v>
      </c>
      <c r="C4021">
        <v>701</v>
      </c>
      <c r="D4021">
        <v>9</v>
      </c>
      <c r="E4021">
        <v>2</v>
      </c>
      <c r="F4021" t="s">
        <v>33</v>
      </c>
      <c r="G4021" t="s">
        <v>25</v>
      </c>
      <c r="H4021" t="s">
        <v>26</v>
      </c>
      <c r="I4021" t="s">
        <v>142</v>
      </c>
      <c r="J4021" t="s">
        <v>28</v>
      </c>
      <c r="K4021" t="s">
        <v>29</v>
      </c>
      <c r="L4021" t="s">
        <v>30</v>
      </c>
      <c r="M4021">
        <v>0</v>
      </c>
      <c r="N4021">
        <v>0</v>
      </c>
      <c r="P4021" s="17">
        <v>50481</v>
      </c>
      <c r="Q4021">
        <f>36-9</f>
        <v>27</v>
      </c>
      <c r="R4021" t="s">
        <v>273</v>
      </c>
      <c r="S4021" t="s">
        <v>145</v>
      </c>
      <c r="T4021">
        <v>28</v>
      </c>
      <c r="Z4021" t="s">
        <v>32</v>
      </c>
      <c r="AB4021" t="s">
        <v>121</v>
      </c>
      <c r="AC4021" t="s">
        <v>122</v>
      </c>
    </row>
    <row r="4022" spans="1:30" x14ac:dyDescent="0.2">
      <c r="A4022" s="3">
        <v>42564</v>
      </c>
      <c r="B4022" t="s">
        <v>23</v>
      </c>
      <c r="C4022">
        <v>803</v>
      </c>
      <c r="D4022">
        <v>7</v>
      </c>
      <c r="E4022">
        <v>2</v>
      </c>
      <c r="F4022" t="s">
        <v>33</v>
      </c>
      <c r="G4022" t="s">
        <v>25</v>
      </c>
      <c r="H4022" t="s">
        <v>26</v>
      </c>
      <c r="I4022" t="s">
        <v>142</v>
      </c>
      <c r="J4022" t="s">
        <v>34</v>
      </c>
      <c r="K4022" t="s">
        <v>29</v>
      </c>
      <c r="L4022" t="s">
        <v>30</v>
      </c>
      <c r="M4022">
        <v>0</v>
      </c>
      <c r="N4022">
        <v>1</v>
      </c>
      <c r="P4022" s="17">
        <v>50771</v>
      </c>
      <c r="Q4022">
        <v>31</v>
      </c>
      <c r="R4022" t="s">
        <v>273</v>
      </c>
      <c r="S4022" t="s">
        <v>145</v>
      </c>
      <c r="T4022">
        <v>30</v>
      </c>
      <c r="W4022">
        <v>13</v>
      </c>
      <c r="X4022">
        <v>27.5</v>
      </c>
      <c r="Z4022" t="s">
        <v>32</v>
      </c>
      <c r="AB4022" t="s">
        <v>121</v>
      </c>
      <c r="AC4022" t="s">
        <v>122</v>
      </c>
    </row>
    <row r="4023" spans="1:30" x14ac:dyDescent="0.2">
      <c r="A4023" s="3">
        <v>42565</v>
      </c>
      <c r="B4023" t="s">
        <v>23</v>
      </c>
      <c r="C4023">
        <v>801</v>
      </c>
      <c r="D4023">
        <v>7</v>
      </c>
      <c r="E4023">
        <v>2</v>
      </c>
      <c r="F4023" t="s">
        <v>33</v>
      </c>
      <c r="G4023" t="s">
        <v>25</v>
      </c>
      <c r="H4023" t="s">
        <v>26</v>
      </c>
      <c r="I4023" t="s">
        <v>142</v>
      </c>
      <c r="J4023" t="s">
        <v>28</v>
      </c>
      <c r="K4023" t="s">
        <v>29</v>
      </c>
      <c r="L4023" t="s">
        <v>30</v>
      </c>
      <c r="M4023">
        <v>0</v>
      </c>
      <c r="N4023">
        <v>0</v>
      </c>
      <c r="P4023" s="17">
        <v>50510</v>
      </c>
      <c r="Q4023">
        <f>32-9</f>
        <v>23</v>
      </c>
      <c r="R4023" t="s">
        <v>273</v>
      </c>
      <c r="S4023" t="s">
        <v>145</v>
      </c>
      <c r="T4023">
        <v>29</v>
      </c>
      <c r="W4023">
        <v>12.8</v>
      </c>
      <c r="X4023">
        <v>26.4</v>
      </c>
      <c r="Z4023" t="s">
        <v>32</v>
      </c>
      <c r="AB4023" t="s">
        <v>121</v>
      </c>
      <c r="AC4023" t="s">
        <v>254</v>
      </c>
    </row>
    <row r="4024" spans="1:30" x14ac:dyDescent="0.2">
      <c r="A4024" s="3">
        <v>42565</v>
      </c>
      <c r="B4024" t="s">
        <v>23</v>
      </c>
      <c r="C4024">
        <v>803</v>
      </c>
      <c r="D4024">
        <v>4</v>
      </c>
      <c r="E4024">
        <v>1</v>
      </c>
      <c r="F4024" t="s">
        <v>33</v>
      </c>
      <c r="G4024" t="s">
        <v>25</v>
      </c>
      <c r="H4024" t="s">
        <v>26</v>
      </c>
      <c r="I4024" t="s">
        <v>142</v>
      </c>
      <c r="J4024" t="s">
        <v>28</v>
      </c>
      <c r="K4024" t="s">
        <v>29</v>
      </c>
      <c r="L4024" t="s">
        <v>30</v>
      </c>
      <c r="M4024">
        <v>0</v>
      </c>
      <c r="N4024">
        <v>0</v>
      </c>
      <c r="P4024" s="17">
        <v>50771</v>
      </c>
      <c r="Q4024">
        <f>43.5-13</f>
        <v>30.5</v>
      </c>
      <c r="R4024" t="s">
        <v>273</v>
      </c>
      <c r="S4024" t="s">
        <v>145</v>
      </c>
      <c r="T4024">
        <v>31</v>
      </c>
      <c r="W4024">
        <v>13.2</v>
      </c>
      <c r="X4024">
        <v>28</v>
      </c>
      <c r="Z4024" t="s">
        <v>32</v>
      </c>
      <c r="AB4024" t="s">
        <v>121</v>
      </c>
      <c r="AC4024" t="s">
        <v>254</v>
      </c>
    </row>
    <row r="4025" spans="1:30" x14ac:dyDescent="0.2">
      <c r="A4025" s="3">
        <v>42565</v>
      </c>
      <c r="B4025" t="s">
        <v>23</v>
      </c>
      <c r="C4025">
        <v>803</v>
      </c>
      <c r="D4025">
        <v>4</v>
      </c>
      <c r="E4025">
        <v>2</v>
      </c>
      <c r="F4025" t="s">
        <v>33</v>
      </c>
      <c r="G4025" t="s">
        <v>25</v>
      </c>
      <c r="H4025" t="s">
        <v>26</v>
      </c>
      <c r="I4025" t="s">
        <v>142</v>
      </c>
      <c r="J4025" t="s">
        <v>34</v>
      </c>
      <c r="K4025" t="s">
        <v>29</v>
      </c>
      <c r="L4025" t="s">
        <v>30</v>
      </c>
      <c r="M4025">
        <v>0</v>
      </c>
      <c r="N4025">
        <v>1</v>
      </c>
      <c r="P4025" s="17">
        <v>50753</v>
      </c>
      <c r="Q4025">
        <v>24</v>
      </c>
      <c r="R4025" t="s">
        <v>273</v>
      </c>
      <c r="S4025" t="s">
        <v>145</v>
      </c>
      <c r="T4025">
        <v>28</v>
      </c>
      <c r="W4025">
        <v>12.9</v>
      </c>
      <c r="X4025">
        <v>26.6</v>
      </c>
      <c r="Z4025" t="s">
        <v>32</v>
      </c>
      <c r="AB4025" t="s">
        <v>121</v>
      </c>
      <c r="AC4025" t="s">
        <v>254</v>
      </c>
      <c r="AD4025" t="s">
        <v>599</v>
      </c>
    </row>
    <row r="4026" spans="1:30" x14ac:dyDescent="0.2">
      <c r="A4026" s="3">
        <v>42565</v>
      </c>
      <c r="B4026" t="s">
        <v>23</v>
      </c>
      <c r="C4026">
        <v>803</v>
      </c>
      <c r="D4026">
        <v>1</v>
      </c>
      <c r="E4026">
        <v>1</v>
      </c>
      <c r="F4026" t="s">
        <v>33</v>
      </c>
      <c r="G4026" t="s">
        <v>25</v>
      </c>
      <c r="H4026" t="s">
        <v>26</v>
      </c>
      <c r="I4026" t="s">
        <v>142</v>
      </c>
      <c r="J4026" t="s">
        <v>28</v>
      </c>
      <c r="K4026" t="s">
        <v>29</v>
      </c>
      <c r="L4026" t="s">
        <v>30</v>
      </c>
      <c r="M4026">
        <v>0</v>
      </c>
      <c r="N4026">
        <v>0</v>
      </c>
      <c r="P4026" s="17">
        <v>50615</v>
      </c>
      <c r="Q4026">
        <v>31</v>
      </c>
      <c r="R4026" t="s">
        <v>273</v>
      </c>
      <c r="S4026" t="s">
        <v>145</v>
      </c>
      <c r="T4026">
        <v>30</v>
      </c>
      <c r="W4026">
        <v>13</v>
      </c>
      <c r="X4026">
        <v>28.1</v>
      </c>
      <c r="Z4026" t="s">
        <v>32</v>
      </c>
      <c r="AB4026" t="s">
        <v>121</v>
      </c>
      <c r="AC4026" t="s">
        <v>254</v>
      </c>
    </row>
    <row r="4027" spans="1:30" x14ac:dyDescent="0.2">
      <c r="A4027" s="3">
        <v>42570</v>
      </c>
      <c r="B4027" t="s">
        <v>23</v>
      </c>
      <c r="C4027">
        <v>113</v>
      </c>
      <c r="D4027">
        <v>1</v>
      </c>
      <c r="E4027">
        <v>1</v>
      </c>
      <c r="F4027" t="s">
        <v>24</v>
      </c>
      <c r="G4027" t="s">
        <v>25</v>
      </c>
      <c r="H4027" t="s">
        <v>26</v>
      </c>
      <c r="I4027" t="s">
        <v>142</v>
      </c>
      <c r="J4027" t="s">
        <v>28</v>
      </c>
      <c r="K4027" t="s">
        <v>29</v>
      </c>
      <c r="L4027" t="s">
        <v>35</v>
      </c>
      <c r="M4027">
        <v>0</v>
      </c>
      <c r="N4027">
        <v>0</v>
      </c>
      <c r="P4027" s="17" t="s">
        <v>600</v>
      </c>
      <c r="Q4027">
        <v>20</v>
      </c>
      <c r="R4027" t="s">
        <v>39</v>
      </c>
      <c r="T4027">
        <v>29.5</v>
      </c>
      <c r="W4027">
        <v>12.5</v>
      </c>
      <c r="X4027">
        <v>26.5</v>
      </c>
      <c r="Z4027" t="s">
        <v>32</v>
      </c>
      <c r="AB4027" t="s">
        <v>582</v>
      </c>
      <c r="AC4027" t="s">
        <v>59</v>
      </c>
    </row>
    <row r="4028" spans="1:30" x14ac:dyDescent="0.2">
      <c r="A4028" s="3">
        <v>42570</v>
      </c>
      <c r="B4028" t="s">
        <v>23</v>
      </c>
      <c r="C4028">
        <v>402</v>
      </c>
      <c r="D4028">
        <v>1</v>
      </c>
      <c r="E4028">
        <v>1</v>
      </c>
      <c r="F4028" t="s">
        <v>24</v>
      </c>
      <c r="G4028" t="s">
        <v>25</v>
      </c>
      <c r="H4028" t="s">
        <v>26</v>
      </c>
      <c r="I4028" t="s">
        <v>142</v>
      </c>
      <c r="J4028" t="s">
        <v>28</v>
      </c>
      <c r="K4028" t="s">
        <v>29</v>
      </c>
      <c r="L4028" t="s">
        <v>30</v>
      </c>
      <c r="M4028">
        <v>0</v>
      </c>
      <c r="N4028">
        <v>0</v>
      </c>
      <c r="P4028" s="17">
        <v>50554</v>
      </c>
      <c r="Q4028">
        <f>37-13</f>
        <v>24</v>
      </c>
      <c r="R4028" t="s">
        <v>31</v>
      </c>
      <c r="T4028">
        <v>28</v>
      </c>
      <c r="W4028">
        <v>12.5</v>
      </c>
      <c r="X4028">
        <v>27</v>
      </c>
      <c r="Y4028" t="s">
        <v>601</v>
      </c>
      <c r="Z4028" t="s">
        <v>32</v>
      </c>
      <c r="AB4028" t="s">
        <v>582</v>
      </c>
      <c r="AC4028" t="s">
        <v>59</v>
      </c>
    </row>
    <row r="4029" spans="1:30" x14ac:dyDescent="0.2">
      <c r="A4029" s="3">
        <v>42572</v>
      </c>
      <c r="B4029" t="s">
        <v>23</v>
      </c>
      <c r="C4029">
        <v>203</v>
      </c>
      <c r="D4029">
        <v>4</v>
      </c>
      <c r="E4029">
        <v>1</v>
      </c>
      <c r="F4029" t="s">
        <v>33</v>
      </c>
      <c r="G4029" t="s">
        <v>25</v>
      </c>
      <c r="H4029" t="s">
        <v>26</v>
      </c>
      <c r="I4029" t="s">
        <v>142</v>
      </c>
      <c r="J4029" t="s">
        <v>28</v>
      </c>
      <c r="K4029" t="s">
        <v>29</v>
      </c>
      <c r="L4029" t="s">
        <v>30</v>
      </c>
      <c r="M4029">
        <v>0</v>
      </c>
      <c r="N4029">
        <v>0</v>
      </c>
      <c r="P4029" s="17">
        <v>50656</v>
      </c>
      <c r="Q4029">
        <f>30-10.5</f>
        <v>19.5</v>
      </c>
      <c r="R4029" t="s">
        <v>75</v>
      </c>
      <c r="S4029" t="s">
        <v>145</v>
      </c>
      <c r="T4029">
        <v>29</v>
      </c>
      <c r="W4029">
        <v>12.9</v>
      </c>
      <c r="X4029">
        <v>26.4</v>
      </c>
      <c r="Z4029" t="s">
        <v>32</v>
      </c>
      <c r="AB4029" t="s">
        <v>121</v>
      </c>
      <c r="AC4029" t="s">
        <v>59</v>
      </c>
    </row>
    <row r="4030" spans="1:30" x14ac:dyDescent="0.2">
      <c r="A4030" s="3">
        <v>42572</v>
      </c>
      <c r="B4030" t="s">
        <v>23</v>
      </c>
      <c r="C4030">
        <v>203</v>
      </c>
      <c r="D4030">
        <v>5</v>
      </c>
      <c r="E4030">
        <v>1</v>
      </c>
      <c r="F4030" t="s">
        <v>33</v>
      </c>
      <c r="G4030" t="s">
        <v>25</v>
      </c>
      <c r="H4030" t="s">
        <v>26</v>
      </c>
      <c r="I4030" t="s">
        <v>142</v>
      </c>
      <c r="J4030" t="s">
        <v>34</v>
      </c>
      <c r="K4030" t="s">
        <v>29</v>
      </c>
      <c r="L4030" t="s">
        <v>30</v>
      </c>
      <c r="M4030">
        <v>0</v>
      </c>
      <c r="N4030">
        <v>1</v>
      </c>
      <c r="P4030" s="17">
        <v>50838</v>
      </c>
      <c r="Q4030">
        <f>32-9.5</f>
        <v>22.5</v>
      </c>
      <c r="R4030" t="s">
        <v>273</v>
      </c>
      <c r="S4030" t="s">
        <v>145</v>
      </c>
      <c r="T4030">
        <v>28</v>
      </c>
      <c r="W4030">
        <v>12.8</v>
      </c>
      <c r="X4030">
        <v>25.4</v>
      </c>
      <c r="Z4030" t="s">
        <v>32</v>
      </c>
      <c r="AB4030" t="s">
        <v>121</v>
      </c>
      <c r="AC4030" t="s">
        <v>59</v>
      </c>
      <c r="AD4030" t="s">
        <v>628</v>
      </c>
    </row>
    <row r="4031" spans="1:30" x14ac:dyDescent="0.2">
      <c r="A4031" s="3">
        <v>42572</v>
      </c>
      <c r="B4031" t="s">
        <v>23</v>
      </c>
      <c r="C4031">
        <v>112</v>
      </c>
      <c r="D4031">
        <v>2</v>
      </c>
      <c r="E4031">
        <v>2</v>
      </c>
      <c r="F4031" t="s">
        <v>24</v>
      </c>
      <c r="G4031" t="s">
        <v>25</v>
      </c>
      <c r="H4031" t="s">
        <v>26</v>
      </c>
      <c r="I4031" t="s">
        <v>142</v>
      </c>
      <c r="J4031" t="s">
        <v>28</v>
      </c>
      <c r="K4031" t="s">
        <v>29</v>
      </c>
      <c r="L4031" t="s">
        <v>30</v>
      </c>
      <c r="M4031">
        <v>0</v>
      </c>
      <c r="N4031">
        <v>0</v>
      </c>
      <c r="P4031" s="17">
        <v>50802</v>
      </c>
      <c r="Q4031">
        <f>33.5-9.5</f>
        <v>24</v>
      </c>
      <c r="R4031" t="s">
        <v>75</v>
      </c>
      <c r="S4031" t="s">
        <v>145</v>
      </c>
      <c r="T4031">
        <v>28</v>
      </c>
      <c r="W4031">
        <v>13</v>
      </c>
      <c r="X4031">
        <v>27.5</v>
      </c>
      <c r="Z4031" t="s">
        <v>32</v>
      </c>
      <c r="AB4031" t="s">
        <v>121</v>
      </c>
      <c r="AC4031" t="s">
        <v>122</v>
      </c>
    </row>
    <row r="4032" spans="1:30" x14ac:dyDescent="0.2">
      <c r="A4032" s="3">
        <v>42574</v>
      </c>
      <c r="B4032" t="s">
        <v>23</v>
      </c>
      <c r="C4032">
        <v>401</v>
      </c>
      <c r="D4032">
        <v>8</v>
      </c>
      <c r="E4032">
        <v>2</v>
      </c>
      <c r="F4032" t="s">
        <v>33</v>
      </c>
      <c r="G4032" t="s">
        <v>25</v>
      </c>
      <c r="H4032" t="s">
        <v>26</v>
      </c>
      <c r="I4032" t="s">
        <v>142</v>
      </c>
      <c r="J4032" t="s">
        <v>205</v>
      </c>
    </row>
    <row r="4033" spans="1:30" x14ac:dyDescent="0.2">
      <c r="A4033" s="3">
        <v>42574</v>
      </c>
      <c r="B4033" t="s">
        <v>23</v>
      </c>
      <c r="C4033">
        <v>801</v>
      </c>
      <c r="D4033">
        <v>5</v>
      </c>
      <c r="E4033">
        <v>1</v>
      </c>
      <c r="F4033" t="s">
        <v>24</v>
      </c>
      <c r="G4033" t="s">
        <v>25</v>
      </c>
      <c r="H4033" t="s">
        <v>26</v>
      </c>
      <c r="I4033" t="s">
        <v>142</v>
      </c>
      <c r="J4033" t="s">
        <v>205</v>
      </c>
    </row>
    <row r="4034" spans="1:30" x14ac:dyDescent="0.2">
      <c r="A4034" s="3">
        <v>42575</v>
      </c>
      <c r="B4034" t="s">
        <v>23</v>
      </c>
      <c r="C4034">
        <v>801</v>
      </c>
      <c r="D4034">
        <v>9</v>
      </c>
      <c r="E4034">
        <v>2</v>
      </c>
      <c r="F4034" t="s">
        <v>24</v>
      </c>
      <c r="G4034" t="s">
        <v>25</v>
      </c>
      <c r="H4034" t="s">
        <v>26</v>
      </c>
      <c r="I4034" t="s">
        <v>142</v>
      </c>
      <c r="J4034" t="s">
        <v>28</v>
      </c>
      <c r="K4034" t="s">
        <v>29</v>
      </c>
      <c r="L4034" t="s">
        <v>30</v>
      </c>
      <c r="M4034">
        <v>0</v>
      </c>
      <c r="N4034">
        <v>0</v>
      </c>
      <c r="P4034" s="17">
        <v>50510</v>
      </c>
      <c r="Q4034">
        <f>34-12</f>
        <v>22</v>
      </c>
      <c r="R4034" t="s">
        <v>31</v>
      </c>
      <c r="S4034" t="s">
        <v>32</v>
      </c>
      <c r="T4034">
        <v>28</v>
      </c>
      <c r="W4034">
        <v>12.6</v>
      </c>
      <c r="X4034">
        <v>25.2</v>
      </c>
      <c r="Z4034" t="s">
        <v>32</v>
      </c>
      <c r="AB4034" t="s">
        <v>582</v>
      </c>
      <c r="AC4034" t="s">
        <v>59</v>
      </c>
    </row>
    <row r="4035" spans="1:30" x14ac:dyDescent="0.2">
      <c r="A4035" s="3">
        <v>42575</v>
      </c>
      <c r="B4035" t="s">
        <v>23</v>
      </c>
      <c r="C4035">
        <v>803</v>
      </c>
      <c r="D4035">
        <v>8</v>
      </c>
      <c r="E4035">
        <v>1</v>
      </c>
      <c r="F4035" t="s">
        <v>24</v>
      </c>
      <c r="G4035" t="s">
        <v>25</v>
      </c>
      <c r="H4035" t="s">
        <v>26</v>
      </c>
      <c r="I4035" t="s">
        <v>142</v>
      </c>
      <c r="J4035" t="s">
        <v>28</v>
      </c>
      <c r="K4035" t="s">
        <v>29</v>
      </c>
      <c r="L4035" t="s">
        <v>30</v>
      </c>
      <c r="M4035">
        <v>0</v>
      </c>
      <c r="N4035">
        <v>0</v>
      </c>
      <c r="P4035" s="17">
        <v>50771</v>
      </c>
      <c r="Q4035">
        <f>43-14</f>
        <v>29</v>
      </c>
      <c r="R4035" t="s">
        <v>75</v>
      </c>
      <c r="S4035" t="s">
        <v>145</v>
      </c>
      <c r="T4035">
        <v>30</v>
      </c>
      <c r="W4035">
        <v>13</v>
      </c>
      <c r="X4035">
        <v>27.9</v>
      </c>
      <c r="Z4035" t="s">
        <v>32</v>
      </c>
      <c r="AB4035" t="s">
        <v>582</v>
      </c>
      <c r="AC4035" t="s">
        <v>59</v>
      </c>
    </row>
    <row r="4036" spans="1:30" x14ac:dyDescent="0.2">
      <c r="A4036" s="3">
        <v>42575</v>
      </c>
      <c r="B4036" t="s">
        <v>23</v>
      </c>
      <c r="C4036">
        <v>803</v>
      </c>
      <c r="D4036">
        <v>8</v>
      </c>
      <c r="E4036">
        <v>2</v>
      </c>
      <c r="F4036" t="s">
        <v>24</v>
      </c>
      <c r="G4036" t="s">
        <v>25</v>
      </c>
      <c r="H4036" t="s">
        <v>26</v>
      </c>
      <c r="I4036" t="s">
        <v>142</v>
      </c>
      <c r="J4036" t="s">
        <v>28</v>
      </c>
      <c r="K4036" t="s">
        <v>29</v>
      </c>
      <c r="L4036" t="s">
        <v>30</v>
      </c>
      <c r="M4036">
        <v>0</v>
      </c>
      <c r="N4036">
        <v>0</v>
      </c>
      <c r="P4036" s="17">
        <v>50753</v>
      </c>
      <c r="Q4036">
        <f>37-14</f>
        <v>23</v>
      </c>
      <c r="R4036" t="s">
        <v>75</v>
      </c>
      <c r="S4036" t="s">
        <v>145</v>
      </c>
      <c r="T4036">
        <v>29</v>
      </c>
      <c r="W4036">
        <v>12.7</v>
      </c>
      <c r="X4036">
        <v>26.6</v>
      </c>
      <c r="Z4036" t="s">
        <v>32</v>
      </c>
      <c r="AB4036" t="s">
        <v>582</v>
      </c>
      <c r="AC4036" t="s">
        <v>59</v>
      </c>
    </row>
    <row r="4037" spans="1:30" x14ac:dyDescent="0.2">
      <c r="A4037" s="3">
        <v>42575</v>
      </c>
      <c r="B4037" t="s">
        <v>23</v>
      </c>
      <c r="C4037">
        <v>803</v>
      </c>
      <c r="D4037">
        <v>2</v>
      </c>
      <c r="E4037">
        <v>1</v>
      </c>
      <c r="F4037" t="s">
        <v>24</v>
      </c>
      <c r="G4037" t="s">
        <v>25</v>
      </c>
      <c r="H4037" t="s">
        <v>26</v>
      </c>
      <c r="I4037" t="s">
        <v>142</v>
      </c>
      <c r="J4037" t="s">
        <v>28</v>
      </c>
      <c r="K4037" t="s">
        <v>29</v>
      </c>
      <c r="L4037" t="s">
        <v>30</v>
      </c>
      <c r="M4037">
        <v>0</v>
      </c>
      <c r="N4037">
        <v>0</v>
      </c>
      <c r="P4037" s="17">
        <v>50615</v>
      </c>
      <c r="Q4037">
        <f>40-12.5</f>
        <v>27.5</v>
      </c>
      <c r="R4037" t="s">
        <v>75</v>
      </c>
      <c r="S4037" t="s">
        <v>145</v>
      </c>
      <c r="T4037">
        <v>29</v>
      </c>
      <c r="W4037">
        <v>12.5</v>
      </c>
      <c r="X4037">
        <v>29.5</v>
      </c>
      <c r="Z4037" t="s">
        <v>32</v>
      </c>
      <c r="AB4037" t="s">
        <v>582</v>
      </c>
      <c r="AC4037" t="s">
        <v>59</v>
      </c>
    </row>
    <row r="4038" spans="1:30" x14ac:dyDescent="0.2">
      <c r="A4038" s="3">
        <v>42576</v>
      </c>
      <c r="B4038" t="s">
        <v>23</v>
      </c>
      <c r="C4038">
        <v>803</v>
      </c>
      <c r="D4038">
        <v>10</v>
      </c>
      <c r="E4038">
        <v>1</v>
      </c>
      <c r="F4038" t="s">
        <v>24</v>
      </c>
      <c r="G4038" t="s">
        <v>25</v>
      </c>
      <c r="H4038" t="s">
        <v>26</v>
      </c>
      <c r="I4038" t="s">
        <v>142</v>
      </c>
      <c r="J4038" t="s">
        <v>28</v>
      </c>
      <c r="K4038" t="s">
        <v>123</v>
      </c>
      <c r="L4038" t="s">
        <v>30</v>
      </c>
      <c r="M4038">
        <v>0</v>
      </c>
      <c r="N4038">
        <v>0</v>
      </c>
      <c r="P4038" s="17">
        <v>50771</v>
      </c>
      <c r="Q4038">
        <f>35.5-9.5</f>
        <v>26</v>
      </c>
      <c r="R4038" t="s">
        <v>75</v>
      </c>
      <c r="S4038" t="s">
        <v>145</v>
      </c>
      <c r="T4038">
        <v>29</v>
      </c>
      <c r="W4038">
        <v>13.3</v>
      </c>
      <c r="X4038">
        <v>27.1</v>
      </c>
      <c r="Z4038" t="s">
        <v>32</v>
      </c>
      <c r="AB4038" t="s">
        <v>121</v>
      </c>
      <c r="AC4038" t="s">
        <v>122</v>
      </c>
    </row>
    <row r="4039" spans="1:30" x14ac:dyDescent="0.2">
      <c r="A4039" s="3">
        <v>42576</v>
      </c>
      <c r="B4039" t="s">
        <v>23</v>
      </c>
      <c r="C4039">
        <v>803</v>
      </c>
      <c r="D4039">
        <v>1</v>
      </c>
      <c r="E4039">
        <v>1</v>
      </c>
      <c r="F4039" t="s">
        <v>24</v>
      </c>
      <c r="G4039" t="s">
        <v>25</v>
      </c>
      <c r="H4039" t="s">
        <v>26</v>
      </c>
      <c r="I4039" t="s">
        <v>142</v>
      </c>
      <c r="J4039" t="s">
        <v>28</v>
      </c>
      <c r="K4039" t="s">
        <v>29</v>
      </c>
      <c r="L4039" t="s">
        <v>30</v>
      </c>
      <c r="M4039">
        <v>0</v>
      </c>
      <c r="N4039">
        <v>0</v>
      </c>
      <c r="P4039" s="17">
        <v>50615</v>
      </c>
      <c r="Q4039">
        <v>27</v>
      </c>
      <c r="R4039" t="s">
        <v>75</v>
      </c>
      <c r="S4039" t="s">
        <v>145</v>
      </c>
      <c r="T4039">
        <v>30</v>
      </c>
      <c r="W4039">
        <v>13</v>
      </c>
      <c r="X4039">
        <v>26.8</v>
      </c>
      <c r="Z4039" t="s">
        <v>32</v>
      </c>
      <c r="AB4039" t="s">
        <v>121</v>
      </c>
      <c r="AC4039" t="s">
        <v>122</v>
      </c>
    </row>
    <row r="4040" spans="1:30" x14ac:dyDescent="0.2">
      <c r="A4040" s="3">
        <v>42586</v>
      </c>
      <c r="B4040" t="s">
        <v>23</v>
      </c>
      <c r="C4040">
        <v>203</v>
      </c>
      <c r="D4040">
        <v>4</v>
      </c>
      <c r="E4040">
        <v>2</v>
      </c>
      <c r="F4040" t="s">
        <v>24</v>
      </c>
      <c r="G4040" t="s">
        <v>25</v>
      </c>
      <c r="H4040" t="s">
        <v>26</v>
      </c>
      <c r="I4040" t="s">
        <v>142</v>
      </c>
      <c r="J4040" t="s">
        <v>28</v>
      </c>
      <c r="K4040" t="s">
        <v>29</v>
      </c>
      <c r="L4040" t="s">
        <v>30</v>
      </c>
      <c r="M4040">
        <v>0</v>
      </c>
      <c r="N4040">
        <v>0</v>
      </c>
      <c r="P4040" s="17">
        <v>50838</v>
      </c>
      <c r="Q4040">
        <f>35-12.5</f>
        <v>22.5</v>
      </c>
      <c r="R4040" t="s">
        <v>75</v>
      </c>
      <c r="S4040" t="s">
        <v>145</v>
      </c>
      <c r="T4040">
        <v>29</v>
      </c>
      <c r="W4040">
        <v>12.6</v>
      </c>
      <c r="X4040">
        <v>26.4</v>
      </c>
      <c r="Z4040" t="s">
        <v>32</v>
      </c>
      <c r="AB4040" t="s">
        <v>44</v>
      </c>
      <c r="AC4040" t="s">
        <v>59</v>
      </c>
    </row>
    <row r="4041" spans="1:30" x14ac:dyDescent="0.2">
      <c r="A4041" s="3">
        <v>42586</v>
      </c>
      <c r="B4041" t="s">
        <v>23</v>
      </c>
      <c r="C4041">
        <v>203</v>
      </c>
      <c r="D4041">
        <v>6</v>
      </c>
      <c r="E4041">
        <v>2</v>
      </c>
      <c r="F4041" t="s">
        <v>24</v>
      </c>
      <c r="G4041" t="s">
        <v>25</v>
      </c>
      <c r="H4041" t="s">
        <v>26</v>
      </c>
      <c r="I4041" t="s">
        <v>142</v>
      </c>
      <c r="J4041" t="s">
        <v>28</v>
      </c>
      <c r="K4041" t="s">
        <v>29</v>
      </c>
      <c r="L4041" t="s">
        <v>30</v>
      </c>
      <c r="M4041">
        <v>0</v>
      </c>
      <c r="N4041">
        <v>0</v>
      </c>
      <c r="P4041" s="17">
        <v>50656</v>
      </c>
      <c r="Q4041">
        <f>36-13</f>
        <v>23</v>
      </c>
      <c r="R4041" t="s">
        <v>75</v>
      </c>
      <c r="S4041" t="s">
        <v>145</v>
      </c>
      <c r="T4041">
        <v>28</v>
      </c>
      <c r="W4041">
        <v>13.4</v>
      </c>
      <c r="X4041">
        <v>26.5</v>
      </c>
      <c r="Z4041" t="s">
        <v>32</v>
      </c>
      <c r="AB4041" t="s">
        <v>44</v>
      </c>
      <c r="AC4041" t="s">
        <v>59</v>
      </c>
    </row>
    <row r="4042" spans="1:30" x14ac:dyDescent="0.2">
      <c r="A4042" s="3">
        <v>42586</v>
      </c>
      <c r="B4042" t="s">
        <v>23</v>
      </c>
      <c r="C4042">
        <v>113</v>
      </c>
      <c r="D4042">
        <v>5</v>
      </c>
      <c r="E4042">
        <v>1</v>
      </c>
      <c r="F4042" t="s">
        <v>64</v>
      </c>
      <c r="G4042" t="s">
        <v>25</v>
      </c>
      <c r="H4042" t="s">
        <v>26</v>
      </c>
      <c r="I4042" t="s">
        <v>142</v>
      </c>
      <c r="J4042" t="s">
        <v>28</v>
      </c>
      <c r="K4042" t="s">
        <v>29</v>
      </c>
      <c r="L4042" t="s">
        <v>35</v>
      </c>
      <c r="M4042">
        <v>0</v>
      </c>
      <c r="N4042">
        <v>0</v>
      </c>
      <c r="P4042" s="17" t="s">
        <v>600</v>
      </c>
      <c r="Q4042">
        <f>32.5-13</f>
        <v>19.5</v>
      </c>
      <c r="R4042" t="s">
        <v>39</v>
      </c>
      <c r="T4042">
        <v>28</v>
      </c>
      <c r="W4042">
        <v>12.9</v>
      </c>
      <c r="X4042">
        <v>25.3</v>
      </c>
      <c r="Z4042" t="s">
        <v>145</v>
      </c>
      <c r="AA4042" t="s">
        <v>260</v>
      </c>
      <c r="AB4042" t="s">
        <v>53</v>
      </c>
      <c r="AC4042" t="s">
        <v>122</v>
      </c>
    </row>
    <row r="4043" spans="1:30" x14ac:dyDescent="0.2">
      <c r="A4043" s="3">
        <v>42587</v>
      </c>
      <c r="B4043" t="s">
        <v>23</v>
      </c>
      <c r="C4043">
        <v>112</v>
      </c>
      <c r="D4043">
        <v>7</v>
      </c>
      <c r="E4043">
        <v>1</v>
      </c>
      <c r="F4043" t="s">
        <v>64</v>
      </c>
      <c r="G4043" t="s">
        <v>25</v>
      </c>
      <c r="H4043" t="s">
        <v>26</v>
      </c>
      <c r="I4043" t="s">
        <v>142</v>
      </c>
      <c r="J4043" t="s">
        <v>28</v>
      </c>
      <c r="K4043" t="s">
        <v>29</v>
      </c>
      <c r="L4043" t="s">
        <v>30</v>
      </c>
      <c r="M4043">
        <v>0</v>
      </c>
      <c r="N4043">
        <v>0</v>
      </c>
      <c r="P4043" s="17" t="s">
        <v>1079</v>
      </c>
      <c r="Q4043">
        <f>37-13</f>
        <v>24</v>
      </c>
      <c r="R4043" t="s">
        <v>75</v>
      </c>
      <c r="S4043" t="s">
        <v>145</v>
      </c>
      <c r="T4043">
        <v>28.5</v>
      </c>
      <c r="W4043">
        <v>13</v>
      </c>
      <c r="X4043">
        <v>26.8</v>
      </c>
      <c r="Z4043" t="s">
        <v>32</v>
      </c>
      <c r="AB4043" t="s">
        <v>53</v>
      </c>
      <c r="AC4043" t="s">
        <v>254</v>
      </c>
    </row>
    <row r="4044" spans="1:30" x14ac:dyDescent="0.2">
      <c r="A4044" s="3">
        <v>42588</v>
      </c>
      <c r="B4044" t="s">
        <v>23</v>
      </c>
      <c r="C4044">
        <v>113</v>
      </c>
      <c r="D4044">
        <v>5</v>
      </c>
      <c r="E4044">
        <v>1</v>
      </c>
      <c r="F4044" t="s">
        <v>64</v>
      </c>
      <c r="G4044" t="s">
        <v>25</v>
      </c>
      <c r="H4044" t="s">
        <v>26</v>
      </c>
      <c r="I4044" t="s">
        <v>142</v>
      </c>
      <c r="J4044" t="s">
        <v>205</v>
      </c>
    </row>
    <row r="4045" spans="1:30" x14ac:dyDescent="0.2">
      <c r="A4045" s="3">
        <v>42589</v>
      </c>
      <c r="B4045" t="s">
        <v>23</v>
      </c>
      <c r="C4045">
        <v>112</v>
      </c>
      <c r="D4045">
        <v>9</v>
      </c>
      <c r="E4045">
        <v>2</v>
      </c>
      <c r="F4045" t="s">
        <v>24</v>
      </c>
      <c r="G4045" t="s">
        <v>25</v>
      </c>
      <c r="H4045" t="s">
        <v>26</v>
      </c>
      <c r="I4045" t="s">
        <v>142</v>
      </c>
      <c r="J4045" t="s">
        <v>28</v>
      </c>
      <c r="K4045" t="s">
        <v>29</v>
      </c>
      <c r="L4045" t="s">
        <v>30</v>
      </c>
      <c r="M4045">
        <v>0</v>
      </c>
      <c r="N4045">
        <v>0</v>
      </c>
      <c r="P4045" s="17" t="s">
        <v>1079</v>
      </c>
      <c r="Q4045">
        <f>36.5-13.5</f>
        <v>23</v>
      </c>
      <c r="R4045" t="s">
        <v>75</v>
      </c>
      <c r="S4045" t="s">
        <v>145</v>
      </c>
      <c r="T4045">
        <v>28</v>
      </c>
      <c r="W4045">
        <v>13.3</v>
      </c>
      <c r="X4045">
        <v>25.8</v>
      </c>
      <c r="Z4045" t="s">
        <v>32</v>
      </c>
      <c r="AB4045" t="s">
        <v>121</v>
      </c>
      <c r="AC4045" t="s">
        <v>59</v>
      </c>
    </row>
    <row r="4046" spans="1:30" x14ac:dyDescent="0.2">
      <c r="A4046" s="3">
        <v>42591</v>
      </c>
      <c r="B4046" t="s">
        <v>23</v>
      </c>
      <c r="C4046">
        <v>803</v>
      </c>
      <c r="D4046">
        <v>3</v>
      </c>
      <c r="E4046">
        <v>1</v>
      </c>
      <c r="F4046" t="s">
        <v>64</v>
      </c>
      <c r="G4046" t="s">
        <v>25</v>
      </c>
      <c r="H4046" t="s">
        <v>26</v>
      </c>
      <c r="I4046" t="s">
        <v>142</v>
      </c>
      <c r="J4046" t="s">
        <v>28</v>
      </c>
      <c r="K4046" t="s">
        <v>29</v>
      </c>
      <c r="L4046" t="s">
        <v>30</v>
      </c>
      <c r="M4046">
        <v>0</v>
      </c>
      <c r="N4046">
        <v>0</v>
      </c>
      <c r="P4046" s="17" t="s">
        <v>1380</v>
      </c>
      <c r="Q4046">
        <f>38-17.5</f>
        <v>20.5</v>
      </c>
      <c r="R4046" t="s">
        <v>273</v>
      </c>
      <c r="S4046" t="s">
        <v>145</v>
      </c>
      <c r="T4046">
        <v>28.5</v>
      </c>
      <c r="W4046">
        <v>13.1</v>
      </c>
      <c r="X4046">
        <v>26.1</v>
      </c>
      <c r="Z4046" t="s">
        <v>145</v>
      </c>
      <c r="AA4046" t="s">
        <v>260</v>
      </c>
      <c r="AB4046" t="s">
        <v>44</v>
      </c>
      <c r="AC4046" t="s">
        <v>59</v>
      </c>
    </row>
    <row r="4047" spans="1:30" x14ac:dyDescent="0.2">
      <c r="A4047" s="3">
        <v>42591</v>
      </c>
      <c r="B4047" t="s">
        <v>23</v>
      </c>
      <c r="C4047">
        <v>803</v>
      </c>
      <c r="D4047">
        <v>3</v>
      </c>
      <c r="E4047">
        <v>2</v>
      </c>
      <c r="F4047" t="s">
        <v>64</v>
      </c>
      <c r="G4047" t="s">
        <v>25</v>
      </c>
      <c r="H4047" t="s">
        <v>26</v>
      </c>
      <c r="I4047" t="s">
        <v>142</v>
      </c>
      <c r="J4047" t="s">
        <v>28</v>
      </c>
      <c r="K4047" t="s">
        <v>29</v>
      </c>
      <c r="L4047" t="s">
        <v>30</v>
      </c>
      <c r="M4047">
        <v>0</v>
      </c>
      <c r="N4047">
        <v>0</v>
      </c>
      <c r="Q4047">
        <f>52-18</f>
        <v>34</v>
      </c>
      <c r="R4047" t="s">
        <v>273</v>
      </c>
      <c r="S4047" t="s">
        <v>145</v>
      </c>
      <c r="T4047">
        <v>30</v>
      </c>
      <c r="W4047">
        <v>14</v>
      </c>
      <c r="X4047">
        <v>27.7</v>
      </c>
      <c r="Z4047" t="s">
        <v>32</v>
      </c>
      <c r="AB4047" t="s">
        <v>44</v>
      </c>
      <c r="AC4047" t="s">
        <v>59</v>
      </c>
      <c r="AD4047" t="s">
        <v>1383</v>
      </c>
    </row>
    <row r="4048" spans="1:30" x14ac:dyDescent="0.2">
      <c r="A4048" s="3">
        <v>42592</v>
      </c>
      <c r="B4048" t="s">
        <v>23</v>
      </c>
      <c r="C4048">
        <v>803</v>
      </c>
      <c r="D4048">
        <v>7</v>
      </c>
      <c r="E4048">
        <v>2</v>
      </c>
      <c r="F4048" t="s">
        <v>64</v>
      </c>
      <c r="G4048" t="s">
        <v>25</v>
      </c>
      <c r="H4048" t="s">
        <v>26</v>
      </c>
      <c r="I4048" t="s">
        <v>142</v>
      </c>
      <c r="J4048" t="s">
        <v>28</v>
      </c>
      <c r="K4048" t="s">
        <v>29</v>
      </c>
      <c r="L4048" t="s">
        <v>30</v>
      </c>
      <c r="M4048">
        <v>0</v>
      </c>
      <c r="N4048">
        <v>0</v>
      </c>
      <c r="P4048" s="17" t="s">
        <v>1464</v>
      </c>
      <c r="Q4048">
        <f>46-14.5</f>
        <v>31.5</v>
      </c>
      <c r="R4048" t="s">
        <v>192</v>
      </c>
      <c r="S4048" t="s">
        <v>32</v>
      </c>
      <c r="Z4048" t="s">
        <v>32</v>
      </c>
      <c r="AB4048" t="s">
        <v>53</v>
      </c>
      <c r="AC4048" t="s">
        <v>59</v>
      </c>
    </row>
    <row r="4049" spans="1:30" x14ac:dyDescent="0.2">
      <c r="A4049" s="3">
        <v>42593</v>
      </c>
      <c r="B4049" t="s">
        <v>23</v>
      </c>
      <c r="C4049">
        <v>803</v>
      </c>
      <c r="D4049">
        <v>8</v>
      </c>
      <c r="E4049">
        <v>2</v>
      </c>
      <c r="F4049" t="s">
        <v>64</v>
      </c>
      <c r="G4049" t="s">
        <v>25</v>
      </c>
      <c r="H4049" t="s">
        <v>26</v>
      </c>
      <c r="I4049" t="s">
        <v>142</v>
      </c>
      <c r="J4049" t="s">
        <v>28</v>
      </c>
      <c r="K4049" t="s">
        <v>29</v>
      </c>
      <c r="L4049" t="s">
        <v>30</v>
      </c>
      <c r="M4049">
        <v>0</v>
      </c>
      <c r="N4049">
        <v>0</v>
      </c>
      <c r="P4049" s="17" t="s">
        <v>1466</v>
      </c>
      <c r="Q4049">
        <f>40-17</f>
        <v>23</v>
      </c>
      <c r="R4049" t="s">
        <v>251</v>
      </c>
      <c r="S4049" t="s">
        <v>145</v>
      </c>
      <c r="Z4049" t="s">
        <v>32</v>
      </c>
      <c r="AB4049" t="s">
        <v>44</v>
      </c>
      <c r="AC4049" t="s">
        <v>122</v>
      </c>
      <c r="AD4049" t="s">
        <v>1527</v>
      </c>
    </row>
    <row r="4050" spans="1:30" x14ac:dyDescent="0.2">
      <c r="A4050" s="3">
        <v>42593</v>
      </c>
      <c r="B4050" t="s">
        <v>23</v>
      </c>
      <c r="C4050">
        <v>803</v>
      </c>
      <c r="D4050">
        <v>6</v>
      </c>
      <c r="E4050">
        <v>2</v>
      </c>
      <c r="F4050" t="s">
        <v>64</v>
      </c>
      <c r="G4050" t="s">
        <v>25</v>
      </c>
      <c r="H4050" t="s">
        <v>26</v>
      </c>
      <c r="I4050" t="s">
        <v>142</v>
      </c>
      <c r="J4050" t="s">
        <v>28</v>
      </c>
      <c r="K4050" t="s">
        <v>29</v>
      </c>
      <c r="L4050" t="s">
        <v>30</v>
      </c>
      <c r="M4050">
        <v>0</v>
      </c>
      <c r="N4050">
        <v>0</v>
      </c>
      <c r="P4050" s="17" t="s">
        <v>1380</v>
      </c>
      <c r="Q4050">
        <f>36-15</f>
        <v>21</v>
      </c>
      <c r="R4050" t="s">
        <v>251</v>
      </c>
      <c r="S4050" t="s">
        <v>145</v>
      </c>
      <c r="Z4050" t="s">
        <v>145</v>
      </c>
      <c r="AA4050" t="s">
        <v>260</v>
      </c>
      <c r="AB4050" t="s">
        <v>44</v>
      </c>
      <c r="AC4050" t="s">
        <v>122</v>
      </c>
      <c r="AD4050" t="s">
        <v>1527</v>
      </c>
    </row>
    <row r="4051" spans="1:30" x14ac:dyDescent="0.2">
      <c r="A4051" s="3">
        <v>42598</v>
      </c>
      <c r="B4051" t="s">
        <v>23</v>
      </c>
      <c r="C4051">
        <v>203</v>
      </c>
      <c r="D4051">
        <v>3</v>
      </c>
      <c r="E4051">
        <v>1</v>
      </c>
      <c r="F4051" t="s">
        <v>64</v>
      </c>
      <c r="G4051" t="s">
        <v>25</v>
      </c>
      <c r="H4051" t="s">
        <v>26</v>
      </c>
      <c r="I4051" t="s">
        <v>142</v>
      </c>
      <c r="J4051" t="s">
        <v>28</v>
      </c>
      <c r="K4051" t="s">
        <v>29</v>
      </c>
      <c r="L4051" t="s">
        <v>30</v>
      </c>
      <c r="M4051">
        <v>0</v>
      </c>
      <c r="N4051">
        <v>0</v>
      </c>
      <c r="P4051" s="17" t="s">
        <v>1149</v>
      </c>
      <c r="Q4051">
        <f>40-13.5</f>
        <v>26.5</v>
      </c>
      <c r="R4051" t="s">
        <v>251</v>
      </c>
      <c r="S4051" t="s">
        <v>145</v>
      </c>
      <c r="Z4051" t="s">
        <v>145</v>
      </c>
      <c r="AA4051" t="s">
        <v>260</v>
      </c>
      <c r="AB4051" t="s">
        <v>121</v>
      </c>
      <c r="AC4051" t="s">
        <v>122</v>
      </c>
    </row>
    <row r="4052" spans="1:30" x14ac:dyDescent="0.2">
      <c r="A4052" s="3">
        <v>42599</v>
      </c>
      <c r="B4052" t="s">
        <v>23</v>
      </c>
      <c r="C4052">
        <v>203</v>
      </c>
      <c r="D4052">
        <v>1</v>
      </c>
      <c r="E4052">
        <v>2</v>
      </c>
      <c r="F4052" t="s">
        <v>64</v>
      </c>
      <c r="G4052" t="s">
        <v>25</v>
      </c>
      <c r="H4052" t="s">
        <v>26</v>
      </c>
      <c r="I4052" t="s">
        <v>142</v>
      </c>
      <c r="J4052" t="s">
        <v>34</v>
      </c>
      <c r="K4052" t="s">
        <v>29</v>
      </c>
      <c r="L4052" t="s">
        <v>35</v>
      </c>
      <c r="M4052">
        <v>0</v>
      </c>
      <c r="N4052">
        <v>1</v>
      </c>
      <c r="P4052" s="17" t="s">
        <v>1618</v>
      </c>
      <c r="Q4052">
        <f>52-14</f>
        <v>38</v>
      </c>
      <c r="R4052" t="s">
        <v>251</v>
      </c>
      <c r="S4052" t="s">
        <v>145</v>
      </c>
      <c r="T4052">
        <v>30.5</v>
      </c>
      <c r="W4052">
        <v>13.4</v>
      </c>
      <c r="X4052">
        <v>25.4</v>
      </c>
      <c r="Y4052" t="s">
        <v>1619</v>
      </c>
      <c r="Z4052" t="s">
        <v>145</v>
      </c>
      <c r="AA4052" t="s">
        <v>260</v>
      </c>
      <c r="AB4052" t="s">
        <v>121</v>
      </c>
      <c r="AC4052" t="s">
        <v>59</v>
      </c>
      <c r="AD4052" t="s">
        <v>1467</v>
      </c>
    </row>
    <row r="4053" spans="1:30" x14ac:dyDescent="0.2">
      <c r="A4053" s="3">
        <v>42599</v>
      </c>
      <c r="B4053" t="s">
        <v>23</v>
      </c>
      <c r="C4053">
        <v>203</v>
      </c>
      <c r="D4053">
        <v>3</v>
      </c>
      <c r="E4053">
        <v>2</v>
      </c>
      <c r="F4053" t="s">
        <v>64</v>
      </c>
      <c r="G4053" t="s">
        <v>25</v>
      </c>
      <c r="H4053" t="s">
        <v>26</v>
      </c>
      <c r="I4053" t="s">
        <v>142</v>
      </c>
      <c r="J4053" t="s">
        <v>28</v>
      </c>
      <c r="K4053" t="s">
        <v>29</v>
      </c>
      <c r="L4053" t="s">
        <v>30</v>
      </c>
      <c r="M4053">
        <v>0</v>
      </c>
      <c r="N4053">
        <v>0</v>
      </c>
      <c r="P4053" s="17" t="s">
        <v>1623</v>
      </c>
      <c r="Q4053">
        <f>49-13</f>
        <v>36</v>
      </c>
      <c r="R4053" t="s">
        <v>273</v>
      </c>
      <c r="S4053" t="s">
        <v>145</v>
      </c>
      <c r="T4053">
        <v>28</v>
      </c>
      <c r="W4053">
        <v>13.3</v>
      </c>
      <c r="X4053">
        <v>26.1</v>
      </c>
      <c r="Z4053" t="s">
        <v>145</v>
      </c>
      <c r="AA4053" t="s">
        <v>260</v>
      </c>
      <c r="AB4053" t="s">
        <v>121</v>
      </c>
      <c r="AC4053" t="s">
        <v>59</v>
      </c>
    </row>
    <row r="4054" spans="1:30" x14ac:dyDescent="0.2">
      <c r="A4054" s="3">
        <v>42600</v>
      </c>
      <c r="B4054" t="s">
        <v>23</v>
      </c>
      <c r="C4054">
        <v>203</v>
      </c>
      <c r="D4054">
        <v>1</v>
      </c>
      <c r="E4054">
        <v>1</v>
      </c>
      <c r="F4054" t="s">
        <v>64</v>
      </c>
      <c r="G4054" t="s">
        <v>25</v>
      </c>
      <c r="H4054" t="s">
        <v>26</v>
      </c>
      <c r="I4054" t="s">
        <v>142</v>
      </c>
      <c r="J4054" t="s">
        <v>28</v>
      </c>
      <c r="K4054" t="s">
        <v>29</v>
      </c>
      <c r="L4054" t="s">
        <v>30</v>
      </c>
      <c r="M4054">
        <v>0</v>
      </c>
      <c r="N4054">
        <v>0</v>
      </c>
      <c r="P4054" s="17" t="s">
        <v>1623</v>
      </c>
      <c r="Q4054">
        <f>47-13.5</f>
        <v>33.5</v>
      </c>
      <c r="R4054" t="s">
        <v>273</v>
      </c>
      <c r="S4054" t="s">
        <v>145</v>
      </c>
      <c r="T4054">
        <v>29</v>
      </c>
      <c r="W4054">
        <v>13.1</v>
      </c>
      <c r="X4054">
        <v>25.7</v>
      </c>
      <c r="Z4054" t="s">
        <v>145</v>
      </c>
      <c r="AA4054" t="s">
        <v>260</v>
      </c>
      <c r="AB4054" t="s">
        <v>121</v>
      </c>
      <c r="AC4054" t="s">
        <v>122</v>
      </c>
    </row>
    <row r="4055" spans="1:30" x14ac:dyDescent="0.2">
      <c r="A4055" s="3">
        <v>42600</v>
      </c>
      <c r="B4055" t="s">
        <v>23</v>
      </c>
      <c r="C4055">
        <v>203</v>
      </c>
      <c r="D4055">
        <v>3</v>
      </c>
      <c r="E4055">
        <v>2</v>
      </c>
      <c r="F4055" t="s">
        <v>64</v>
      </c>
      <c r="G4055" t="s">
        <v>25</v>
      </c>
      <c r="H4055" t="s">
        <v>26</v>
      </c>
      <c r="I4055" t="s">
        <v>142</v>
      </c>
      <c r="J4055" t="s">
        <v>28</v>
      </c>
      <c r="K4055" t="s">
        <v>29</v>
      </c>
      <c r="L4055" t="s">
        <v>35</v>
      </c>
      <c r="M4055">
        <v>0</v>
      </c>
      <c r="N4055">
        <v>0</v>
      </c>
      <c r="P4055" s="17" t="s">
        <v>1618</v>
      </c>
      <c r="Q4055">
        <f>47-13</f>
        <v>34</v>
      </c>
      <c r="R4055" t="s">
        <v>63</v>
      </c>
      <c r="T4055">
        <v>31</v>
      </c>
      <c r="W4055">
        <v>13.2</v>
      </c>
      <c r="X4055">
        <v>26.4</v>
      </c>
      <c r="Z4055" t="s">
        <v>145</v>
      </c>
      <c r="AA4055" t="s">
        <v>260</v>
      </c>
      <c r="AB4055" t="s">
        <v>121</v>
      </c>
      <c r="AC4055" t="s">
        <v>122</v>
      </c>
      <c r="AD4055" t="s">
        <v>1478</v>
      </c>
    </row>
    <row r="4056" spans="1:30" x14ac:dyDescent="0.2">
      <c r="A4056" s="3">
        <v>42604</v>
      </c>
      <c r="B4056" t="s">
        <v>23</v>
      </c>
      <c r="C4056">
        <v>401</v>
      </c>
      <c r="D4056">
        <v>3</v>
      </c>
      <c r="E4056">
        <v>2</v>
      </c>
      <c r="F4056" t="s">
        <v>64</v>
      </c>
      <c r="G4056" t="s">
        <v>25</v>
      </c>
      <c r="H4056" t="s">
        <v>26</v>
      </c>
      <c r="I4056" t="s">
        <v>142</v>
      </c>
      <c r="J4056" t="s">
        <v>583</v>
      </c>
    </row>
    <row r="4057" spans="1:30" x14ac:dyDescent="0.2">
      <c r="A4057" s="3">
        <v>42605</v>
      </c>
      <c r="B4057" t="s">
        <v>23</v>
      </c>
      <c r="C4057">
        <v>803</v>
      </c>
      <c r="D4057">
        <v>6</v>
      </c>
      <c r="E4057">
        <v>2</v>
      </c>
      <c r="F4057" t="s">
        <v>24</v>
      </c>
      <c r="G4057" t="s">
        <v>25</v>
      </c>
      <c r="H4057" t="s">
        <v>26</v>
      </c>
      <c r="I4057" t="s">
        <v>142</v>
      </c>
      <c r="J4057" t="s">
        <v>28</v>
      </c>
      <c r="K4057" t="s">
        <v>29</v>
      </c>
      <c r="L4057" t="s">
        <v>30</v>
      </c>
      <c r="M4057">
        <v>0</v>
      </c>
      <c r="N4057">
        <v>0</v>
      </c>
      <c r="P4057" s="17" t="s">
        <v>1380</v>
      </c>
      <c r="Q4057">
        <f>34-13</f>
        <v>21</v>
      </c>
      <c r="R4057" t="s">
        <v>31</v>
      </c>
      <c r="S4057" t="s">
        <v>32</v>
      </c>
      <c r="T4057">
        <v>28.5</v>
      </c>
      <c r="W4057">
        <v>13.1</v>
      </c>
      <c r="X4057">
        <v>25.1</v>
      </c>
      <c r="Z4057" t="s">
        <v>145</v>
      </c>
      <c r="AB4057" t="s">
        <v>44</v>
      </c>
      <c r="AC4057" t="s">
        <v>59</v>
      </c>
    </row>
    <row r="4058" spans="1:30" x14ac:dyDescent="0.2">
      <c r="A4058" s="3">
        <v>42605</v>
      </c>
      <c r="B4058" t="s">
        <v>23</v>
      </c>
      <c r="C4058">
        <v>401</v>
      </c>
      <c r="D4058">
        <v>7</v>
      </c>
      <c r="E4058">
        <v>2</v>
      </c>
      <c r="F4058" t="s">
        <v>64</v>
      </c>
      <c r="G4058" t="s">
        <v>25</v>
      </c>
      <c r="H4058" t="s">
        <v>26</v>
      </c>
      <c r="I4058" t="s">
        <v>142</v>
      </c>
      <c r="J4058" t="s">
        <v>34</v>
      </c>
      <c r="K4058" t="s">
        <v>29</v>
      </c>
      <c r="L4058" t="s">
        <v>30</v>
      </c>
      <c r="M4058">
        <v>0</v>
      </c>
      <c r="N4058">
        <v>1</v>
      </c>
      <c r="P4058" s="17" t="s">
        <v>1742</v>
      </c>
      <c r="Q4058">
        <f>36-16</f>
        <v>20</v>
      </c>
      <c r="R4058" t="s">
        <v>31</v>
      </c>
      <c r="S4058" t="s">
        <v>32</v>
      </c>
      <c r="T4058">
        <v>29</v>
      </c>
      <c r="W4058">
        <v>13</v>
      </c>
      <c r="X4058">
        <v>25.7</v>
      </c>
      <c r="Y4058" t="s">
        <v>1744</v>
      </c>
      <c r="Z4058" t="s">
        <v>145</v>
      </c>
      <c r="AA4058" t="s">
        <v>260</v>
      </c>
      <c r="AB4058" t="s">
        <v>121</v>
      </c>
      <c r="AC4058" t="s">
        <v>59</v>
      </c>
      <c r="AD4058" t="s">
        <v>1743</v>
      </c>
    </row>
    <row r="4059" spans="1:30" x14ac:dyDescent="0.2">
      <c r="A4059" s="3">
        <v>42606</v>
      </c>
      <c r="B4059" t="s">
        <v>23</v>
      </c>
      <c r="C4059">
        <v>501</v>
      </c>
      <c r="D4059">
        <v>8</v>
      </c>
      <c r="E4059">
        <v>1</v>
      </c>
      <c r="F4059" t="s">
        <v>64</v>
      </c>
      <c r="G4059" t="s">
        <v>25</v>
      </c>
      <c r="H4059" t="s">
        <v>26</v>
      </c>
      <c r="I4059" t="s">
        <v>142</v>
      </c>
      <c r="J4059" t="s">
        <v>28</v>
      </c>
      <c r="K4059" t="s">
        <v>29</v>
      </c>
      <c r="L4059" t="s">
        <v>30</v>
      </c>
      <c r="M4059">
        <v>0</v>
      </c>
      <c r="N4059">
        <v>0</v>
      </c>
      <c r="P4059" s="17" t="s">
        <v>1755</v>
      </c>
      <c r="Q4059">
        <f>35-13</f>
        <v>22</v>
      </c>
      <c r="R4059" t="s">
        <v>31</v>
      </c>
      <c r="S4059" t="s">
        <v>32</v>
      </c>
      <c r="T4059">
        <v>29</v>
      </c>
      <c r="W4059">
        <v>13</v>
      </c>
      <c r="X4059">
        <v>26</v>
      </c>
      <c r="Z4059" t="s">
        <v>145</v>
      </c>
      <c r="AA4059" t="s">
        <v>260</v>
      </c>
      <c r="AB4059" t="s">
        <v>53</v>
      </c>
      <c r="AC4059" t="s">
        <v>122</v>
      </c>
      <c r="AD4059" t="s">
        <v>1756</v>
      </c>
    </row>
    <row r="4060" spans="1:30" x14ac:dyDescent="0.2">
      <c r="A4060" s="3">
        <v>42606</v>
      </c>
      <c r="B4060" t="s">
        <v>23</v>
      </c>
      <c r="C4060">
        <v>401</v>
      </c>
      <c r="D4060">
        <v>5</v>
      </c>
      <c r="E4060">
        <v>1</v>
      </c>
      <c r="F4060" t="s">
        <v>64</v>
      </c>
      <c r="G4060" t="s">
        <v>25</v>
      </c>
      <c r="H4060" t="s">
        <v>26</v>
      </c>
      <c r="I4060" t="s">
        <v>142</v>
      </c>
      <c r="J4060" t="s">
        <v>28</v>
      </c>
      <c r="K4060" t="s">
        <v>188</v>
      </c>
      <c r="L4060" t="s">
        <v>30</v>
      </c>
      <c r="M4060">
        <v>0</v>
      </c>
      <c r="N4060">
        <v>0</v>
      </c>
      <c r="P4060" s="17" t="s">
        <v>1742</v>
      </c>
      <c r="Q4060">
        <f>31-13</f>
        <v>18</v>
      </c>
      <c r="R4060" t="s">
        <v>31</v>
      </c>
      <c r="S4060" t="s">
        <v>32</v>
      </c>
      <c r="T4060">
        <v>28</v>
      </c>
      <c r="W4060">
        <v>13.1</v>
      </c>
      <c r="X4060">
        <v>26.3</v>
      </c>
      <c r="Z4060" t="s">
        <v>145</v>
      </c>
      <c r="AA4060" t="s">
        <v>260</v>
      </c>
      <c r="AB4060" t="s">
        <v>53</v>
      </c>
      <c r="AC4060" t="s">
        <v>122</v>
      </c>
      <c r="AD4060" t="s">
        <v>1743</v>
      </c>
    </row>
    <row r="4061" spans="1:30" x14ac:dyDescent="0.2">
      <c r="A4061" s="3">
        <v>42516</v>
      </c>
      <c r="B4061" t="s">
        <v>23</v>
      </c>
      <c r="C4061">
        <v>501</v>
      </c>
      <c r="D4061">
        <v>9</v>
      </c>
      <c r="E4061">
        <v>1</v>
      </c>
      <c r="F4061" t="s">
        <v>33</v>
      </c>
      <c r="G4061" t="s">
        <v>25</v>
      </c>
      <c r="H4061" t="s">
        <v>26</v>
      </c>
      <c r="I4061" t="s">
        <v>153</v>
      </c>
      <c r="K4061" t="s">
        <v>29</v>
      </c>
      <c r="L4061" t="s">
        <v>35</v>
      </c>
      <c r="M4061">
        <v>0</v>
      </c>
      <c r="N4061">
        <v>0</v>
      </c>
      <c r="O4061" s="17">
        <v>50336</v>
      </c>
      <c r="Q4061">
        <f>27-5.5</f>
        <v>21.5</v>
      </c>
      <c r="R4061" t="s">
        <v>39</v>
      </c>
      <c r="S4061" t="s">
        <v>32</v>
      </c>
      <c r="Z4061" t="s">
        <v>32</v>
      </c>
      <c r="AB4061" t="s">
        <v>53</v>
      </c>
      <c r="AC4061" t="s">
        <v>122</v>
      </c>
    </row>
    <row r="4062" spans="1:30" x14ac:dyDescent="0.2">
      <c r="A4062" s="3">
        <v>42493</v>
      </c>
      <c r="B4062" t="s">
        <v>23</v>
      </c>
      <c r="C4062">
        <v>202</v>
      </c>
      <c r="D4062">
        <v>8</v>
      </c>
      <c r="E4062">
        <v>1</v>
      </c>
      <c r="F4062" t="s">
        <v>33</v>
      </c>
      <c r="G4062" t="s">
        <v>25</v>
      </c>
      <c r="H4062" t="s">
        <v>26</v>
      </c>
      <c r="J4062" t="s">
        <v>42</v>
      </c>
      <c r="Z4062" t="s">
        <v>32</v>
      </c>
      <c r="AB4062" t="s">
        <v>44</v>
      </c>
    </row>
    <row r="4063" spans="1:30" x14ac:dyDescent="0.2">
      <c r="A4063" s="3">
        <v>42493</v>
      </c>
      <c r="B4063" t="s">
        <v>23</v>
      </c>
      <c r="C4063">
        <v>201</v>
      </c>
      <c r="D4063">
        <v>6</v>
      </c>
      <c r="E4063">
        <v>1</v>
      </c>
      <c r="F4063" t="s">
        <v>24</v>
      </c>
      <c r="G4063" t="s">
        <v>25</v>
      </c>
      <c r="H4063" t="s">
        <v>26</v>
      </c>
      <c r="J4063" t="s">
        <v>42</v>
      </c>
      <c r="Z4063" t="s">
        <v>32</v>
      </c>
    </row>
    <row r="4064" spans="1:30" x14ac:dyDescent="0.2">
      <c r="A4064" s="3">
        <v>42493</v>
      </c>
      <c r="B4064" t="s">
        <v>23</v>
      </c>
      <c r="C4064">
        <v>304</v>
      </c>
      <c r="D4064">
        <v>9</v>
      </c>
      <c r="E4064">
        <v>1</v>
      </c>
      <c r="F4064" t="s">
        <v>24</v>
      </c>
      <c r="G4064" t="s">
        <v>25</v>
      </c>
      <c r="H4064" t="s">
        <v>26</v>
      </c>
      <c r="J4064" t="s">
        <v>42</v>
      </c>
      <c r="Z4064" t="s">
        <v>32</v>
      </c>
    </row>
    <row r="4065" spans="1:30" x14ac:dyDescent="0.2">
      <c r="A4065" s="3">
        <v>42494</v>
      </c>
      <c r="B4065" t="s">
        <v>23</v>
      </c>
      <c r="C4065">
        <v>201</v>
      </c>
      <c r="D4065">
        <v>1</v>
      </c>
      <c r="E4065">
        <v>1</v>
      </c>
      <c r="F4065" t="s">
        <v>33</v>
      </c>
      <c r="G4065" t="s">
        <v>25</v>
      </c>
      <c r="H4065" t="s">
        <v>26</v>
      </c>
      <c r="J4065" t="s">
        <v>42</v>
      </c>
      <c r="Z4065" t="s">
        <v>32</v>
      </c>
    </row>
    <row r="4066" spans="1:30" x14ac:dyDescent="0.2">
      <c r="A4066" s="3">
        <v>42571</v>
      </c>
      <c r="B4066" t="s">
        <v>23</v>
      </c>
      <c r="C4066">
        <v>304</v>
      </c>
      <c r="D4066">
        <v>8</v>
      </c>
      <c r="E4066">
        <v>2</v>
      </c>
      <c r="F4066" t="s">
        <v>33</v>
      </c>
      <c r="G4066" t="s">
        <v>25</v>
      </c>
      <c r="H4066" t="s">
        <v>26</v>
      </c>
      <c r="J4066" t="s">
        <v>583</v>
      </c>
      <c r="K4066" t="s">
        <v>584</v>
      </c>
    </row>
    <row r="4067" spans="1:30" x14ac:dyDescent="0.2">
      <c r="A4067" s="3">
        <v>42576</v>
      </c>
      <c r="B4067" t="s">
        <v>23</v>
      </c>
      <c r="C4067">
        <v>703</v>
      </c>
      <c r="D4067">
        <v>2</v>
      </c>
      <c r="E4067">
        <v>2</v>
      </c>
      <c r="F4067" t="s">
        <v>24</v>
      </c>
      <c r="G4067" t="s">
        <v>25</v>
      </c>
      <c r="H4067" t="s">
        <v>26</v>
      </c>
      <c r="AB4067" t="s">
        <v>121</v>
      </c>
      <c r="AC4067" t="s">
        <v>122</v>
      </c>
      <c r="AD4067" t="s">
        <v>758</v>
      </c>
    </row>
    <row r="4068" spans="1:30" x14ac:dyDescent="0.2">
      <c r="A4068" s="3"/>
    </row>
    <row r="4069" spans="1:30" x14ac:dyDescent="0.2">
      <c r="A4069" s="3"/>
    </row>
    <row r="4070" spans="1:30" x14ac:dyDescent="0.2">
      <c r="A4070" s="3"/>
    </row>
    <row r="4071" spans="1:30" x14ac:dyDescent="0.2">
      <c r="A4071" s="3"/>
    </row>
    <row r="4072" spans="1:30" x14ac:dyDescent="0.2">
      <c r="A4072" s="3"/>
    </row>
    <row r="4073" spans="1:30" x14ac:dyDescent="0.2">
      <c r="A4073" s="3"/>
    </row>
    <row r="4074" spans="1:30" x14ac:dyDescent="0.2">
      <c r="A4074" s="3"/>
    </row>
  </sheetData>
  <sortState xmlns:xlrd2="http://schemas.microsoft.com/office/spreadsheetml/2017/richdata2" ref="A2:AD4074">
    <sortCondition ref="I2:I4074"/>
    <sortCondition ref="O2:O4074"/>
    <sortCondition ref="A2:A40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32"/>
  <sheetViews>
    <sheetView workbookViewId="0">
      <pane ySplit="1" topLeftCell="A2" activePane="bottomLeft" state="frozen"/>
      <selection pane="bottomLeft" activeCell="J171" sqref="J171"/>
    </sheetView>
  </sheetViews>
  <sheetFormatPr baseColWidth="10" defaultColWidth="8.83203125" defaultRowHeight="15" x14ac:dyDescent="0.2"/>
  <cols>
    <col min="1" max="1" width="11.5" style="3" customWidth="1"/>
    <col min="4" max="4" width="13.33203125" customWidth="1"/>
    <col min="5" max="5" width="15.5" customWidth="1"/>
    <col min="6" max="7" width="13.33203125" customWidth="1"/>
    <col min="8" max="8" width="11.83203125" style="17" customWidth="1"/>
    <col min="9" max="9" width="14.5" style="17" customWidth="1"/>
    <col min="10" max="10" width="26.83203125" customWidth="1"/>
    <col min="11" max="11" width="16.6640625" customWidth="1"/>
    <col min="12" max="12" width="21" customWidth="1"/>
    <col min="13" max="13" width="25.33203125" customWidth="1"/>
    <col min="14" max="19" width="22.1640625" customWidth="1"/>
    <col min="21" max="21" width="13.33203125" customWidth="1"/>
    <col min="22" max="22" width="12.83203125" customWidth="1"/>
    <col min="23" max="23" width="14.5" customWidth="1"/>
    <col min="24" max="25" width="16.5" customWidth="1"/>
    <col min="26" max="26" width="32.1640625" customWidth="1"/>
  </cols>
  <sheetData>
    <row r="1" spans="1:26" x14ac:dyDescent="0.2">
      <c r="A1" s="34" t="s">
        <v>0</v>
      </c>
      <c r="B1" s="6" t="s">
        <v>2</v>
      </c>
      <c r="C1" s="6" t="s">
        <v>3</v>
      </c>
      <c r="D1" s="6" t="s">
        <v>8</v>
      </c>
      <c r="E1" s="6" t="s">
        <v>9</v>
      </c>
      <c r="F1" s="6" t="s">
        <v>11</v>
      </c>
      <c r="G1" s="6" t="s">
        <v>10</v>
      </c>
      <c r="H1" s="19" t="s">
        <v>19</v>
      </c>
      <c r="I1" s="19" t="s">
        <v>20</v>
      </c>
      <c r="J1" s="7" t="s">
        <v>79</v>
      </c>
      <c r="K1" s="8" t="s">
        <v>438</v>
      </c>
      <c r="L1" s="6" t="s">
        <v>21</v>
      </c>
      <c r="M1" s="6" t="s">
        <v>492</v>
      </c>
      <c r="N1" s="6" t="s">
        <v>156</v>
      </c>
      <c r="O1" s="6" t="s">
        <v>748</v>
      </c>
      <c r="P1" s="6" t="s">
        <v>749</v>
      </c>
      <c r="Q1" s="6" t="s">
        <v>750</v>
      </c>
      <c r="R1" s="6" t="s">
        <v>751</v>
      </c>
      <c r="S1" s="6" t="s">
        <v>752</v>
      </c>
      <c r="T1" s="1" t="s">
        <v>16</v>
      </c>
      <c r="U1" s="5" t="s">
        <v>49</v>
      </c>
      <c r="V1" s="5" t="s">
        <v>136</v>
      </c>
      <c r="W1" s="5" t="s">
        <v>137</v>
      </c>
      <c r="X1" s="15" t="s">
        <v>512</v>
      </c>
      <c r="Y1" s="15" t="s">
        <v>5</v>
      </c>
      <c r="Z1" s="15" t="s">
        <v>103</v>
      </c>
    </row>
    <row r="2" spans="1:26" x14ac:dyDescent="0.2">
      <c r="A2" s="3">
        <v>42563</v>
      </c>
      <c r="B2">
        <v>703</v>
      </c>
      <c r="C2">
        <v>1</v>
      </c>
      <c r="D2" t="s">
        <v>27</v>
      </c>
      <c r="E2" t="s">
        <v>28</v>
      </c>
      <c r="F2" t="s">
        <v>123</v>
      </c>
      <c r="G2" t="s">
        <v>30</v>
      </c>
      <c r="H2" s="17">
        <v>50690</v>
      </c>
      <c r="I2" s="17">
        <v>50689</v>
      </c>
      <c r="J2" t="s">
        <v>31</v>
      </c>
      <c r="L2" t="s">
        <v>51</v>
      </c>
      <c r="M2" t="s">
        <v>494</v>
      </c>
      <c r="N2" t="s">
        <v>260</v>
      </c>
      <c r="T2">
        <f>22-9</f>
        <v>13</v>
      </c>
      <c r="U2">
        <v>19</v>
      </c>
      <c r="V2">
        <v>12.8</v>
      </c>
      <c r="W2">
        <v>25.3</v>
      </c>
      <c r="X2" t="s">
        <v>145</v>
      </c>
      <c r="Z2" t="s">
        <v>513</v>
      </c>
    </row>
    <row r="3" spans="1:26" x14ac:dyDescent="0.2">
      <c r="A3" s="3">
        <v>42563</v>
      </c>
      <c r="B3">
        <v>701</v>
      </c>
      <c r="C3">
        <v>8</v>
      </c>
      <c r="D3" t="s">
        <v>515</v>
      </c>
      <c r="E3" t="s">
        <v>34</v>
      </c>
      <c r="F3" t="s">
        <v>29</v>
      </c>
      <c r="G3" t="s">
        <v>35</v>
      </c>
      <c r="H3" s="17">
        <v>50515</v>
      </c>
      <c r="J3" t="s">
        <v>39</v>
      </c>
      <c r="K3" t="s">
        <v>514</v>
      </c>
      <c r="L3" t="s">
        <v>51</v>
      </c>
      <c r="M3" t="s">
        <v>495</v>
      </c>
      <c r="N3" t="s">
        <v>260</v>
      </c>
      <c r="T3">
        <f>28-9</f>
        <v>19</v>
      </c>
      <c r="U3">
        <v>18</v>
      </c>
      <c r="V3">
        <v>12.8</v>
      </c>
      <c r="W3">
        <v>28.8</v>
      </c>
      <c r="X3" t="s">
        <v>145</v>
      </c>
    </row>
    <row r="4" spans="1:26" x14ac:dyDescent="0.2">
      <c r="A4" s="3">
        <v>42563</v>
      </c>
      <c r="B4">
        <v>801</v>
      </c>
      <c r="C4">
        <v>10</v>
      </c>
      <c r="D4" t="s">
        <v>142</v>
      </c>
      <c r="E4" t="s">
        <v>34</v>
      </c>
      <c r="F4" t="s">
        <v>29</v>
      </c>
      <c r="G4" t="s">
        <v>30</v>
      </c>
      <c r="I4" s="17">
        <v>50510</v>
      </c>
      <c r="J4" t="s">
        <v>273</v>
      </c>
      <c r="K4" t="s">
        <v>516</v>
      </c>
      <c r="L4" t="s">
        <v>51</v>
      </c>
      <c r="M4" t="s">
        <v>494</v>
      </c>
      <c r="N4" t="s">
        <v>32</v>
      </c>
      <c r="T4">
        <f>35-9</f>
        <v>26</v>
      </c>
      <c r="U4">
        <v>29</v>
      </c>
      <c r="V4">
        <v>12.9</v>
      </c>
      <c r="W4">
        <v>26.2</v>
      </c>
      <c r="X4" t="s">
        <v>145</v>
      </c>
    </row>
    <row r="5" spans="1:26" x14ac:dyDescent="0.2">
      <c r="A5" s="3">
        <v>42564</v>
      </c>
      <c r="B5">
        <v>303</v>
      </c>
      <c r="C5">
        <v>6</v>
      </c>
      <c r="D5" t="s">
        <v>52</v>
      </c>
      <c r="E5" t="s">
        <v>34</v>
      </c>
      <c r="F5" t="s">
        <v>123</v>
      </c>
      <c r="G5" t="s">
        <v>30</v>
      </c>
      <c r="H5" s="17">
        <v>50738</v>
      </c>
      <c r="J5" t="s">
        <v>91</v>
      </c>
      <c r="K5" t="s">
        <v>485</v>
      </c>
      <c r="L5" t="s">
        <v>51</v>
      </c>
      <c r="M5" t="s">
        <v>493</v>
      </c>
      <c r="N5" t="s">
        <v>496</v>
      </c>
      <c r="T5">
        <f>28-10.5</f>
        <v>17.5</v>
      </c>
      <c r="U5">
        <v>16</v>
      </c>
      <c r="V5">
        <v>12.6</v>
      </c>
      <c r="W5">
        <v>27.9</v>
      </c>
      <c r="X5" t="s">
        <v>32</v>
      </c>
    </row>
    <row r="6" spans="1:26" x14ac:dyDescent="0.2">
      <c r="A6" s="3">
        <v>42564</v>
      </c>
      <c r="B6">
        <v>303</v>
      </c>
      <c r="C6">
        <v>6</v>
      </c>
      <c r="D6" t="s">
        <v>52</v>
      </c>
      <c r="E6" t="s">
        <v>28</v>
      </c>
      <c r="F6" t="s">
        <v>29</v>
      </c>
      <c r="G6" t="s">
        <v>35</v>
      </c>
      <c r="I6" s="17">
        <v>50137</v>
      </c>
      <c r="J6" t="s">
        <v>39</v>
      </c>
      <c r="L6" t="s">
        <v>51</v>
      </c>
      <c r="M6" t="s">
        <v>493</v>
      </c>
      <c r="N6" t="s">
        <v>145</v>
      </c>
      <c r="T6">
        <v>33</v>
      </c>
      <c r="U6">
        <v>17</v>
      </c>
      <c r="X6" t="s">
        <v>145</v>
      </c>
    </row>
    <row r="7" spans="1:26" x14ac:dyDescent="0.2">
      <c r="A7" s="3">
        <v>42564</v>
      </c>
      <c r="B7">
        <v>303</v>
      </c>
      <c r="C7">
        <v>9</v>
      </c>
      <c r="D7" t="s">
        <v>52</v>
      </c>
      <c r="E7" t="s">
        <v>28</v>
      </c>
      <c r="F7" t="s">
        <v>29</v>
      </c>
      <c r="G7" t="s">
        <v>35</v>
      </c>
      <c r="H7" s="17">
        <v>50732</v>
      </c>
      <c r="J7" t="s">
        <v>39</v>
      </c>
      <c r="K7" t="s">
        <v>486</v>
      </c>
      <c r="L7" t="s">
        <v>51</v>
      </c>
      <c r="M7" t="s">
        <v>493</v>
      </c>
      <c r="N7" t="s">
        <v>32</v>
      </c>
      <c r="T7">
        <f>38.5-13.5</f>
        <v>25</v>
      </c>
      <c r="U7">
        <v>18</v>
      </c>
      <c r="V7">
        <v>13.8</v>
      </c>
      <c r="W7">
        <v>27.3</v>
      </c>
      <c r="X7" t="s">
        <v>145</v>
      </c>
    </row>
    <row r="8" spans="1:26" x14ac:dyDescent="0.2">
      <c r="A8" s="3">
        <v>42564</v>
      </c>
      <c r="B8">
        <v>703</v>
      </c>
      <c r="C8">
        <v>6</v>
      </c>
      <c r="D8" t="s">
        <v>52</v>
      </c>
      <c r="E8" t="s">
        <v>34</v>
      </c>
      <c r="F8" t="s">
        <v>123</v>
      </c>
      <c r="G8" t="s">
        <v>30</v>
      </c>
      <c r="H8" s="17">
        <v>50509</v>
      </c>
      <c r="J8" t="s">
        <v>31</v>
      </c>
      <c r="L8" t="s">
        <v>51</v>
      </c>
      <c r="M8" t="s">
        <v>495</v>
      </c>
      <c r="N8" t="s">
        <v>260</v>
      </c>
      <c r="T8">
        <f>23-9</f>
        <v>14</v>
      </c>
      <c r="U8">
        <v>16.5</v>
      </c>
      <c r="V8">
        <v>11.9</v>
      </c>
      <c r="W8">
        <v>12.2</v>
      </c>
      <c r="X8" t="s">
        <v>145</v>
      </c>
    </row>
    <row r="9" spans="1:26" x14ac:dyDescent="0.2">
      <c r="A9" s="3">
        <v>42564</v>
      </c>
      <c r="B9">
        <v>703</v>
      </c>
      <c r="C9">
        <v>7</v>
      </c>
      <c r="D9" t="s">
        <v>52</v>
      </c>
      <c r="E9" t="s">
        <v>28</v>
      </c>
      <c r="F9" t="s">
        <v>29</v>
      </c>
      <c r="G9" t="s">
        <v>35</v>
      </c>
      <c r="H9" s="17">
        <v>50618</v>
      </c>
      <c r="J9" t="s">
        <v>39</v>
      </c>
      <c r="K9" t="s">
        <v>542</v>
      </c>
      <c r="L9" t="s">
        <v>51</v>
      </c>
      <c r="M9" t="s">
        <v>493</v>
      </c>
      <c r="N9" t="s">
        <v>32</v>
      </c>
      <c r="T9">
        <f>31-9.5</f>
        <v>21.5</v>
      </c>
      <c r="U9">
        <v>16</v>
      </c>
      <c r="V9">
        <v>12.2</v>
      </c>
      <c r="W9">
        <v>27.6</v>
      </c>
      <c r="X9" t="s">
        <v>145</v>
      </c>
    </row>
    <row r="10" spans="1:26" x14ac:dyDescent="0.2">
      <c r="A10" s="3">
        <v>42564</v>
      </c>
      <c r="B10">
        <v>701</v>
      </c>
      <c r="C10">
        <v>2</v>
      </c>
      <c r="D10" t="s">
        <v>52</v>
      </c>
      <c r="E10" t="s">
        <v>28</v>
      </c>
      <c r="F10" t="s">
        <v>29</v>
      </c>
      <c r="G10" t="s">
        <v>35</v>
      </c>
      <c r="H10" s="17">
        <v>50515</v>
      </c>
      <c r="J10" t="s">
        <v>39</v>
      </c>
      <c r="K10" t="s">
        <v>543</v>
      </c>
      <c r="L10" t="s">
        <v>51</v>
      </c>
      <c r="M10" t="s">
        <v>495</v>
      </c>
      <c r="N10" t="s">
        <v>260</v>
      </c>
      <c r="T10">
        <v>21</v>
      </c>
      <c r="U10">
        <v>17.5</v>
      </c>
      <c r="V10">
        <v>12.8</v>
      </c>
      <c r="W10">
        <v>27.4</v>
      </c>
      <c r="X10" t="s">
        <v>145</v>
      </c>
    </row>
    <row r="11" spans="1:26" x14ac:dyDescent="0.2">
      <c r="A11" s="3">
        <v>42564</v>
      </c>
      <c r="B11">
        <v>701</v>
      </c>
      <c r="C11">
        <v>4</v>
      </c>
      <c r="D11" t="s">
        <v>52</v>
      </c>
      <c r="E11" t="s">
        <v>146</v>
      </c>
      <c r="F11" t="s">
        <v>29</v>
      </c>
      <c r="G11" t="s">
        <v>35</v>
      </c>
      <c r="H11" s="17">
        <v>50504</v>
      </c>
      <c r="J11" t="s">
        <v>39</v>
      </c>
      <c r="K11" t="s">
        <v>544</v>
      </c>
      <c r="L11" t="s">
        <v>51</v>
      </c>
      <c r="M11" t="s">
        <v>495</v>
      </c>
      <c r="N11" t="s">
        <v>260</v>
      </c>
      <c r="U11">
        <v>17</v>
      </c>
      <c r="V11">
        <v>12.3</v>
      </c>
      <c r="W11">
        <v>27.3</v>
      </c>
      <c r="X11" t="s">
        <v>145</v>
      </c>
      <c r="Z11" t="s">
        <v>546</v>
      </c>
    </row>
    <row r="12" spans="1:26" x14ac:dyDescent="0.2">
      <c r="A12" s="3">
        <v>42564</v>
      </c>
      <c r="B12">
        <v>701</v>
      </c>
      <c r="C12">
        <v>6</v>
      </c>
      <c r="D12" t="s">
        <v>27</v>
      </c>
      <c r="E12" t="s">
        <v>28</v>
      </c>
      <c r="F12" t="s">
        <v>29</v>
      </c>
      <c r="G12" t="s">
        <v>35</v>
      </c>
      <c r="H12" s="17">
        <v>50468</v>
      </c>
      <c r="I12" s="17">
        <v>50467</v>
      </c>
      <c r="J12" t="s">
        <v>39</v>
      </c>
      <c r="L12" t="s">
        <v>51</v>
      </c>
      <c r="M12" t="s">
        <v>495</v>
      </c>
      <c r="N12" t="s">
        <v>260</v>
      </c>
      <c r="T12">
        <f>36-12</f>
        <v>24</v>
      </c>
      <c r="U12">
        <v>20</v>
      </c>
      <c r="V12">
        <v>13.4</v>
      </c>
      <c r="W12">
        <v>29.6</v>
      </c>
      <c r="X12" t="s">
        <v>145</v>
      </c>
    </row>
    <row r="13" spans="1:26" x14ac:dyDescent="0.2">
      <c r="A13" s="3">
        <v>42565</v>
      </c>
      <c r="B13">
        <v>303</v>
      </c>
      <c r="C13">
        <v>2</v>
      </c>
      <c r="D13" t="s">
        <v>52</v>
      </c>
      <c r="E13" t="s">
        <v>28</v>
      </c>
      <c r="F13" t="s">
        <v>29</v>
      </c>
      <c r="G13" t="s">
        <v>35</v>
      </c>
      <c r="I13" s="17">
        <v>50439</v>
      </c>
      <c r="J13" t="s">
        <v>63</v>
      </c>
      <c r="L13" t="s">
        <v>51</v>
      </c>
      <c r="M13" t="s">
        <v>494</v>
      </c>
      <c r="N13" t="s">
        <v>32</v>
      </c>
      <c r="T13">
        <f>32.5-11.5</f>
        <v>21</v>
      </c>
      <c r="U13">
        <v>17</v>
      </c>
      <c r="V13">
        <v>13</v>
      </c>
      <c r="W13">
        <v>26</v>
      </c>
      <c r="X13" t="s">
        <v>32</v>
      </c>
    </row>
    <row r="14" spans="1:26" x14ac:dyDescent="0.2">
      <c r="A14" s="3">
        <v>42565</v>
      </c>
      <c r="B14">
        <v>303</v>
      </c>
      <c r="C14">
        <v>6</v>
      </c>
      <c r="D14" t="s">
        <v>52</v>
      </c>
      <c r="E14" t="s">
        <v>34</v>
      </c>
      <c r="F14" t="s">
        <v>29</v>
      </c>
      <c r="G14" t="s">
        <v>35</v>
      </c>
      <c r="H14" s="17">
        <v>50747</v>
      </c>
      <c r="J14" t="s">
        <v>39</v>
      </c>
      <c r="L14" t="s">
        <v>51</v>
      </c>
      <c r="M14" t="s">
        <v>493</v>
      </c>
      <c r="N14" t="s">
        <v>32</v>
      </c>
      <c r="T14">
        <f>35.5-9</f>
        <v>26.5</v>
      </c>
      <c r="U14">
        <v>18</v>
      </c>
      <c r="V14">
        <v>13.05</v>
      </c>
      <c r="W14">
        <v>29.9</v>
      </c>
      <c r="X14" t="s">
        <v>32</v>
      </c>
    </row>
    <row r="15" spans="1:26" x14ac:dyDescent="0.2">
      <c r="A15" s="3">
        <v>42565</v>
      </c>
      <c r="B15">
        <v>303</v>
      </c>
      <c r="C15">
        <v>7</v>
      </c>
      <c r="D15" t="s">
        <v>52</v>
      </c>
      <c r="E15" t="s">
        <v>34</v>
      </c>
      <c r="F15" t="s">
        <v>29</v>
      </c>
      <c r="G15" t="s">
        <v>35</v>
      </c>
      <c r="H15" s="17">
        <v>50750</v>
      </c>
      <c r="J15" t="s">
        <v>63</v>
      </c>
      <c r="L15" t="s">
        <v>51</v>
      </c>
      <c r="M15" t="s">
        <v>493</v>
      </c>
      <c r="N15" t="s">
        <v>32</v>
      </c>
      <c r="T15">
        <v>22</v>
      </c>
      <c r="X15" t="s">
        <v>32</v>
      </c>
    </row>
    <row r="16" spans="1:26" x14ac:dyDescent="0.2">
      <c r="A16" s="3">
        <v>42565</v>
      </c>
      <c r="B16">
        <v>303</v>
      </c>
      <c r="C16">
        <v>9</v>
      </c>
      <c r="D16" t="s">
        <v>52</v>
      </c>
      <c r="E16" t="s">
        <v>28</v>
      </c>
      <c r="F16" t="s">
        <v>29</v>
      </c>
      <c r="G16" t="s">
        <v>35</v>
      </c>
      <c r="H16" s="17">
        <v>50732</v>
      </c>
      <c r="J16" t="s">
        <v>63</v>
      </c>
      <c r="L16" t="s">
        <v>51</v>
      </c>
      <c r="M16" t="s">
        <v>493</v>
      </c>
      <c r="N16" t="s">
        <v>32</v>
      </c>
      <c r="T16">
        <f>35-12</f>
        <v>23</v>
      </c>
      <c r="U16">
        <v>16</v>
      </c>
      <c r="V16">
        <v>13.5</v>
      </c>
      <c r="W16">
        <v>26.4</v>
      </c>
      <c r="X16" t="s">
        <v>32</v>
      </c>
    </row>
    <row r="17" spans="1:24" x14ac:dyDescent="0.2">
      <c r="A17" s="3">
        <v>42565</v>
      </c>
      <c r="B17">
        <v>303</v>
      </c>
      <c r="C17">
        <v>9</v>
      </c>
      <c r="D17" t="s">
        <v>52</v>
      </c>
      <c r="E17" t="s">
        <v>28</v>
      </c>
      <c r="F17" t="s">
        <v>29</v>
      </c>
      <c r="G17" t="s">
        <v>30</v>
      </c>
      <c r="H17" s="17">
        <v>50738</v>
      </c>
      <c r="J17" t="s">
        <v>91</v>
      </c>
      <c r="L17" t="s">
        <v>51</v>
      </c>
      <c r="M17" t="s">
        <v>494</v>
      </c>
      <c r="N17" t="s">
        <v>145</v>
      </c>
      <c r="T17">
        <f>30.5-12</f>
        <v>18.5</v>
      </c>
      <c r="U17">
        <v>15</v>
      </c>
      <c r="V17">
        <v>12.8</v>
      </c>
      <c r="W17">
        <v>23.4</v>
      </c>
      <c r="X17" t="s">
        <v>32</v>
      </c>
    </row>
    <row r="18" spans="1:24" x14ac:dyDescent="0.2">
      <c r="A18" s="3">
        <v>42565</v>
      </c>
      <c r="B18">
        <v>303</v>
      </c>
      <c r="C18">
        <v>10</v>
      </c>
      <c r="D18" t="s">
        <v>52</v>
      </c>
      <c r="E18" t="s">
        <v>28</v>
      </c>
      <c r="F18" t="s">
        <v>29</v>
      </c>
      <c r="G18" t="s">
        <v>35</v>
      </c>
      <c r="I18" s="17">
        <v>50437</v>
      </c>
      <c r="J18" t="s">
        <v>63</v>
      </c>
      <c r="L18" t="s">
        <v>51</v>
      </c>
      <c r="M18" t="s">
        <v>495</v>
      </c>
      <c r="N18" t="s">
        <v>260</v>
      </c>
      <c r="T18">
        <f>33-12.5</f>
        <v>20.5</v>
      </c>
      <c r="U18">
        <v>16.5</v>
      </c>
      <c r="V18">
        <v>13</v>
      </c>
      <c r="W18">
        <v>26.9</v>
      </c>
      <c r="X18" t="s">
        <v>32</v>
      </c>
    </row>
    <row r="19" spans="1:24" x14ac:dyDescent="0.2">
      <c r="A19" s="3">
        <v>42565</v>
      </c>
      <c r="B19">
        <v>703</v>
      </c>
      <c r="C19">
        <v>2</v>
      </c>
      <c r="D19" t="s">
        <v>52</v>
      </c>
      <c r="E19" t="s">
        <v>34</v>
      </c>
      <c r="F19" t="s">
        <v>188</v>
      </c>
      <c r="G19" t="s">
        <v>35</v>
      </c>
      <c r="I19" s="17">
        <v>50764</v>
      </c>
      <c r="J19" t="s">
        <v>39</v>
      </c>
      <c r="L19" t="s">
        <v>51</v>
      </c>
      <c r="M19" t="s">
        <v>495</v>
      </c>
      <c r="N19" t="s">
        <v>260</v>
      </c>
      <c r="T19">
        <v>14</v>
      </c>
      <c r="U19">
        <v>17</v>
      </c>
      <c r="V19">
        <v>12.2</v>
      </c>
      <c r="W19">
        <v>25.6</v>
      </c>
      <c r="X19" t="s">
        <v>145</v>
      </c>
    </row>
    <row r="20" spans="1:24" x14ac:dyDescent="0.2">
      <c r="A20" s="3">
        <v>42565</v>
      </c>
      <c r="B20">
        <v>703</v>
      </c>
      <c r="C20">
        <v>5</v>
      </c>
      <c r="D20" t="s">
        <v>52</v>
      </c>
      <c r="E20" t="s">
        <v>28</v>
      </c>
      <c r="F20" t="s">
        <v>29</v>
      </c>
      <c r="G20" t="s">
        <v>35</v>
      </c>
      <c r="H20" s="17">
        <v>50618</v>
      </c>
      <c r="J20" t="s">
        <v>39</v>
      </c>
      <c r="L20" t="s">
        <v>51</v>
      </c>
      <c r="M20" t="s">
        <v>493</v>
      </c>
      <c r="N20" t="s">
        <v>32</v>
      </c>
      <c r="T20">
        <f>32-9</f>
        <v>23</v>
      </c>
      <c r="U20">
        <v>17</v>
      </c>
      <c r="X20" t="s">
        <v>32</v>
      </c>
    </row>
    <row r="21" spans="1:24" x14ac:dyDescent="0.2">
      <c r="A21" s="3">
        <v>42565</v>
      </c>
      <c r="B21">
        <v>703</v>
      </c>
      <c r="C21">
        <v>7</v>
      </c>
      <c r="D21" t="s">
        <v>52</v>
      </c>
      <c r="E21" t="s">
        <v>34</v>
      </c>
      <c r="F21" t="s">
        <v>29</v>
      </c>
      <c r="G21" t="s">
        <v>35</v>
      </c>
      <c r="I21" s="17">
        <v>50763</v>
      </c>
      <c r="J21" t="s">
        <v>39</v>
      </c>
      <c r="L21" t="s">
        <v>51</v>
      </c>
      <c r="M21" t="s">
        <v>495</v>
      </c>
      <c r="N21" t="s">
        <v>260</v>
      </c>
      <c r="T21">
        <f>29-9</f>
        <v>20</v>
      </c>
      <c r="U21">
        <v>17</v>
      </c>
      <c r="V21">
        <v>12.3</v>
      </c>
      <c r="W21">
        <v>26.2</v>
      </c>
      <c r="X21" t="s">
        <v>32</v>
      </c>
    </row>
    <row r="22" spans="1:24" x14ac:dyDescent="0.2">
      <c r="A22" s="3">
        <v>42565</v>
      </c>
      <c r="B22">
        <v>701</v>
      </c>
      <c r="C22">
        <v>2</v>
      </c>
      <c r="D22" t="s">
        <v>52</v>
      </c>
      <c r="E22" t="s">
        <v>28</v>
      </c>
      <c r="F22" t="s">
        <v>29</v>
      </c>
      <c r="G22" t="s">
        <v>35</v>
      </c>
      <c r="H22" s="17">
        <v>50515</v>
      </c>
      <c r="J22" t="s">
        <v>39</v>
      </c>
      <c r="K22" t="s">
        <v>591</v>
      </c>
      <c r="L22" t="s">
        <v>51</v>
      </c>
      <c r="M22" t="s">
        <v>495</v>
      </c>
      <c r="N22" t="s">
        <v>260</v>
      </c>
      <c r="T22">
        <f>30.5-10</f>
        <v>20.5</v>
      </c>
      <c r="U22">
        <v>19</v>
      </c>
      <c r="V22">
        <v>12.5</v>
      </c>
      <c r="W22">
        <v>27.4</v>
      </c>
      <c r="X22" t="s">
        <v>145</v>
      </c>
    </row>
    <row r="23" spans="1:24" x14ac:dyDescent="0.2">
      <c r="A23" s="3">
        <v>42565</v>
      </c>
      <c r="B23">
        <v>701</v>
      </c>
      <c r="C23">
        <v>3</v>
      </c>
      <c r="D23" t="s">
        <v>27</v>
      </c>
      <c r="E23" t="s">
        <v>28</v>
      </c>
      <c r="F23" t="s">
        <v>188</v>
      </c>
      <c r="G23" t="s">
        <v>35</v>
      </c>
      <c r="H23" s="17">
        <v>50506</v>
      </c>
      <c r="I23" s="17">
        <v>50505</v>
      </c>
      <c r="J23" t="s">
        <v>63</v>
      </c>
      <c r="L23" t="s">
        <v>51</v>
      </c>
      <c r="M23" t="s">
        <v>493</v>
      </c>
      <c r="N23" t="s">
        <v>260</v>
      </c>
      <c r="T23">
        <v>17</v>
      </c>
      <c r="U23">
        <v>19</v>
      </c>
      <c r="V23">
        <v>12.7</v>
      </c>
      <c r="W23">
        <v>27.4</v>
      </c>
      <c r="X23" t="s">
        <v>145</v>
      </c>
    </row>
    <row r="24" spans="1:24" x14ac:dyDescent="0.2">
      <c r="A24" s="3">
        <v>42565</v>
      </c>
      <c r="B24">
        <v>701</v>
      </c>
      <c r="C24">
        <v>4</v>
      </c>
      <c r="D24" t="s">
        <v>52</v>
      </c>
      <c r="E24" t="s">
        <v>34</v>
      </c>
      <c r="F24" t="s">
        <v>29</v>
      </c>
      <c r="G24" t="s">
        <v>35</v>
      </c>
      <c r="H24" s="17">
        <v>50762</v>
      </c>
      <c r="J24" t="s">
        <v>39</v>
      </c>
      <c r="K24" t="s">
        <v>593</v>
      </c>
      <c r="L24" t="s">
        <v>51</v>
      </c>
      <c r="M24" t="s">
        <v>495</v>
      </c>
      <c r="N24" t="s">
        <v>260</v>
      </c>
      <c r="U24">
        <v>18</v>
      </c>
      <c r="V24">
        <v>13</v>
      </c>
      <c r="W24">
        <v>27.8</v>
      </c>
      <c r="X24" t="s">
        <v>145</v>
      </c>
    </row>
    <row r="25" spans="1:24" x14ac:dyDescent="0.2">
      <c r="A25" s="3">
        <v>42565</v>
      </c>
      <c r="B25">
        <v>701</v>
      </c>
      <c r="C25">
        <v>7</v>
      </c>
      <c r="D25" t="s">
        <v>52</v>
      </c>
      <c r="E25" t="s">
        <v>28</v>
      </c>
      <c r="F25" t="s">
        <v>29</v>
      </c>
      <c r="G25" t="s">
        <v>30</v>
      </c>
      <c r="H25" s="17">
        <v>50769</v>
      </c>
      <c r="J25" t="s">
        <v>273</v>
      </c>
      <c r="K25" t="s">
        <v>594</v>
      </c>
      <c r="L25" t="s">
        <v>51</v>
      </c>
      <c r="M25" t="s">
        <v>495</v>
      </c>
      <c r="N25" t="s">
        <v>260</v>
      </c>
      <c r="T25">
        <f>33.5-9</f>
        <v>24.5</v>
      </c>
      <c r="U25">
        <v>17</v>
      </c>
      <c r="V25">
        <v>12.9</v>
      </c>
      <c r="X25" t="s">
        <v>145</v>
      </c>
    </row>
    <row r="26" spans="1:24" x14ac:dyDescent="0.2">
      <c r="A26" s="3">
        <v>42565</v>
      </c>
      <c r="B26">
        <v>701</v>
      </c>
      <c r="C26">
        <v>8</v>
      </c>
      <c r="D26" t="s">
        <v>27</v>
      </c>
      <c r="E26" t="s">
        <v>34</v>
      </c>
      <c r="F26" t="s">
        <v>29</v>
      </c>
      <c r="G26" t="s">
        <v>30</v>
      </c>
      <c r="H26" s="17">
        <v>50758</v>
      </c>
      <c r="I26" s="17">
        <v>50757</v>
      </c>
      <c r="J26" t="s">
        <v>273</v>
      </c>
      <c r="K26" t="s">
        <v>595</v>
      </c>
      <c r="L26" t="s">
        <v>51</v>
      </c>
      <c r="M26" t="s">
        <v>495</v>
      </c>
      <c r="N26" t="s">
        <v>260</v>
      </c>
      <c r="T26">
        <v>21</v>
      </c>
      <c r="U26">
        <v>19</v>
      </c>
      <c r="W26">
        <v>27.4</v>
      </c>
      <c r="X26" t="s">
        <v>145</v>
      </c>
    </row>
    <row r="27" spans="1:24" x14ac:dyDescent="0.2">
      <c r="A27" s="3">
        <v>42565</v>
      </c>
      <c r="B27">
        <v>701</v>
      </c>
      <c r="C27">
        <v>6</v>
      </c>
      <c r="D27" t="s">
        <v>52</v>
      </c>
      <c r="E27" t="s">
        <v>34</v>
      </c>
      <c r="F27" t="s">
        <v>29</v>
      </c>
      <c r="G27" t="s">
        <v>35</v>
      </c>
      <c r="H27" s="17">
        <v>50755</v>
      </c>
      <c r="J27" t="s">
        <v>39</v>
      </c>
      <c r="L27" t="s">
        <v>51</v>
      </c>
      <c r="M27" t="s">
        <v>493</v>
      </c>
      <c r="N27" t="s">
        <v>32</v>
      </c>
      <c r="T27">
        <v>20</v>
      </c>
      <c r="U27">
        <v>18</v>
      </c>
      <c r="V27">
        <v>12.8</v>
      </c>
      <c r="W27">
        <v>27.6</v>
      </c>
      <c r="X27" t="s">
        <v>145</v>
      </c>
    </row>
    <row r="28" spans="1:24" x14ac:dyDescent="0.2">
      <c r="A28" s="3">
        <v>42565</v>
      </c>
      <c r="B28">
        <v>701</v>
      </c>
      <c r="C28">
        <v>9</v>
      </c>
      <c r="D28" t="s">
        <v>27</v>
      </c>
      <c r="E28" t="s">
        <v>28</v>
      </c>
      <c r="F28" t="s">
        <v>29</v>
      </c>
      <c r="G28" t="s">
        <v>35</v>
      </c>
      <c r="H28" s="17">
        <v>50773</v>
      </c>
      <c r="I28" s="17">
        <v>50772</v>
      </c>
      <c r="J28" t="s">
        <v>39</v>
      </c>
      <c r="L28" t="s">
        <v>51</v>
      </c>
      <c r="M28" t="s">
        <v>494</v>
      </c>
      <c r="N28" t="s">
        <v>260</v>
      </c>
      <c r="T28">
        <v>20</v>
      </c>
      <c r="U28">
        <v>19</v>
      </c>
      <c r="V28">
        <v>12.9</v>
      </c>
      <c r="W28">
        <v>26.4</v>
      </c>
      <c r="X28" t="s">
        <v>145</v>
      </c>
    </row>
    <row r="29" spans="1:24" x14ac:dyDescent="0.2">
      <c r="A29" s="3">
        <v>42570</v>
      </c>
      <c r="B29">
        <v>201</v>
      </c>
      <c r="C29">
        <v>2</v>
      </c>
      <c r="D29" t="s">
        <v>27</v>
      </c>
      <c r="E29" t="s">
        <v>28</v>
      </c>
      <c r="F29" t="s">
        <v>29</v>
      </c>
      <c r="G29" t="s">
        <v>30</v>
      </c>
      <c r="H29" s="17">
        <v>50627</v>
      </c>
      <c r="I29" s="17">
        <v>50626</v>
      </c>
      <c r="J29" t="s">
        <v>83</v>
      </c>
      <c r="L29" t="s">
        <v>51</v>
      </c>
      <c r="M29" t="s">
        <v>495</v>
      </c>
      <c r="N29" t="s">
        <v>260</v>
      </c>
      <c r="T29">
        <f>22.5-13</f>
        <v>9.5</v>
      </c>
      <c r="U29">
        <v>20</v>
      </c>
      <c r="V29">
        <v>12.8</v>
      </c>
      <c r="W29">
        <v>26.7</v>
      </c>
      <c r="X29" t="s">
        <v>32</v>
      </c>
    </row>
    <row r="30" spans="1:24" x14ac:dyDescent="0.2">
      <c r="A30" s="3">
        <v>42570</v>
      </c>
      <c r="B30">
        <v>201</v>
      </c>
      <c r="C30">
        <v>2</v>
      </c>
      <c r="D30" t="s">
        <v>27</v>
      </c>
      <c r="E30" t="s">
        <v>28</v>
      </c>
      <c r="F30" t="s">
        <v>29</v>
      </c>
      <c r="G30" t="s">
        <v>35</v>
      </c>
      <c r="H30" s="17">
        <v>50335</v>
      </c>
      <c r="I30" s="17">
        <v>50334</v>
      </c>
      <c r="J30" t="s">
        <v>39</v>
      </c>
      <c r="L30" t="s">
        <v>51</v>
      </c>
      <c r="M30" t="s">
        <v>494</v>
      </c>
      <c r="N30" t="s">
        <v>260</v>
      </c>
      <c r="T30">
        <f>35.5-14</f>
        <v>21.5</v>
      </c>
      <c r="U30">
        <v>20</v>
      </c>
      <c r="V30">
        <v>13</v>
      </c>
      <c r="W30">
        <v>27.3</v>
      </c>
      <c r="X30" t="s">
        <v>145</v>
      </c>
    </row>
    <row r="31" spans="1:24" x14ac:dyDescent="0.2">
      <c r="A31" s="3">
        <v>42570</v>
      </c>
      <c r="B31">
        <v>203</v>
      </c>
      <c r="C31">
        <v>4</v>
      </c>
      <c r="D31" t="s">
        <v>27</v>
      </c>
      <c r="E31" t="s">
        <v>28</v>
      </c>
      <c r="F31" t="s">
        <v>29</v>
      </c>
      <c r="G31" t="s">
        <v>30</v>
      </c>
      <c r="H31" s="17">
        <v>50668</v>
      </c>
      <c r="I31" s="17">
        <v>50667</v>
      </c>
      <c r="J31" t="s">
        <v>273</v>
      </c>
      <c r="K31" t="s">
        <v>549</v>
      </c>
      <c r="L31" t="s">
        <v>51</v>
      </c>
      <c r="M31" t="s">
        <v>493</v>
      </c>
      <c r="N31" t="s">
        <v>260</v>
      </c>
      <c r="T31">
        <f>33-9</f>
        <v>24</v>
      </c>
      <c r="U31">
        <v>20</v>
      </c>
      <c r="V31">
        <v>12.9</v>
      </c>
      <c r="W31">
        <v>26.9</v>
      </c>
      <c r="X31" t="s">
        <v>145</v>
      </c>
    </row>
    <row r="32" spans="1:24" x14ac:dyDescent="0.2">
      <c r="A32" s="3">
        <v>42570</v>
      </c>
      <c r="B32">
        <v>203</v>
      </c>
      <c r="C32">
        <v>7</v>
      </c>
      <c r="D32" t="s">
        <v>27</v>
      </c>
      <c r="E32" t="s">
        <v>28</v>
      </c>
      <c r="F32" t="s">
        <v>29</v>
      </c>
      <c r="G32" t="s">
        <v>30</v>
      </c>
      <c r="H32" s="17">
        <v>50633</v>
      </c>
      <c r="I32" s="17">
        <v>50634</v>
      </c>
      <c r="J32" t="s">
        <v>273</v>
      </c>
      <c r="L32" t="s">
        <v>51</v>
      </c>
      <c r="M32" t="s">
        <v>493</v>
      </c>
      <c r="N32" t="s">
        <v>260</v>
      </c>
      <c r="T32">
        <f>36.5-14.5</f>
        <v>22</v>
      </c>
      <c r="U32">
        <v>20</v>
      </c>
      <c r="V32">
        <v>12.9</v>
      </c>
      <c r="W32">
        <v>27.1</v>
      </c>
      <c r="X32" t="s">
        <v>32</v>
      </c>
    </row>
    <row r="33" spans="1:24" x14ac:dyDescent="0.2">
      <c r="A33" s="3">
        <v>42570</v>
      </c>
      <c r="B33">
        <v>203</v>
      </c>
      <c r="C33">
        <v>9</v>
      </c>
      <c r="D33" t="s">
        <v>27</v>
      </c>
      <c r="E33" t="s">
        <v>28</v>
      </c>
      <c r="F33" t="s">
        <v>29</v>
      </c>
      <c r="G33" t="s">
        <v>35</v>
      </c>
      <c r="H33" s="17">
        <v>50491</v>
      </c>
      <c r="I33" s="17">
        <v>50357</v>
      </c>
      <c r="J33" t="s">
        <v>39</v>
      </c>
      <c r="L33" t="s">
        <v>51</v>
      </c>
      <c r="M33" t="s">
        <v>495</v>
      </c>
      <c r="N33" t="s">
        <v>260</v>
      </c>
      <c r="T33">
        <f>32-12</f>
        <v>20</v>
      </c>
      <c r="U33">
        <v>21</v>
      </c>
      <c r="V33">
        <v>12.8</v>
      </c>
      <c r="X33" t="s">
        <v>32</v>
      </c>
    </row>
    <row r="34" spans="1:24" x14ac:dyDescent="0.2">
      <c r="A34" s="3">
        <v>42570</v>
      </c>
      <c r="B34">
        <v>202</v>
      </c>
      <c r="C34">
        <v>6</v>
      </c>
      <c r="D34" t="s">
        <v>27</v>
      </c>
      <c r="E34" t="s">
        <v>28</v>
      </c>
      <c r="F34" t="s">
        <v>29</v>
      </c>
      <c r="G34" t="s">
        <v>35</v>
      </c>
      <c r="H34" s="17">
        <v>50410</v>
      </c>
      <c r="I34" s="17">
        <v>50412</v>
      </c>
      <c r="J34" t="s">
        <v>39</v>
      </c>
      <c r="L34" t="s">
        <v>51</v>
      </c>
      <c r="M34" t="s">
        <v>495</v>
      </c>
      <c r="N34" t="s">
        <v>260</v>
      </c>
      <c r="T34">
        <f>37-14</f>
        <v>23</v>
      </c>
      <c r="U34">
        <v>20</v>
      </c>
      <c r="V34">
        <v>13</v>
      </c>
      <c r="W34">
        <v>27.2</v>
      </c>
      <c r="X34" t="s">
        <v>32</v>
      </c>
    </row>
    <row r="35" spans="1:24" x14ac:dyDescent="0.2">
      <c r="A35" s="3">
        <v>42570</v>
      </c>
      <c r="B35">
        <v>202</v>
      </c>
      <c r="C35">
        <v>6</v>
      </c>
      <c r="D35" t="s">
        <v>27</v>
      </c>
      <c r="E35" t="s">
        <v>34</v>
      </c>
      <c r="F35" t="s">
        <v>123</v>
      </c>
      <c r="G35" t="s">
        <v>35</v>
      </c>
      <c r="H35" s="17">
        <v>50786</v>
      </c>
      <c r="I35" s="17">
        <v>50785</v>
      </c>
      <c r="J35" t="s">
        <v>63</v>
      </c>
      <c r="K35" t="s">
        <v>555</v>
      </c>
      <c r="L35" t="s">
        <v>51</v>
      </c>
      <c r="M35" t="s">
        <v>495</v>
      </c>
      <c r="N35" t="s">
        <v>260</v>
      </c>
      <c r="T35">
        <f>27.5-16</f>
        <v>11.5</v>
      </c>
      <c r="U35">
        <v>19</v>
      </c>
      <c r="V35">
        <v>12.6</v>
      </c>
      <c r="W35">
        <v>25.6</v>
      </c>
      <c r="X35" t="s">
        <v>145</v>
      </c>
    </row>
    <row r="36" spans="1:24" x14ac:dyDescent="0.2">
      <c r="A36" s="3">
        <v>42570</v>
      </c>
      <c r="B36">
        <v>304</v>
      </c>
      <c r="C36">
        <v>8</v>
      </c>
      <c r="D36" t="s">
        <v>27</v>
      </c>
      <c r="E36" t="s">
        <v>28</v>
      </c>
      <c r="F36" t="s">
        <v>123</v>
      </c>
      <c r="G36" t="s">
        <v>35</v>
      </c>
      <c r="H36" s="17">
        <v>50650</v>
      </c>
      <c r="I36" s="17">
        <v>50649</v>
      </c>
      <c r="J36" t="s">
        <v>63</v>
      </c>
      <c r="L36" t="s">
        <v>51</v>
      </c>
      <c r="M36" t="s">
        <v>493</v>
      </c>
      <c r="N36" t="s">
        <v>260</v>
      </c>
      <c r="T36">
        <f>24-9</f>
        <v>15</v>
      </c>
      <c r="U36">
        <v>19</v>
      </c>
      <c r="V36">
        <v>12.8</v>
      </c>
      <c r="W36">
        <v>26.4</v>
      </c>
      <c r="X36" t="s">
        <v>145</v>
      </c>
    </row>
    <row r="37" spans="1:24" x14ac:dyDescent="0.2">
      <c r="A37" s="3">
        <v>42570</v>
      </c>
      <c r="B37">
        <v>304</v>
      </c>
      <c r="C37">
        <v>9</v>
      </c>
      <c r="D37" t="s">
        <v>52</v>
      </c>
      <c r="E37" t="s">
        <v>34</v>
      </c>
      <c r="F37" t="s">
        <v>29</v>
      </c>
      <c r="G37" t="s">
        <v>30</v>
      </c>
      <c r="H37" s="17">
        <v>50781</v>
      </c>
      <c r="J37" t="s">
        <v>273</v>
      </c>
      <c r="K37" t="s">
        <v>557</v>
      </c>
      <c r="L37" t="s">
        <v>51</v>
      </c>
      <c r="M37" t="s">
        <v>495</v>
      </c>
      <c r="N37" t="s">
        <v>260</v>
      </c>
      <c r="T37">
        <f>40-9</f>
        <v>31</v>
      </c>
      <c r="U37">
        <v>19</v>
      </c>
      <c r="V37">
        <v>12.9</v>
      </c>
      <c r="W37">
        <v>28.7</v>
      </c>
      <c r="X37" t="s">
        <v>145</v>
      </c>
    </row>
    <row r="38" spans="1:24" x14ac:dyDescent="0.2">
      <c r="A38" s="3">
        <v>42570</v>
      </c>
      <c r="B38">
        <v>402</v>
      </c>
      <c r="C38">
        <v>1</v>
      </c>
      <c r="D38" t="s">
        <v>52</v>
      </c>
      <c r="E38" t="s">
        <v>34</v>
      </c>
      <c r="F38" t="s">
        <v>123</v>
      </c>
      <c r="G38" t="s">
        <v>35</v>
      </c>
      <c r="I38" s="17">
        <v>50717</v>
      </c>
      <c r="J38" t="s">
        <v>63</v>
      </c>
      <c r="K38" t="s">
        <v>602</v>
      </c>
      <c r="L38" t="s">
        <v>51</v>
      </c>
      <c r="M38" t="s">
        <v>495</v>
      </c>
      <c r="N38" t="s">
        <v>260</v>
      </c>
      <c r="T38">
        <f>31-13</f>
        <v>18</v>
      </c>
      <c r="U38">
        <v>17</v>
      </c>
      <c r="V38">
        <v>12.6</v>
      </c>
      <c r="W38">
        <v>28</v>
      </c>
      <c r="X38" t="s">
        <v>145</v>
      </c>
    </row>
    <row r="39" spans="1:24" x14ac:dyDescent="0.2">
      <c r="A39" s="3">
        <v>42570</v>
      </c>
      <c r="B39">
        <v>402</v>
      </c>
      <c r="C39">
        <v>6</v>
      </c>
      <c r="D39" t="s">
        <v>52</v>
      </c>
      <c r="E39" t="s">
        <v>28</v>
      </c>
      <c r="F39" t="s">
        <v>29</v>
      </c>
      <c r="G39" t="s">
        <v>30</v>
      </c>
      <c r="H39" s="17">
        <v>50483</v>
      </c>
      <c r="J39" t="s">
        <v>75</v>
      </c>
      <c r="L39" t="s">
        <v>51</v>
      </c>
      <c r="M39" t="s">
        <v>495</v>
      </c>
      <c r="N39" t="s">
        <v>260</v>
      </c>
      <c r="X39" t="s">
        <v>145</v>
      </c>
    </row>
    <row r="40" spans="1:24" x14ac:dyDescent="0.2">
      <c r="A40" s="3">
        <v>42571</v>
      </c>
      <c r="B40">
        <v>201</v>
      </c>
      <c r="C40">
        <v>2</v>
      </c>
      <c r="D40" t="s">
        <v>27</v>
      </c>
      <c r="E40" t="s">
        <v>28</v>
      </c>
      <c r="F40" t="s">
        <v>29</v>
      </c>
      <c r="G40" t="s">
        <v>35</v>
      </c>
      <c r="H40" s="17">
        <v>50335</v>
      </c>
      <c r="I40" s="17">
        <v>50334</v>
      </c>
      <c r="J40" t="s">
        <v>39</v>
      </c>
      <c r="L40" t="s">
        <v>51</v>
      </c>
      <c r="M40" t="s">
        <v>494</v>
      </c>
      <c r="N40" t="s">
        <v>260</v>
      </c>
      <c r="T40">
        <f>36-15</f>
        <v>21</v>
      </c>
      <c r="U40">
        <v>21</v>
      </c>
      <c r="V40">
        <v>12.9</v>
      </c>
      <c r="W40">
        <v>26.8</v>
      </c>
      <c r="X40" t="s">
        <v>32</v>
      </c>
    </row>
    <row r="41" spans="1:24" x14ac:dyDescent="0.2">
      <c r="A41" s="3">
        <v>42571</v>
      </c>
      <c r="B41">
        <v>402</v>
      </c>
      <c r="C41">
        <v>1</v>
      </c>
      <c r="D41" t="s">
        <v>52</v>
      </c>
      <c r="E41" t="s">
        <v>34</v>
      </c>
      <c r="F41" t="s">
        <v>29</v>
      </c>
      <c r="G41" t="s">
        <v>30</v>
      </c>
      <c r="H41" s="17">
        <v>50806</v>
      </c>
      <c r="J41" t="s">
        <v>91</v>
      </c>
      <c r="K41" t="s">
        <v>610</v>
      </c>
      <c r="L41" t="s">
        <v>51</v>
      </c>
      <c r="M41" t="s">
        <v>495</v>
      </c>
      <c r="N41" t="s">
        <v>260</v>
      </c>
      <c r="T41">
        <f>33-12.5</f>
        <v>20.5</v>
      </c>
      <c r="U41">
        <v>16</v>
      </c>
      <c r="V41">
        <v>12.55</v>
      </c>
      <c r="W41">
        <v>24.6</v>
      </c>
      <c r="X41" t="s">
        <v>145</v>
      </c>
    </row>
    <row r="42" spans="1:24" x14ac:dyDescent="0.2">
      <c r="A42" s="3">
        <v>42571</v>
      </c>
      <c r="B42">
        <v>402</v>
      </c>
      <c r="C42">
        <v>1</v>
      </c>
      <c r="D42" t="s">
        <v>52</v>
      </c>
      <c r="E42" t="s">
        <v>34</v>
      </c>
      <c r="F42" t="s">
        <v>29</v>
      </c>
      <c r="G42" t="s">
        <v>35</v>
      </c>
      <c r="H42" s="17">
        <v>50807</v>
      </c>
      <c r="J42" t="s">
        <v>63</v>
      </c>
      <c r="K42" t="s">
        <v>611</v>
      </c>
      <c r="L42" t="s">
        <v>51</v>
      </c>
      <c r="M42" t="s">
        <v>495</v>
      </c>
      <c r="N42" t="s">
        <v>260</v>
      </c>
      <c r="T42">
        <v>22</v>
      </c>
      <c r="U42">
        <v>16</v>
      </c>
      <c r="X42" t="s">
        <v>145</v>
      </c>
    </row>
    <row r="43" spans="1:24" x14ac:dyDescent="0.2">
      <c r="A43" s="3">
        <v>42572</v>
      </c>
      <c r="B43">
        <v>201</v>
      </c>
      <c r="C43">
        <v>1</v>
      </c>
      <c r="D43" t="s">
        <v>52</v>
      </c>
      <c r="E43" t="s">
        <v>34</v>
      </c>
      <c r="F43" t="s">
        <v>29</v>
      </c>
      <c r="G43" t="s">
        <v>30</v>
      </c>
      <c r="H43" s="17">
        <v>50794</v>
      </c>
      <c r="J43" t="s">
        <v>273</v>
      </c>
      <c r="L43" t="s">
        <v>51</v>
      </c>
      <c r="M43" t="s">
        <v>495</v>
      </c>
      <c r="N43" t="s">
        <v>260</v>
      </c>
      <c r="T43">
        <f>37-10.5</f>
        <v>26.5</v>
      </c>
      <c r="U43">
        <v>18</v>
      </c>
      <c r="W43">
        <v>26.6</v>
      </c>
      <c r="X43" t="s">
        <v>32</v>
      </c>
    </row>
    <row r="44" spans="1:24" x14ac:dyDescent="0.2">
      <c r="A44" s="3">
        <v>42572</v>
      </c>
      <c r="B44">
        <v>201</v>
      </c>
      <c r="C44">
        <v>2</v>
      </c>
      <c r="D44" t="s">
        <v>27</v>
      </c>
      <c r="E44" t="s">
        <v>34</v>
      </c>
      <c r="F44" t="s">
        <v>29</v>
      </c>
      <c r="G44" t="s">
        <v>30</v>
      </c>
      <c r="H44" s="17">
        <v>50780</v>
      </c>
      <c r="I44" s="17">
        <v>50779</v>
      </c>
      <c r="J44" t="s">
        <v>273</v>
      </c>
      <c r="K44" t="s">
        <v>618</v>
      </c>
      <c r="L44" t="s">
        <v>51</v>
      </c>
      <c r="M44" t="s">
        <v>495</v>
      </c>
      <c r="N44" t="s">
        <v>260</v>
      </c>
      <c r="T44">
        <f>33-11</f>
        <v>22</v>
      </c>
      <c r="U44">
        <v>18</v>
      </c>
      <c r="V44">
        <v>12.9</v>
      </c>
      <c r="W44">
        <v>27.4</v>
      </c>
      <c r="X44" t="s">
        <v>145</v>
      </c>
    </row>
    <row r="45" spans="1:24" x14ac:dyDescent="0.2">
      <c r="A45" s="3">
        <v>42572</v>
      </c>
      <c r="B45">
        <v>201</v>
      </c>
      <c r="C45">
        <v>10</v>
      </c>
      <c r="D45" t="s">
        <v>27</v>
      </c>
      <c r="E45" t="s">
        <v>34</v>
      </c>
      <c r="F45" t="s">
        <v>123</v>
      </c>
      <c r="G45" t="s">
        <v>35</v>
      </c>
      <c r="H45" s="17">
        <v>50844</v>
      </c>
      <c r="I45" s="17">
        <v>50843</v>
      </c>
      <c r="J45" t="s">
        <v>63</v>
      </c>
      <c r="L45" t="s">
        <v>51</v>
      </c>
      <c r="M45" t="s">
        <v>494</v>
      </c>
      <c r="N45" t="s">
        <v>260</v>
      </c>
      <c r="T45">
        <f>24.5-12</f>
        <v>12.5</v>
      </c>
      <c r="U45">
        <v>18.5</v>
      </c>
      <c r="V45">
        <v>12.7</v>
      </c>
      <c r="W45">
        <v>26.9</v>
      </c>
      <c r="X45" t="s">
        <v>32</v>
      </c>
    </row>
    <row r="46" spans="1:24" x14ac:dyDescent="0.2">
      <c r="A46" s="3">
        <v>42572</v>
      </c>
      <c r="B46">
        <v>203</v>
      </c>
      <c r="C46">
        <v>3</v>
      </c>
      <c r="D46" t="s">
        <v>52</v>
      </c>
      <c r="E46" t="s">
        <v>34</v>
      </c>
      <c r="F46" t="s">
        <v>188</v>
      </c>
      <c r="G46" t="s">
        <v>35</v>
      </c>
      <c r="H46" s="17">
        <v>50839</v>
      </c>
      <c r="J46" t="s">
        <v>39</v>
      </c>
      <c r="K46" t="s">
        <v>627</v>
      </c>
      <c r="L46" t="s">
        <v>51</v>
      </c>
      <c r="M46" t="s">
        <v>495</v>
      </c>
      <c r="N46" t="s">
        <v>260</v>
      </c>
      <c r="T46">
        <v>16</v>
      </c>
      <c r="U46">
        <v>18</v>
      </c>
      <c r="V46">
        <v>12.8</v>
      </c>
      <c r="W46">
        <v>26.6</v>
      </c>
      <c r="X46" t="s">
        <v>32</v>
      </c>
    </row>
    <row r="47" spans="1:24" x14ac:dyDescent="0.2">
      <c r="A47" s="3">
        <v>42572</v>
      </c>
      <c r="B47">
        <v>203</v>
      </c>
      <c r="C47">
        <v>8</v>
      </c>
      <c r="D47" t="s">
        <v>27</v>
      </c>
      <c r="E47" t="s">
        <v>28</v>
      </c>
      <c r="F47" t="s">
        <v>188</v>
      </c>
      <c r="G47" t="s">
        <v>30</v>
      </c>
      <c r="H47" s="17">
        <v>50633</v>
      </c>
      <c r="I47" s="17">
        <v>50634</v>
      </c>
      <c r="J47" t="s">
        <v>83</v>
      </c>
      <c r="L47" t="s">
        <v>51</v>
      </c>
      <c r="M47" t="s">
        <v>495</v>
      </c>
      <c r="N47" t="s">
        <v>260</v>
      </c>
      <c r="T47">
        <v>19.5</v>
      </c>
      <c r="U47">
        <v>20</v>
      </c>
      <c r="X47" t="s">
        <v>32</v>
      </c>
    </row>
    <row r="48" spans="1:24" x14ac:dyDescent="0.2">
      <c r="A48" s="3">
        <v>42572</v>
      </c>
      <c r="B48">
        <v>202</v>
      </c>
      <c r="C48">
        <v>5</v>
      </c>
      <c r="D48" t="s">
        <v>27</v>
      </c>
      <c r="E48" t="s">
        <v>28</v>
      </c>
      <c r="F48" t="s">
        <v>123</v>
      </c>
      <c r="G48" t="s">
        <v>30</v>
      </c>
      <c r="H48" s="17">
        <v>50778</v>
      </c>
      <c r="I48" s="17">
        <v>50777</v>
      </c>
      <c r="J48" t="s">
        <v>31</v>
      </c>
      <c r="L48" t="s">
        <v>51</v>
      </c>
      <c r="M48" t="s">
        <v>494</v>
      </c>
      <c r="N48" t="s">
        <v>260</v>
      </c>
      <c r="T48">
        <f>26-12</f>
        <v>14</v>
      </c>
      <c r="U48">
        <v>19</v>
      </c>
      <c r="V48">
        <v>12.6</v>
      </c>
      <c r="W48">
        <v>26.6</v>
      </c>
      <c r="X48" t="s">
        <v>32</v>
      </c>
    </row>
    <row r="49" spans="1:26" x14ac:dyDescent="0.2">
      <c r="A49" s="3">
        <v>42572</v>
      </c>
      <c r="B49">
        <v>202</v>
      </c>
      <c r="C49">
        <v>5</v>
      </c>
      <c r="D49" t="s">
        <v>27</v>
      </c>
      <c r="E49" t="s">
        <v>34</v>
      </c>
      <c r="F49" t="s">
        <v>29</v>
      </c>
      <c r="G49" t="s">
        <v>35</v>
      </c>
      <c r="H49" s="17">
        <v>50833</v>
      </c>
      <c r="J49" t="s">
        <v>39</v>
      </c>
      <c r="L49" t="s">
        <v>51</v>
      </c>
      <c r="M49" t="s">
        <v>493</v>
      </c>
      <c r="N49" t="s">
        <v>260</v>
      </c>
      <c r="T49">
        <v>20</v>
      </c>
      <c r="U49">
        <v>19</v>
      </c>
      <c r="V49">
        <v>12.8</v>
      </c>
      <c r="W49">
        <v>27.4</v>
      </c>
      <c r="X49" t="s">
        <v>32</v>
      </c>
    </row>
    <row r="50" spans="1:26" x14ac:dyDescent="0.2">
      <c r="A50" s="3">
        <v>42572</v>
      </c>
      <c r="B50">
        <v>202</v>
      </c>
      <c r="C50">
        <v>8</v>
      </c>
      <c r="D50" t="s">
        <v>27</v>
      </c>
      <c r="E50" t="s">
        <v>28</v>
      </c>
      <c r="F50" t="s">
        <v>123</v>
      </c>
      <c r="G50" t="s">
        <v>35</v>
      </c>
      <c r="H50" s="17">
        <v>50786</v>
      </c>
      <c r="I50" s="17">
        <v>50785</v>
      </c>
      <c r="J50" t="s">
        <v>63</v>
      </c>
      <c r="K50" t="s">
        <v>631</v>
      </c>
      <c r="L50" t="s">
        <v>51</v>
      </c>
      <c r="M50" t="s">
        <v>495</v>
      </c>
      <c r="N50" t="s">
        <v>260</v>
      </c>
      <c r="T50">
        <f>27-14.5</f>
        <v>12.5</v>
      </c>
      <c r="U50">
        <v>18</v>
      </c>
      <c r="V50">
        <v>12.6</v>
      </c>
      <c r="W50">
        <v>25.5</v>
      </c>
      <c r="X50" t="s">
        <v>145</v>
      </c>
    </row>
    <row r="51" spans="1:26" x14ac:dyDescent="0.2">
      <c r="A51" s="3">
        <v>42572</v>
      </c>
      <c r="B51">
        <v>304</v>
      </c>
      <c r="C51">
        <v>9</v>
      </c>
      <c r="D51" t="s">
        <v>52</v>
      </c>
      <c r="E51" t="s">
        <v>34</v>
      </c>
      <c r="F51" t="s">
        <v>29</v>
      </c>
      <c r="G51" t="s">
        <v>30</v>
      </c>
      <c r="H51" s="17">
        <v>50832</v>
      </c>
      <c r="J51" t="s">
        <v>273</v>
      </c>
      <c r="L51" t="s">
        <v>51</v>
      </c>
      <c r="M51" t="s">
        <v>495</v>
      </c>
      <c r="N51" t="s">
        <v>260</v>
      </c>
      <c r="T51">
        <v>30</v>
      </c>
      <c r="U51">
        <v>20</v>
      </c>
      <c r="V51">
        <v>12.9</v>
      </c>
      <c r="X51" t="s">
        <v>32</v>
      </c>
    </row>
    <row r="52" spans="1:26" x14ac:dyDescent="0.2">
      <c r="A52" s="3">
        <v>42572</v>
      </c>
      <c r="B52">
        <v>304</v>
      </c>
      <c r="C52">
        <v>7</v>
      </c>
      <c r="D52" t="s">
        <v>52</v>
      </c>
      <c r="E52" t="s">
        <v>34</v>
      </c>
      <c r="F52" t="s">
        <v>29</v>
      </c>
      <c r="G52" t="s">
        <v>30</v>
      </c>
      <c r="H52" s="17">
        <v>50831</v>
      </c>
      <c r="J52" t="s">
        <v>273</v>
      </c>
      <c r="L52" t="s">
        <v>51</v>
      </c>
      <c r="M52" t="s">
        <v>495</v>
      </c>
      <c r="N52" t="s">
        <v>260</v>
      </c>
      <c r="T52">
        <f>32-11</f>
        <v>21</v>
      </c>
      <c r="U52">
        <v>16.5</v>
      </c>
      <c r="V52">
        <v>12.9</v>
      </c>
      <c r="W52">
        <v>26.5</v>
      </c>
      <c r="X52" t="s">
        <v>32</v>
      </c>
    </row>
    <row r="53" spans="1:26" x14ac:dyDescent="0.2">
      <c r="A53" s="3">
        <v>42572</v>
      </c>
      <c r="B53">
        <v>304</v>
      </c>
      <c r="C53">
        <v>4</v>
      </c>
      <c r="D53" t="s">
        <v>139</v>
      </c>
      <c r="E53" t="s">
        <v>28</v>
      </c>
      <c r="F53" t="s">
        <v>29</v>
      </c>
      <c r="G53" t="s">
        <v>30</v>
      </c>
      <c r="H53" s="17">
        <v>50782</v>
      </c>
      <c r="J53" t="s">
        <v>61</v>
      </c>
      <c r="L53" t="s">
        <v>633</v>
      </c>
      <c r="M53" t="s">
        <v>260</v>
      </c>
      <c r="N53" t="s">
        <v>260</v>
      </c>
      <c r="T53">
        <f>132-48</f>
        <v>84</v>
      </c>
      <c r="U53">
        <v>45</v>
      </c>
      <c r="X53" t="s">
        <v>145</v>
      </c>
    </row>
    <row r="54" spans="1:26" x14ac:dyDescent="0.2">
      <c r="A54" s="3">
        <v>42572</v>
      </c>
      <c r="B54">
        <v>112</v>
      </c>
      <c r="C54">
        <v>10</v>
      </c>
      <c r="D54" t="s">
        <v>52</v>
      </c>
      <c r="E54" t="s">
        <v>34</v>
      </c>
      <c r="F54" t="s">
        <v>123</v>
      </c>
      <c r="G54" t="s">
        <v>30</v>
      </c>
      <c r="H54" s="17">
        <v>50819</v>
      </c>
      <c r="J54" t="s">
        <v>31</v>
      </c>
      <c r="L54" t="s">
        <v>51</v>
      </c>
      <c r="M54" t="s">
        <v>495</v>
      </c>
      <c r="N54" t="s">
        <v>260</v>
      </c>
      <c r="T54">
        <v>11</v>
      </c>
      <c r="U54">
        <v>16</v>
      </c>
      <c r="V54">
        <v>11.9</v>
      </c>
      <c r="W54">
        <v>25.7</v>
      </c>
      <c r="X54" t="s">
        <v>32</v>
      </c>
    </row>
    <row r="55" spans="1:26" x14ac:dyDescent="0.2">
      <c r="A55" s="3">
        <v>42572</v>
      </c>
      <c r="B55">
        <v>402</v>
      </c>
      <c r="C55">
        <v>6</v>
      </c>
      <c r="D55" t="s">
        <v>52</v>
      </c>
      <c r="E55" t="s">
        <v>34</v>
      </c>
      <c r="F55" t="s">
        <v>29</v>
      </c>
      <c r="G55" t="s">
        <v>30</v>
      </c>
      <c r="H55" s="17">
        <v>50856</v>
      </c>
      <c r="J55" t="s">
        <v>652</v>
      </c>
      <c r="K55" t="s">
        <v>651</v>
      </c>
      <c r="L55" t="s">
        <v>51</v>
      </c>
      <c r="M55" t="s">
        <v>495</v>
      </c>
      <c r="N55" t="s">
        <v>260</v>
      </c>
      <c r="T55">
        <f>44-15</f>
        <v>29</v>
      </c>
      <c r="X55" t="s">
        <v>145</v>
      </c>
    </row>
    <row r="56" spans="1:26" x14ac:dyDescent="0.2">
      <c r="A56" s="3">
        <v>42572</v>
      </c>
      <c r="B56">
        <v>113</v>
      </c>
      <c r="C56">
        <v>3</v>
      </c>
      <c r="D56" t="s">
        <v>27</v>
      </c>
      <c r="E56" t="s">
        <v>34</v>
      </c>
      <c r="F56" t="s">
        <v>29</v>
      </c>
      <c r="G56" t="s">
        <v>35</v>
      </c>
      <c r="H56" s="17">
        <v>50821</v>
      </c>
      <c r="I56" s="17">
        <v>50820</v>
      </c>
      <c r="J56" t="s">
        <v>63</v>
      </c>
      <c r="K56" t="s">
        <v>654</v>
      </c>
      <c r="L56" t="s">
        <v>51</v>
      </c>
      <c r="M56" t="s">
        <v>494</v>
      </c>
      <c r="N56" t="s">
        <v>260</v>
      </c>
      <c r="T56">
        <v>19</v>
      </c>
      <c r="U56">
        <v>17</v>
      </c>
      <c r="V56">
        <v>13.2</v>
      </c>
      <c r="W56">
        <v>27.7</v>
      </c>
      <c r="X56" t="s">
        <v>145</v>
      </c>
    </row>
    <row r="57" spans="1:26" x14ac:dyDescent="0.2">
      <c r="A57" s="3">
        <v>42574</v>
      </c>
      <c r="B57">
        <v>503</v>
      </c>
      <c r="C57">
        <v>1</v>
      </c>
      <c r="D57" t="s">
        <v>52</v>
      </c>
      <c r="E57" t="s">
        <v>28</v>
      </c>
      <c r="F57" t="s">
        <v>29</v>
      </c>
      <c r="G57" t="s">
        <v>35</v>
      </c>
      <c r="H57" s="17">
        <v>50579</v>
      </c>
      <c r="J57" t="s">
        <v>39</v>
      </c>
      <c r="K57" t="s">
        <v>655</v>
      </c>
      <c r="L57" t="s">
        <v>51</v>
      </c>
      <c r="M57" t="s">
        <v>495</v>
      </c>
      <c r="N57" t="s">
        <v>260</v>
      </c>
      <c r="T57">
        <v>27.5</v>
      </c>
      <c r="U57">
        <v>17</v>
      </c>
      <c r="V57">
        <v>12.9</v>
      </c>
      <c r="W57">
        <v>27</v>
      </c>
      <c r="X57" t="s">
        <v>145</v>
      </c>
    </row>
    <row r="58" spans="1:26" x14ac:dyDescent="0.2">
      <c r="A58" s="3">
        <v>42574</v>
      </c>
      <c r="B58">
        <v>303</v>
      </c>
      <c r="C58">
        <v>5</v>
      </c>
      <c r="D58" t="s">
        <v>52</v>
      </c>
      <c r="E58" t="s">
        <v>34</v>
      </c>
      <c r="F58" t="s">
        <v>29</v>
      </c>
      <c r="G58" t="s">
        <v>35</v>
      </c>
      <c r="H58" s="17">
        <v>50344</v>
      </c>
      <c r="J58" t="s">
        <v>39</v>
      </c>
      <c r="K58" t="s">
        <v>656</v>
      </c>
      <c r="L58" t="s">
        <v>51</v>
      </c>
      <c r="M58" t="s">
        <v>495</v>
      </c>
      <c r="N58" t="s">
        <v>260</v>
      </c>
      <c r="T58">
        <f>33-10.5</f>
        <v>22.5</v>
      </c>
      <c r="U58">
        <v>19</v>
      </c>
      <c r="V58">
        <v>12.8</v>
      </c>
      <c r="W58">
        <v>26.6</v>
      </c>
      <c r="X58" t="s">
        <v>145</v>
      </c>
    </row>
    <row r="59" spans="1:26" x14ac:dyDescent="0.2">
      <c r="A59" s="3">
        <v>42574</v>
      </c>
      <c r="B59">
        <v>303</v>
      </c>
      <c r="C59">
        <v>6</v>
      </c>
      <c r="D59" t="s">
        <v>52</v>
      </c>
      <c r="E59" t="s">
        <v>28</v>
      </c>
      <c r="F59" t="s">
        <v>29</v>
      </c>
      <c r="G59" t="s">
        <v>35</v>
      </c>
      <c r="I59" s="17">
        <v>50439</v>
      </c>
      <c r="J59" t="s">
        <v>39</v>
      </c>
      <c r="L59" t="s">
        <v>51</v>
      </c>
      <c r="M59" t="s">
        <v>495</v>
      </c>
      <c r="N59" t="s">
        <v>260</v>
      </c>
      <c r="T59">
        <f>32.5-10.5</f>
        <v>22</v>
      </c>
      <c r="U59">
        <v>19</v>
      </c>
      <c r="V59">
        <v>12</v>
      </c>
      <c r="W59">
        <v>27.4</v>
      </c>
      <c r="X59" t="s">
        <v>145</v>
      </c>
      <c r="Z59" t="s">
        <v>660</v>
      </c>
    </row>
    <row r="60" spans="1:26" x14ac:dyDescent="0.2">
      <c r="A60" s="3">
        <v>42574</v>
      </c>
      <c r="B60">
        <v>303</v>
      </c>
      <c r="C60">
        <v>7</v>
      </c>
      <c r="D60" t="s">
        <v>52</v>
      </c>
      <c r="E60" t="s">
        <v>28</v>
      </c>
      <c r="F60" t="s">
        <v>29</v>
      </c>
      <c r="G60" t="s">
        <v>35</v>
      </c>
      <c r="H60" s="17">
        <v>50738</v>
      </c>
      <c r="J60" t="s">
        <v>39</v>
      </c>
      <c r="L60" t="s">
        <v>51</v>
      </c>
      <c r="M60" t="s">
        <v>495</v>
      </c>
      <c r="N60" t="s">
        <v>260</v>
      </c>
      <c r="T60">
        <v>21</v>
      </c>
      <c r="U60">
        <v>17</v>
      </c>
      <c r="V60">
        <v>12.7</v>
      </c>
      <c r="W60">
        <v>27.2</v>
      </c>
      <c r="X60" t="s">
        <v>32</v>
      </c>
    </row>
    <row r="61" spans="1:26" x14ac:dyDescent="0.2">
      <c r="A61" s="3">
        <v>42574</v>
      </c>
      <c r="B61">
        <v>303</v>
      </c>
      <c r="C61">
        <v>9</v>
      </c>
      <c r="D61" t="s">
        <v>27</v>
      </c>
      <c r="E61" t="s">
        <v>28</v>
      </c>
      <c r="F61" t="s">
        <v>188</v>
      </c>
      <c r="G61" t="s">
        <v>35</v>
      </c>
      <c r="H61" s="17">
        <v>50590</v>
      </c>
      <c r="I61" s="17">
        <v>50589</v>
      </c>
      <c r="J61" t="s">
        <v>39</v>
      </c>
      <c r="L61" t="s">
        <v>51</v>
      </c>
      <c r="M61" t="s">
        <v>495</v>
      </c>
      <c r="N61" t="s">
        <v>260</v>
      </c>
      <c r="T61">
        <f>30-11.5</f>
        <v>18.5</v>
      </c>
      <c r="U61">
        <v>18</v>
      </c>
      <c r="V61">
        <v>12.9</v>
      </c>
      <c r="W61">
        <v>26.9</v>
      </c>
      <c r="X61" t="s">
        <v>32</v>
      </c>
    </row>
    <row r="62" spans="1:26" x14ac:dyDescent="0.2">
      <c r="A62" s="3">
        <v>42574</v>
      </c>
      <c r="B62">
        <v>303</v>
      </c>
      <c r="C62">
        <v>10</v>
      </c>
      <c r="D62" t="s">
        <v>142</v>
      </c>
      <c r="E62" t="s">
        <v>28</v>
      </c>
      <c r="F62" t="s">
        <v>29</v>
      </c>
      <c r="G62" t="s">
        <v>30</v>
      </c>
      <c r="H62" s="17" t="s">
        <v>218</v>
      </c>
      <c r="J62" t="s">
        <v>273</v>
      </c>
      <c r="L62" t="s">
        <v>51</v>
      </c>
      <c r="M62" t="s">
        <v>495</v>
      </c>
      <c r="N62" t="s">
        <v>260</v>
      </c>
      <c r="T62">
        <f>30-10.5</f>
        <v>19.5</v>
      </c>
      <c r="U62">
        <v>28</v>
      </c>
      <c r="V62">
        <v>12.9</v>
      </c>
      <c r="W62">
        <v>25.5</v>
      </c>
      <c r="X62" t="s">
        <v>145</v>
      </c>
    </row>
    <row r="63" spans="1:26" x14ac:dyDescent="0.2">
      <c r="A63" s="3">
        <v>42574</v>
      </c>
      <c r="B63">
        <v>401</v>
      </c>
      <c r="C63">
        <v>5</v>
      </c>
      <c r="D63" t="s">
        <v>62</v>
      </c>
      <c r="E63" t="s">
        <v>28</v>
      </c>
      <c r="F63" t="s">
        <v>29</v>
      </c>
      <c r="G63" t="s">
        <v>35</v>
      </c>
      <c r="H63" s="17">
        <v>2622</v>
      </c>
      <c r="I63" s="17">
        <v>2621</v>
      </c>
      <c r="J63" t="s">
        <v>39</v>
      </c>
      <c r="K63" t="s">
        <v>658</v>
      </c>
      <c r="L63" t="s">
        <v>51</v>
      </c>
      <c r="M63" t="s">
        <v>493</v>
      </c>
      <c r="N63" t="s">
        <v>260</v>
      </c>
      <c r="T63">
        <f>230-49</f>
        <v>181</v>
      </c>
      <c r="U63">
        <v>41</v>
      </c>
      <c r="V63">
        <v>27</v>
      </c>
      <c r="W63">
        <v>44.1</v>
      </c>
      <c r="X63" t="s">
        <v>145</v>
      </c>
    </row>
    <row r="64" spans="1:26" x14ac:dyDescent="0.2">
      <c r="A64" s="3">
        <v>42574</v>
      </c>
      <c r="B64">
        <v>703</v>
      </c>
      <c r="C64">
        <v>1</v>
      </c>
      <c r="D64" t="s">
        <v>52</v>
      </c>
      <c r="E64" t="s">
        <v>28</v>
      </c>
      <c r="F64" t="s">
        <v>29</v>
      </c>
      <c r="H64" s="17">
        <v>50618</v>
      </c>
      <c r="L64" t="s">
        <v>51</v>
      </c>
      <c r="M64" t="s">
        <v>494</v>
      </c>
      <c r="N64" t="s">
        <v>145</v>
      </c>
      <c r="X64" t="s">
        <v>32</v>
      </c>
      <c r="Z64" t="s">
        <v>702</v>
      </c>
    </row>
    <row r="65" spans="1:26" x14ac:dyDescent="0.2">
      <c r="A65" s="3">
        <v>42574</v>
      </c>
      <c r="B65">
        <v>703</v>
      </c>
      <c r="C65">
        <v>4</v>
      </c>
      <c r="D65" t="s">
        <v>52</v>
      </c>
      <c r="E65" t="s">
        <v>28</v>
      </c>
      <c r="F65" t="s">
        <v>123</v>
      </c>
      <c r="G65" t="s">
        <v>35</v>
      </c>
      <c r="I65" s="17">
        <v>50764</v>
      </c>
      <c r="J65" t="s">
        <v>63</v>
      </c>
      <c r="L65" t="s">
        <v>51</v>
      </c>
      <c r="M65" t="s">
        <v>494</v>
      </c>
      <c r="N65" t="s">
        <v>32</v>
      </c>
      <c r="T65">
        <f>31.5-14</f>
        <v>17.5</v>
      </c>
      <c r="U65">
        <v>15</v>
      </c>
      <c r="V65">
        <v>12.5</v>
      </c>
      <c r="W65">
        <v>26.7</v>
      </c>
      <c r="X65" t="s">
        <v>32</v>
      </c>
    </row>
    <row r="66" spans="1:26" x14ac:dyDescent="0.2">
      <c r="A66" s="3">
        <v>42574</v>
      </c>
      <c r="B66">
        <v>703</v>
      </c>
      <c r="C66">
        <v>6</v>
      </c>
      <c r="D66" t="s">
        <v>52</v>
      </c>
      <c r="E66" t="s">
        <v>34</v>
      </c>
      <c r="F66" t="s">
        <v>29</v>
      </c>
      <c r="G66" t="s">
        <v>35</v>
      </c>
      <c r="H66" s="17">
        <v>50857</v>
      </c>
      <c r="J66" t="s">
        <v>63</v>
      </c>
      <c r="L66" t="s">
        <v>51</v>
      </c>
      <c r="M66" t="s">
        <v>495</v>
      </c>
      <c r="N66" t="s">
        <v>260</v>
      </c>
      <c r="T66">
        <f>35-13.5</f>
        <v>21.5</v>
      </c>
      <c r="U66">
        <v>17</v>
      </c>
      <c r="V66">
        <v>12.5</v>
      </c>
      <c r="W66">
        <v>26.3</v>
      </c>
      <c r="X66" t="s">
        <v>32</v>
      </c>
    </row>
    <row r="67" spans="1:26" x14ac:dyDescent="0.2">
      <c r="A67" s="3">
        <v>42574</v>
      </c>
      <c r="B67">
        <v>703</v>
      </c>
      <c r="C67">
        <v>6</v>
      </c>
      <c r="D67" t="s">
        <v>52</v>
      </c>
      <c r="E67" t="s">
        <v>28</v>
      </c>
      <c r="F67" t="s">
        <v>29</v>
      </c>
      <c r="G67" t="s">
        <v>30</v>
      </c>
      <c r="H67" s="17">
        <v>50508</v>
      </c>
      <c r="J67" t="s">
        <v>703</v>
      </c>
      <c r="K67" t="s">
        <v>704</v>
      </c>
      <c r="L67" t="s">
        <v>51</v>
      </c>
      <c r="M67" t="s">
        <v>493</v>
      </c>
      <c r="N67" t="s">
        <v>32</v>
      </c>
      <c r="T67">
        <f>35.5-13</f>
        <v>22.5</v>
      </c>
      <c r="U67">
        <v>16</v>
      </c>
      <c r="V67">
        <v>12.4</v>
      </c>
      <c r="W67">
        <v>24.6</v>
      </c>
      <c r="X67" t="s">
        <v>32</v>
      </c>
    </row>
    <row r="68" spans="1:26" x14ac:dyDescent="0.2">
      <c r="A68" s="3">
        <v>42574</v>
      </c>
      <c r="B68">
        <v>701</v>
      </c>
      <c r="C68">
        <v>1</v>
      </c>
      <c r="D68" t="s">
        <v>52</v>
      </c>
      <c r="E68" t="s">
        <v>28</v>
      </c>
      <c r="F68" t="s">
        <v>29</v>
      </c>
      <c r="G68" t="s">
        <v>30</v>
      </c>
      <c r="H68" s="17">
        <v>50688</v>
      </c>
      <c r="J68" t="s">
        <v>75</v>
      </c>
      <c r="K68" t="s">
        <v>706</v>
      </c>
      <c r="L68" t="s">
        <v>51</v>
      </c>
      <c r="M68" t="s">
        <v>495</v>
      </c>
      <c r="N68" t="s">
        <v>260</v>
      </c>
      <c r="U68">
        <v>16</v>
      </c>
      <c r="V68">
        <v>12.65</v>
      </c>
      <c r="W68">
        <v>26.2</v>
      </c>
      <c r="X68" t="s">
        <v>32</v>
      </c>
      <c r="Z68" t="s">
        <v>709</v>
      </c>
    </row>
    <row r="69" spans="1:26" x14ac:dyDescent="0.2">
      <c r="A69" s="3">
        <v>42574</v>
      </c>
      <c r="B69">
        <v>701</v>
      </c>
      <c r="C69">
        <v>2</v>
      </c>
      <c r="D69" t="s">
        <v>27</v>
      </c>
      <c r="E69" t="s">
        <v>28</v>
      </c>
      <c r="F69" t="s">
        <v>29</v>
      </c>
      <c r="G69" t="s">
        <v>30</v>
      </c>
      <c r="H69" s="17">
        <v>50459</v>
      </c>
      <c r="I69" s="17">
        <v>50458</v>
      </c>
      <c r="J69" t="s">
        <v>31</v>
      </c>
      <c r="L69" t="s">
        <v>51</v>
      </c>
      <c r="M69" t="s">
        <v>494</v>
      </c>
      <c r="N69" t="s">
        <v>260</v>
      </c>
      <c r="T69">
        <f>30-12</f>
        <v>18</v>
      </c>
      <c r="U69">
        <v>18.5</v>
      </c>
      <c r="V69">
        <v>12.6</v>
      </c>
      <c r="W69">
        <v>27.8</v>
      </c>
      <c r="X69" t="s">
        <v>32</v>
      </c>
      <c r="Z69" t="s">
        <v>709</v>
      </c>
    </row>
    <row r="70" spans="1:26" x14ac:dyDescent="0.2">
      <c r="A70" s="3">
        <v>42574</v>
      </c>
      <c r="B70">
        <v>701</v>
      </c>
      <c r="C70">
        <v>6</v>
      </c>
      <c r="D70" t="s">
        <v>27</v>
      </c>
      <c r="E70" t="s">
        <v>28</v>
      </c>
      <c r="F70" t="s">
        <v>29</v>
      </c>
      <c r="G70" t="s">
        <v>35</v>
      </c>
      <c r="H70" s="17">
        <v>50370</v>
      </c>
      <c r="I70" s="17">
        <v>50369</v>
      </c>
      <c r="J70" t="s">
        <v>63</v>
      </c>
      <c r="L70" t="s">
        <v>51</v>
      </c>
      <c r="M70" t="s">
        <v>494</v>
      </c>
      <c r="N70" t="s">
        <v>260</v>
      </c>
      <c r="T70">
        <v>20</v>
      </c>
      <c r="U70">
        <v>18</v>
      </c>
      <c r="V70">
        <v>13</v>
      </c>
      <c r="W70">
        <v>27.7</v>
      </c>
      <c r="X70" t="s">
        <v>32</v>
      </c>
      <c r="Z70" t="s">
        <v>709</v>
      </c>
    </row>
    <row r="71" spans="1:26" x14ac:dyDescent="0.2">
      <c r="A71" s="3">
        <v>42574</v>
      </c>
      <c r="B71">
        <v>701</v>
      </c>
      <c r="C71">
        <v>7</v>
      </c>
      <c r="D71" t="s">
        <v>52</v>
      </c>
      <c r="E71" t="s">
        <v>28</v>
      </c>
      <c r="F71" t="s">
        <v>29</v>
      </c>
      <c r="G71" t="s">
        <v>35</v>
      </c>
      <c r="H71" s="17">
        <v>50759</v>
      </c>
      <c r="J71" t="s">
        <v>39</v>
      </c>
      <c r="K71" t="s">
        <v>710</v>
      </c>
      <c r="L71" t="s">
        <v>51</v>
      </c>
      <c r="M71" t="s">
        <v>495</v>
      </c>
      <c r="N71" t="s">
        <v>260</v>
      </c>
      <c r="T71">
        <f>39-13</f>
        <v>26</v>
      </c>
      <c r="U71">
        <v>16.5</v>
      </c>
      <c r="V71">
        <v>13.6</v>
      </c>
      <c r="W71">
        <v>26.9</v>
      </c>
      <c r="X71" t="s">
        <v>32</v>
      </c>
    </row>
    <row r="72" spans="1:26" x14ac:dyDescent="0.2">
      <c r="A72" s="3">
        <v>42574</v>
      </c>
      <c r="B72">
        <v>701</v>
      </c>
      <c r="C72">
        <v>10</v>
      </c>
      <c r="D72" t="s">
        <v>142</v>
      </c>
      <c r="E72" t="s">
        <v>34</v>
      </c>
      <c r="F72" t="s">
        <v>29</v>
      </c>
      <c r="G72" t="s">
        <v>30</v>
      </c>
      <c r="H72" s="17">
        <v>50858</v>
      </c>
      <c r="J72" t="s">
        <v>31</v>
      </c>
      <c r="K72" t="s">
        <v>739</v>
      </c>
      <c r="L72" t="s">
        <v>51</v>
      </c>
      <c r="M72" t="s">
        <v>494</v>
      </c>
      <c r="N72" t="s">
        <v>260</v>
      </c>
      <c r="T72">
        <v>23</v>
      </c>
      <c r="U72">
        <v>29</v>
      </c>
      <c r="V72">
        <v>13.1</v>
      </c>
      <c r="W72">
        <v>25.9</v>
      </c>
      <c r="X72" t="s">
        <v>32</v>
      </c>
    </row>
    <row r="73" spans="1:26" x14ac:dyDescent="0.2">
      <c r="A73" s="3">
        <v>42574</v>
      </c>
      <c r="B73">
        <v>801</v>
      </c>
      <c r="C73">
        <v>5</v>
      </c>
      <c r="D73" t="s">
        <v>27</v>
      </c>
      <c r="E73" t="s">
        <v>28</v>
      </c>
      <c r="F73" t="s">
        <v>29</v>
      </c>
      <c r="G73" t="s">
        <v>35</v>
      </c>
      <c r="H73" s="17">
        <v>50677</v>
      </c>
      <c r="I73" s="17">
        <v>50676</v>
      </c>
      <c r="J73" t="s">
        <v>39</v>
      </c>
      <c r="L73" t="s">
        <v>51</v>
      </c>
      <c r="M73" t="s">
        <v>494</v>
      </c>
      <c r="N73" t="s">
        <v>260</v>
      </c>
      <c r="T73">
        <v>24</v>
      </c>
      <c r="U73">
        <v>18</v>
      </c>
      <c r="V73">
        <v>13.6</v>
      </c>
      <c r="W73">
        <v>30.2</v>
      </c>
      <c r="Z73" t="s">
        <v>709</v>
      </c>
    </row>
    <row r="74" spans="1:26" x14ac:dyDescent="0.2">
      <c r="A74" s="3">
        <v>42575</v>
      </c>
      <c r="B74">
        <v>501</v>
      </c>
      <c r="C74">
        <v>3</v>
      </c>
      <c r="D74" t="s">
        <v>52</v>
      </c>
      <c r="E74" t="s">
        <v>28</v>
      </c>
      <c r="F74" t="s">
        <v>29</v>
      </c>
      <c r="G74" t="s">
        <v>30</v>
      </c>
      <c r="H74" s="17" t="s">
        <v>712</v>
      </c>
      <c r="J74" t="s">
        <v>273</v>
      </c>
      <c r="K74" t="s">
        <v>713</v>
      </c>
      <c r="L74" t="s">
        <v>51</v>
      </c>
      <c r="M74" t="s">
        <v>495</v>
      </c>
      <c r="N74" t="s">
        <v>260</v>
      </c>
      <c r="T74">
        <v>30</v>
      </c>
      <c r="U74">
        <v>18</v>
      </c>
      <c r="V74">
        <v>12.7</v>
      </c>
      <c r="W74">
        <v>27.5</v>
      </c>
      <c r="X74" t="s">
        <v>32</v>
      </c>
    </row>
    <row r="75" spans="1:26" x14ac:dyDescent="0.2">
      <c r="A75" s="3">
        <v>42575</v>
      </c>
      <c r="B75">
        <v>503</v>
      </c>
      <c r="C75">
        <v>1</v>
      </c>
      <c r="D75" t="s">
        <v>52</v>
      </c>
      <c r="E75" t="s">
        <v>28</v>
      </c>
      <c r="F75" t="s">
        <v>29</v>
      </c>
      <c r="G75" t="s">
        <v>30</v>
      </c>
      <c r="H75" s="17">
        <v>50633</v>
      </c>
      <c r="J75" t="s">
        <v>192</v>
      </c>
      <c r="L75" t="s">
        <v>51</v>
      </c>
      <c r="M75" t="s">
        <v>495</v>
      </c>
      <c r="N75" t="s">
        <v>260</v>
      </c>
      <c r="T75">
        <f>41.5-11.5</f>
        <v>30</v>
      </c>
      <c r="U75">
        <v>16</v>
      </c>
      <c r="V75">
        <v>12.9</v>
      </c>
      <c r="W75">
        <v>27.9</v>
      </c>
      <c r="X75" t="s">
        <v>32</v>
      </c>
    </row>
    <row r="76" spans="1:26" x14ac:dyDescent="0.2">
      <c r="A76" s="3">
        <v>42575</v>
      </c>
      <c r="B76">
        <v>503</v>
      </c>
      <c r="C76">
        <v>2</v>
      </c>
      <c r="D76" t="s">
        <v>52</v>
      </c>
      <c r="E76" t="s">
        <v>28</v>
      </c>
      <c r="F76" t="s">
        <v>29</v>
      </c>
      <c r="G76" t="s">
        <v>35</v>
      </c>
      <c r="H76" s="17">
        <v>50579</v>
      </c>
      <c r="J76" t="s">
        <v>39</v>
      </c>
      <c r="L76" t="s">
        <v>51</v>
      </c>
      <c r="M76" t="s">
        <v>495</v>
      </c>
      <c r="N76" t="s">
        <v>260</v>
      </c>
      <c r="T76">
        <f>43-13.5</f>
        <v>29.5</v>
      </c>
      <c r="U76">
        <v>17</v>
      </c>
      <c r="V76">
        <v>12.9</v>
      </c>
      <c r="W76">
        <v>27.1</v>
      </c>
      <c r="X76" t="s">
        <v>32</v>
      </c>
    </row>
    <row r="77" spans="1:26" x14ac:dyDescent="0.2">
      <c r="A77" s="3">
        <v>42575</v>
      </c>
      <c r="B77">
        <v>503</v>
      </c>
      <c r="C77">
        <v>9</v>
      </c>
      <c r="D77" t="s">
        <v>27</v>
      </c>
      <c r="E77" t="s">
        <v>28</v>
      </c>
      <c r="F77" t="s">
        <v>123</v>
      </c>
      <c r="G77" t="s">
        <v>35</v>
      </c>
      <c r="H77" s="17">
        <v>505742</v>
      </c>
      <c r="I77" s="17">
        <v>50741</v>
      </c>
      <c r="J77" t="s">
        <v>63</v>
      </c>
      <c r="L77" t="s">
        <v>51</v>
      </c>
      <c r="M77" t="s">
        <v>494</v>
      </c>
      <c r="N77" t="s">
        <v>260</v>
      </c>
      <c r="T77">
        <v>15</v>
      </c>
      <c r="U77">
        <v>20</v>
      </c>
      <c r="V77">
        <v>12.8</v>
      </c>
      <c r="W77">
        <v>26.7</v>
      </c>
      <c r="X77" t="s">
        <v>145</v>
      </c>
    </row>
    <row r="78" spans="1:26" x14ac:dyDescent="0.2">
      <c r="A78" s="3">
        <v>42575</v>
      </c>
      <c r="B78">
        <v>303</v>
      </c>
      <c r="C78">
        <v>1</v>
      </c>
      <c r="D78" t="s">
        <v>52</v>
      </c>
      <c r="E78" t="s">
        <v>34</v>
      </c>
      <c r="H78" s="17">
        <v>50347</v>
      </c>
      <c r="L78" t="s">
        <v>51</v>
      </c>
      <c r="M78" t="s">
        <v>495</v>
      </c>
      <c r="N78" t="s">
        <v>260</v>
      </c>
      <c r="T78">
        <f>30.5-11</f>
        <v>19.5</v>
      </c>
      <c r="X78" t="s">
        <v>32</v>
      </c>
      <c r="Z78" t="s">
        <v>714</v>
      </c>
    </row>
    <row r="79" spans="1:26" x14ac:dyDescent="0.2">
      <c r="A79" s="3">
        <v>42575</v>
      </c>
      <c r="B79">
        <v>303</v>
      </c>
      <c r="C79">
        <v>2</v>
      </c>
      <c r="D79" t="s">
        <v>52</v>
      </c>
      <c r="E79" t="s">
        <v>28</v>
      </c>
      <c r="F79" t="s">
        <v>29</v>
      </c>
      <c r="G79" t="s">
        <v>35</v>
      </c>
      <c r="H79" s="17">
        <v>50344</v>
      </c>
      <c r="J79" t="s">
        <v>39</v>
      </c>
      <c r="K79" t="s">
        <v>715</v>
      </c>
      <c r="L79" t="s">
        <v>51</v>
      </c>
      <c r="M79" t="s">
        <v>495</v>
      </c>
      <c r="N79" t="s">
        <v>260</v>
      </c>
      <c r="T79">
        <v>24</v>
      </c>
      <c r="U79">
        <v>17</v>
      </c>
      <c r="V79">
        <v>12.8</v>
      </c>
      <c r="W79">
        <v>26.8</v>
      </c>
      <c r="X79" t="s">
        <v>32</v>
      </c>
    </row>
    <row r="80" spans="1:26" x14ac:dyDescent="0.2">
      <c r="A80" s="3">
        <v>42575</v>
      </c>
      <c r="B80">
        <v>303</v>
      </c>
      <c r="C80">
        <v>4</v>
      </c>
      <c r="D80" t="s">
        <v>27</v>
      </c>
      <c r="E80" t="s">
        <v>28</v>
      </c>
      <c r="F80" t="s">
        <v>29</v>
      </c>
      <c r="G80" t="s">
        <v>30</v>
      </c>
      <c r="H80" s="17">
        <v>50582</v>
      </c>
      <c r="I80" s="17">
        <v>50581</v>
      </c>
      <c r="J80" t="s">
        <v>83</v>
      </c>
      <c r="L80" t="s">
        <v>51</v>
      </c>
      <c r="M80" t="s">
        <v>495</v>
      </c>
      <c r="N80" t="s">
        <v>260</v>
      </c>
      <c r="T80">
        <f>31.5-12.5</f>
        <v>19</v>
      </c>
      <c r="U80">
        <v>20</v>
      </c>
      <c r="V80">
        <v>12.9</v>
      </c>
      <c r="W80">
        <v>27.2</v>
      </c>
      <c r="X80" t="s">
        <v>145</v>
      </c>
    </row>
    <row r="81" spans="1:26" x14ac:dyDescent="0.2">
      <c r="A81" s="3">
        <v>42575</v>
      </c>
      <c r="B81">
        <v>303</v>
      </c>
      <c r="C81">
        <v>7</v>
      </c>
      <c r="D81" t="s">
        <v>52</v>
      </c>
      <c r="E81" t="s">
        <v>28</v>
      </c>
      <c r="F81" t="s">
        <v>29</v>
      </c>
      <c r="G81" t="s">
        <v>35</v>
      </c>
      <c r="I81" s="17">
        <v>50439</v>
      </c>
      <c r="J81" t="s">
        <v>39</v>
      </c>
      <c r="L81" t="s">
        <v>51</v>
      </c>
      <c r="M81" t="s">
        <v>495</v>
      </c>
      <c r="N81" t="s">
        <v>260</v>
      </c>
      <c r="T81">
        <f>33-12</f>
        <v>21</v>
      </c>
      <c r="U81">
        <v>18</v>
      </c>
      <c r="V81">
        <v>12.9</v>
      </c>
      <c r="W81">
        <v>26.8</v>
      </c>
      <c r="X81" t="s">
        <v>32</v>
      </c>
    </row>
    <row r="82" spans="1:26" x14ac:dyDescent="0.2">
      <c r="A82" s="3">
        <v>42575</v>
      </c>
      <c r="B82">
        <v>303</v>
      </c>
      <c r="C82">
        <v>10</v>
      </c>
      <c r="D82" t="s">
        <v>52</v>
      </c>
      <c r="E82" t="s">
        <v>28</v>
      </c>
      <c r="F82" t="s">
        <v>29</v>
      </c>
      <c r="G82" t="s">
        <v>30</v>
      </c>
      <c r="H82" s="17">
        <v>50738</v>
      </c>
      <c r="J82" t="s">
        <v>61</v>
      </c>
      <c r="L82" t="s">
        <v>51</v>
      </c>
      <c r="M82" t="s">
        <v>495</v>
      </c>
      <c r="N82" t="s">
        <v>260</v>
      </c>
      <c r="T82">
        <f>33-11</f>
        <v>22</v>
      </c>
      <c r="U82">
        <v>12</v>
      </c>
      <c r="V82">
        <v>12.9</v>
      </c>
      <c r="W82">
        <v>27.1</v>
      </c>
      <c r="X82" t="s">
        <v>32</v>
      </c>
    </row>
    <row r="83" spans="1:26" x14ac:dyDescent="0.2">
      <c r="A83" s="3">
        <v>42575</v>
      </c>
      <c r="B83">
        <v>401</v>
      </c>
      <c r="C83">
        <v>3</v>
      </c>
      <c r="D83" t="s">
        <v>27</v>
      </c>
      <c r="E83" t="s">
        <v>28</v>
      </c>
      <c r="F83" t="s">
        <v>188</v>
      </c>
      <c r="G83" t="s">
        <v>35</v>
      </c>
      <c r="H83" s="17">
        <v>50590</v>
      </c>
      <c r="I83" s="17">
        <v>50589</v>
      </c>
      <c r="J83" t="s">
        <v>39</v>
      </c>
      <c r="L83" t="s">
        <v>51</v>
      </c>
      <c r="M83" t="s">
        <v>493</v>
      </c>
      <c r="N83" t="s">
        <v>260</v>
      </c>
      <c r="T83">
        <f>34.5-18</f>
        <v>16.5</v>
      </c>
      <c r="U83">
        <v>20</v>
      </c>
      <c r="V83">
        <v>12.9</v>
      </c>
      <c r="W83">
        <v>27.5</v>
      </c>
      <c r="X83" t="s">
        <v>32</v>
      </c>
      <c r="Z83" t="s">
        <v>718</v>
      </c>
    </row>
    <row r="84" spans="1:26" x14ac:dyDescent="0.2">
      <c r="A84" s="3">
        <v>42575</v>
      </c>
      <c r="B84">
        <v>703</v>
      </c>
      <c r="C84">
        <v>5</v>
      </c>
      <c r="D84" t="s">
        <v>52</v>
      </c>
      <c r="E84" t="s">
        <v>28</v>
      </c>
      <c r="F84" t="s">
        <v>29</v>
      </c>
      <c r="G84" t="s">
        <v>30</v>
      </c>
      <c r="H84" s="17">
        <v>50509</v>
      </c>
      <c r="J84" t="s">
        <v>91</v>
      </c>
      <c r="L84" t="s">
        <v>51</v>
      </c>
      <c r="M84" t="s">
        <v>495</v>
      </c>
      <c r="N84" t="s">
        <v>260</v>
      </c>
      <c r="T84">
        <f>32-9.5</f>
        <v>22.5</v>
      </c>
      <c r="U84">
        <v>15</v>
      </c>
      <c r="V84">
        <v>12.4</v>
      </c>
      <c r="W84">
        <v>25</v>
      </c>
      <c r="X84" t="s">
        <v>145</v>
      </c>
    </row>
    <row r="85" spans="1:26" x14ac:dyDescent="0.2">
      <c r="A85" s="3">
        <v>42575</v>
      </c>
      <c r="B85">
        <v>703</v>
      </c>
      <c r="C85">
        <v>7</v>
      </c>
      <c r="D85" t="s">
        <v>52</v>
      </c>
      <c r="E85" t="s">
        <v>28</v>
      </c>
      <c r="F85" t="s">
        <v>123</v>
      </c>
      <c r="G85" t="s">
        <v>30</v>
      </c>
      <c r="I85" s="17">
        <v>50764</v>
      </c>
      <c r="J85" t="s">
        <v>31</v>
      </c>
      <c r="L85" t="s">
        <v>51</v>
      </c>
      <c r="M85" t="s">
        <v>495</v>
      </c>
      <c r="N85" t="s">
        <v>260</v>
      </c>
      <c r="T85">
        <f>28.5-11</f>
        <v>17.5</v>
      </c>
      <c r="U85">
        <v>17</v>
      </c>
      <c r="V85">
        <v>12.65</v>
      </c>
      <c r="W85">
        <v>23.8</v>
      </c>
      <c r="X85" t="s">
        <v>145</v>
      </c>
    </row>
    <row r="86" spans="1:26" x14ac:dyDescent="0.2">
      <c r="A86" s="3">
        <v>42575</v>
      </c>
      <c r="B86">
        <v>701</v>
      </c>
      <c r="C86">
        <v>2</v>
      </c>
      <c r="D86" t="s">
        <v>27</v>
      </c>
      <c r="E86" t="s">
        <v>28</v>
      </c>
      <c r="F86" t="s">
        <v>188</v>
      </c>
      <c r="G86" t="s">
        <v>35</v>
      </c>
      <c r="H86" s="17">
        <v>50506</v>
      </c>
      <c r="I86" s="17">
        <v>50505</v>
      </c>
      <c r="J86" t="s">
        <v>63</v>
      </c>
      <c r="L86" t="s">
        <v>51</v>
      </c>
      <c r="M86" t="s">
        <v>495</v>
      </c>
      <c r="N86" t="s">
        <v>260</v>
      </c>
      <c r="T86">
        <v>17</v>
      </c>
      <c r="U86">
        <v>19</v>
      </c>
      <c r="V86">
        <v>13.1</v>
      </c>
      <c r="W86">
        <v>25.9</v>
      </c>
      <c r="X86" t="s">
        <v>32</v>
      </c>
    </row>
    <row r="87" spans="1:26" x14ac:dyDescent="0.2">
      <c r="A87" s="3">
        <v>42575</v>
      </c>
      <c r="B87">
        <v>701</v>
      </c>
      <c r="C87">
        <v>4</v>
      </c>
      <c r="D87" t="s">
        <v>52</v>
      </c>
      <c r="E87" t="s">
        <v>28</v>
      </c>
      <c r="F87" t="s">
        <v>29</v>
      </c>
      <c r="G87" t="s">
        <v>30</v>
      </c>
      <c r="H87" s="17">
        <v>50759</v>
      </c>
      <c r="J87" t="s">
        <v>94</v>
      </c>
      <c r="L87" t="s">
        <v>51</v>
      </c>
      <c r="M87" t="s">
        <v>493</v>
      </c>
      <c r="N87" t="s">
        <v>32</v>
      </c>
      <c r="T87">
        <f>35-8</f>
        <v>27</v>
      </c>
      <c r="U87">
        <v>17</v>
      </c>
      <c r="V87">
        <v>13.7</v>
      </c>
      <c r="W87">
        <v>26.6</v>
      </c>
      <c r="X87" t="s">
        <v>32</v>
      </c>
    </row>
    <row r="88" spans="1:26" x14ac:dyDescent="0.2">
      <c r="A88" s="3">
        <v>42575</v>
      </c>
      <c r="B88">
        <v>701</v>
      </c>
      <c r="C88">
        <v>3</v>
      </c>
      <c r="D88" t="s">
        <v>27</v>
      </c>
      <c r="E88" t="s">
        <v>28</v>
      </c>
      <c r="F88" t="s">
        <v>29</v>
      </c>
      <c r="G88" t="s">
        <v>35</v>
      </c>
      <c r="H88" s="17">
        <v>50370</v>
      </c>
      <c r="I88" s="17">
        <v>50369</v>
      </c>
      <c r="J88" t="s">
        <v>63</v>
      </c>
      <c r="L88" t="s">
        <v>51</v>
      </c>
      <c r="M88" t="s">
        <v>494</v>
      </c>
      <c r="N88" t="s">
        <v>260</v>
      </c>
      <c r="T88">
        <v>20</v>
      </c>
      <c r="U88">
        <v>18</v>
      </c>
      <c r="V88">
        <v>12.6</v>
      </c>
      <c r="W88">
        <v>25.8</v>
      </c>
      <c r="X88" t="s">
        <v>32</v>
      </c>
    </row>
    <row r="89" spans="1:26" x14ac:dyDescent="0.2">
      <c r="A89" s="3">
        <v>42575</v>
      </c>
      <c r="B89">
        <v>701</v>
      </c>
      <c r="C89">
        <v>8</v>
      </c>
      <c r="D89" t="s">
        <v>52</v>
      </c>
      <c r="E89" t="s">
        <v>28</v>
      </c>
      <c r="F89" t="s">
        <v>29</v>
      </c>
      <c r="G89" t="s">
        <v>35</v>
      </c>
      <c r="H89" s="17">
        <v>50515</v>
      </c>
      <c r="J89" t="s">
        <v>39</v>
      </c>
      <c r="L89" t="s">
        <v>51</v>
      </c>
      <c r="M89" t="s">
        <v>495</v>
      </c>
      <c r="N89" t="s">
        <v>260</v>
      </c>
      <c r="T89">
        <f>34-12</f>
        <v>22</v>
      </c>
      <c r="U89">
        <v>17</v>
      </c>
      <c r="V89">
        <v>12.8</v>
      </c>
      <c r="W89">
        <v>26.2</v>
      </c>
      <c r="X89" t="s">
        <v>145</v>
      </c>
    </row>
    <row r="90" spans="1:26" x14ac:dyDescent="0.2">
      <c r="A90" s="3">
        <v>42575</v>
      </c>
      <c r="B90">
        <v>901</v>
      </c>
      <c r="C90">
        <v>3</v>
      </c>
      <c r="D90" t="s">
        <v>27</v>
      </c>
      <c r="E90" t="s">
        <v>28</v>
      </c>
      <c r="F90" t="s">
        <v>188</v>
      </c>
      <c r="G90" t="s">
        <v>35</v>
      </c>
      <c r="H90" s="17">
        <v>50799</v>
      </c>
      <c r="I90" s="17">
        <v>50798</v>
      </c>
      <c r="J90" t="s">
        <v>63</v>
      </c>
      <c r="L90" t="s">
        <v>51</v>
      </c>
      <c r="M90" t="s">
        <v>494</v>
      </c>
      <c r="N90" t="s">
        <v>260</v>
      </c>
      <c r="T90">
        <v>15</v>
      </c>
      <c r="U90">
        <v>19</v>
      </c>
      <c r="V90">
        <v>12.3</v>
      </c>
      <c r="W90">
        <v>26.1</v>
      </c>
      <c r="X90" t="s">
        <v>145</v>
      </c>
    </row>
    <row r="91" spans="1:26" x14ac:dyDescent="0.2">
      <c r="A91" s="3">
        <v>42576</v>
      </c>
      <c r="B91">
        <v>501</v>
      </c>
      <c r="C91">
        <v>5</v>
      </c>
      <c r="D91" t="s">
        <v>52</v>
      </c>
      <c r="E91" t="s">
        <v>28</v>
      </c>
      <c r="F91" t="s">
        <v>29</v>
      </c>
      <c r="G91" t="s">
        <v>30</v>
      </c>
      <c r="H91" s="17" t="s">
        <v>712</v>
      </c>
      <c r="J91" t="s">
        <v>273</v>
      </c>
      <c r="L91" t="s">
        <v>51</v>
      </c>
      <c r="M91" t="s">
        <v>495</v>
      </c>
      <c r="N91" t="s">
        <v>260</v>
      </c>
      <c r="O91" t="s">
        <v>902</v>
      </c>
      <c r="P91" t="s">
        <v>759</v>
      </c>
      <c r="Q91">
        <v>2</v>
      </c>
      <c r="R91" t="s">
        <v>759</v>
      </c>
      <c r="T91">
        <f>29</f>
        <v>29</v>
      </c>
      <c r="U91">
        <v>18.5</v>
      </c>
      <c r="V91">
        <v>13</v>
      </c>
      <c r="W91">
        <v>26.9</v>
      </c>
    </row>
    <row r="92" spans="1:26" x14ac:dyDescent="0.2">
      <c r="A92" s="3">
        <v>42576</v>
      </c>
      <c r="B92">
        <v>503</v>
      </c>
      <c r="C92">
        <v>2</v>
      </c>
      <c r="D92" t="s">
        <v>52</v>
      </c>
      <c r="E92" t="s">
        <v>34</v>
      </c>
      <c r="F92" t="s">
        <v>29</v>
      </c>
      <c r="G92" t="s">
        <v>30</v>
      </c>
      <c r="H92" s="17">
        <v>50826</v>
      </c>
      <c r="J92" t="s">
        <v>61</v>
      </c>
      <c r="K92" t="s">
        <v>753</v>
      </c>
      <c r="L92" t="s">
        <v>51</v>
      </c>
      <c r="M92" t="s">
        <v>495</v>
      </c>
      <c r="N92" t="s">
        <v>260</v>
      </c>
      <c r="O92">
        <v>2</v>
      </c>
      <c r="P92" t="s">
        <v>832</v>
      </c>
      <c r="Q92" t="s">
        <v>844</v>
      </c>
      <c r="R92" t="s">
        <v>832</v>
      </c>
      <c r="T92">
        <f>33-11</f>
        <v>22</v>
      </c>
      <c r="U92">
        <v>17</v>
      </c>
      <c r="V92">
        <v>12.9</v>
      </c>
      <c r="W92">
        <v>27.3</v>
      </c>
    </row>
    <row r="93" spans="1:26" x14ac:dyDescent="0.2">
      <c r="A93" s="3">
        <v>42576</v>
      </c>
      <c r="B93">
        <v>503</v>
      </c>
      <c r="C93">
        <v>7</v>
      </c>
      <c r="D93" t="s">
        <v>27</v>
      </c>
      <c r="E93" t="s">
        <v>34</v>
      </c>
      <c r="F93" t="s">
        <v>29</v>
      </c>
      <c r="G93" t="s">
        <v>30</v>
      </c>
      <c r="H93" s="17">
        <v>50968</v>
      </c>
      <c r="I93" s="17">
        <v>50967</v>
      </c>
      <c r="J93" t="s">
        <v>83</v>
      </c>
      <c r="L93" t="s">
        <v>51</v>
      </c>
      <c r="M93" t="s">
        <v>494</v>
      </c>
      <c r="N93" t="s">
        <v>260</v>
      </c>
      <c r="O93">
        <v>2</v>
      </c>
      <c r="P93" t="s">
        <v>759</v>
      </c>
      <c r="T93">
        <f>32-12</f>
        <v>20</v>
      </c>
      <c r="U93">
        <v>19</v>
      </c>
      <c r="V93">
        <v>12.9</v>
      </c>
      <c r="W93">
        <v>27.4</v>
      </c>
    </row>
    <row r="94" spans="1:26" x14ac:dyDescent="0.2">
      <c r="A94" s="3">
        <v>42576</v>
      </c>
      <c r="B94">
        <v>503</v>
      </c>
      <c r="C94">
        <v>7</v>
      </c>
      <c r="D94" t="s">
        <v>27</v>
      </c>
      <c r="E94" t="s">
        <v>34</v>
      </c>
      <c r="F94" t="s">
        <v>123</v>
      </c>
      <c r="G94" t="s">
        <v>30</v>
      </c>
      <c r="H94" s="17">
        <v>50966</v>
      </c>
      <c r="I94" s="17">
        <v>50965</v>
      </c>
      <c r="J94" t="s">
        <v>31</v>
      </c>
      <c r="L94" t="s">
        <v>51</v>
      </c>
      <c r="M94" t="s">
        <v>493</v>
      </c>
      <c r="N94" t="s">
        <v>260</v>
      </c>
      <c r="Q94">
        <v>1</v>
      </c>
      <c r="R94" t="s">
        <v>759</v>
      </c>
      <c r="T94">
        <f>32-17</f>
        <v>15</v>
      </c>
      <c r="U94">
        <v>17</v>
      </c>
      <c r="V94">
        <v>12.9</v>
      </c>
      <c r="W94">
        <v>25.2</v>
      </c>
    </row>
    <row r="95" spans="1:26" x14ac:dyDescent="0.2">
      <c r="A95" s="3">
        <v>42576</v>
      </c>
      <c r="B95">
        <v>503</v>
      </c>
      <c r="C95">
        <v>8</v>
      </c>
      <c r="D95" t="s">
        <v>27</v>
      </c>
      <c r="E95" t="s">
        <v>34</v>
      </c>
      <c r="F95" t="s">
        <v>123</v>
      </c>
      <c r="G95" t="s">
        <v>35</v>
      </c>
      <c r="H95" s="17">
        <v>50964</v>
      </c>
      <c r="I95" s="17">
        <v>50963</v>
      </c>
      <c r="J95" t="s">
        <v>63</v>
      </c>
      <c r="L95" t="s">
        <v>51</v>
      </c>
      <c r="M95" t="s">
        <v>493</v>
      </c>
      <c r="N95" t="s">
        <v>260</v>
      </c>
      <c r="Q95">
        <v>2</v>
      </c>
      <c r="R95" t="s">
        <v>759</v>
      </c>
      <c r="T95">
        <f>26.5-14</f>
        <v>12.5</v>
      </c>
      <c r="U95">
        <v>17</v>
      </c>
      <c r="V95">
        <v>12.8</v>
      </c>
      <c r="W95">
        <v>25.4</v>
      </c>
    </row>
    <row r="96" spans="1:26" x14ac:dyDescent="0.2">
      <c r="A96" s="3">
        <v>42576</v>
      </c>
      <c r="B96">
        <v>503</v>
      </c>
      <c r="C96">
        <v>9</v>
      </c>
      <c r="D96" t="s">
        <v>27</v>
      </c>
      <c r="E96" t="s">
        <v>34</v>
      </c>
      <c r="F96" t="s">
        <v>188</v>
      </c>
      <c r="G96" t="s">
        <v>35</v>
      </c>
      <c r="H96" s="17">
        <v>50962</v>
      </c>
      <c r="I96" s="17">
        <v>50961</v>
      </c>
      <c r="J96" t="s">
        <v>39</v>
      </c>
      <c r="L96" t="s">
        <v>51</v>
      </c>
      <c r="M96" t="s">
        <v>495</v>
      </c>
      <c r="N96" t="s">
        <v>260</v>
      </c>
      <c r="O96">
        <v>1</v>
      </c>
      <c r="P96" t="s">
        <v>759</v>
      </c>
      <c r="Q96">
        <v>1</v>
      </c>
      <c r="R96" t="s">
        <v>759</v>
      </c>
      <c r="T96">
        <f>29-13</f>
        <v>16</v>
      </c>
      <c r="U96">
        <v>20</v>
      </c>
      <c r="V96">
        <v>12.8</v>
      </c>
      <c r="W96">
        <v>27.3</v>
      </c>
    </row>
    <row r="97" spans="1:26" x14ac:dyDescent="0.2">
      <c r="A97" s="3">
        <v>42576</v>
      </c>
      <c r="B97">
        <v>303</v>
      </c>
      <c r="C97">
        <v>2</v>
      </c>
      <c r="D97" t="s">
        <v>52</v>
      </c>
      <c r="E97" t="s">
        <v>34</v>
      </c>
      <c r="F97" t="s">
        <v>29</v>
      </c>
      <c r="G97" t="s">
        <v>35</v>
      </c>
      <c r="I97" s="17">
        <v>50960</v>
      </c>
      <c r="J97" t="s">
        <v>39</v>
      </c>
      <c r="K97" t="s">
        <v>754</v>
      </c>
      <c r="L97" t="s">
        <v>51</v>
      </c>
      <c r="M97" t="s">
        <v>495</v>
      </c>
      <c r="N97" t="s">
        <v>260</v>
      </c>
      <c r="O97" t="s">
        <v>903</v>
      </c>
      <c r="P97" t="s">
        <v>832</v>
      </c>
      <c r="Q97">
        <v>2</v>
      </c>
      <c r="R97" t="s">
        <v>837</v>
      </c>
      <c r="T97">
        <f>35-11</f>
        <v>24</v>
      </c>
      <c r="U97">
        <v>17</v>
      </c>
      <c r="V97">
        <v>12.8</v>
      </c>
      <c r="W97">
        <v>27.6</v>
      </c>
      <c r="Z97" t="s">
        <v>904</v>
      </c>
    </row>
    <row r="98" spans="1:26" x14ac:dyDescent="0.2">
      <c r="A98" s="3">
        <v>42576</v>
      </c>
      <c r="B98">
        <v>303</v>
      </c>
      <c r="C98">
        <v>7</v>
      </c>
      <c r="D98" t="s">
        <v>52</v>
      </c>
      <c r="E98" t="s">
        <v>28</v>
      </c>
      <c r="F98" t="s">
        <v>29</v>
      </c>
      <c r="G98" t="s">
        <v>35</v>
      </c>
      <c r="H98" s="17">
        <v>50344</v>
      </c>
      <c r="J98" t="s">
        <v>39</v>
      </c>
      <c r="L98" t="s">
        <v>51</v>
      </c>
      <c r="M98" t="s">
        <v>495</v>
      </c>
      <c r="N98" t="s">
        <v>260</v>
      </c>
      <c r="O98" t="s">
        <v>903</v>
      </c>
      <c r="P98" t="s">
        <v>832</v>
      </c>
      <c r="Q98" t="s">
        <v>844</v>
      </c>
      <c r="R98" t="s">
        <v>832</v>
      </c>
      <c r="T98">
        <f>34-12</f>
        <v>22</v>
      </c>
      <c r="U98">
        <v>17</v>
      </c>
      <c r="V98">
        <v>12.7</v>
      </c>
      <c r="W98">
        <v>26.9</v>
      </c>
      <c r="Z98" t="s">
        <v>905</v>
      </c>
    </row>
    <row r="99" spans="1:26" x14ac:dyDescent="0.2">
      <c r="A99" s="3">
        <v>42576</v>
      </c>
      <c r="B99">
        <v>303</v>
      </c>
      <c r="C99">
        <v>7</v>
      </c>
      <c r="D99" t="s">
        <v>27</v>
      </c>
      <c r="E99" t="s">
        <v>28</v>
      </c>
      <c r="F99" t="s">
        <v>29</v>
      </c>
      <c r="G99" t="s">
        <v>30</v>
      </c>
      <c r="H99" s="17">
        <v>50582</v>
      </c>
      <c r="I99" s="17">
        <v>50581</v>
      </c>
      <c r="J99" t="s">
        <v>83</v>
      </c>
      <c r="L99" t="s">
        <v>51</v>
      </c>
      <c r="M99" t="s">
        <v>495</v>
      </c>
      <c r="N99" t="s">
        <v>260</v>
      </c>
      <c r="O99">
        <v>7</v>
      </c>
      <c r="P99" t="s">
        <v>759</v>
      </c>
      <c r="Q99">
        <v>7</v>
      </c>
      <c r="R99" t="s">
        <v>759</v>
      </c>
      <c r="T99">
        <f>32-11.5</f>
        <v>20.5</v>
      </c>
      <c r="U99">
        <v>19</v>
      </c>
      <c r="V99">
        <v>12.9</v>
      </c>
    </row>
    <row r="100" spans="1:26" x14ac:dyDescent="0.2">
      <c r="A100" s="3">
        <v>42576</v>
      </c>
      <c r="B100">
        <v>303</v>
      </c>
      <c r="C100">
        <v>10</v>
      </c>
      <c r="D100" t="s">
        <v>52</v>
      </c>
      <c r="E100" t="s">
        <v>28</v>
      </c>
      <c r="F100" t="s">
        <v>29</v>
      </c>
      <c r="G100" t="s">
        <v>35</v>
      </c>
      <c r="I100" s="17">
        <v>50439</v>
      </c>
      <c r="J100" t="s">
        <v>39</v>
      </c>
      <c r="K100" t="s">
        <v>757</v>
      </c>
      <c r="L100" t="s">
        <v>51</v>
      </c>
      <c r="M100" t="s">
        <v>495</v>
      </c>
      <c r="N100" t="s">
        <v>260</v>
      </c>
      <c r="O100" t="s">
        <v>906</v>
      </c>
      <c r="P100" t="s">
        <v>837</v>
      </c>
      <c r="Q100" t="s">
        <v>907</v>
      </c>
      <c r="R100" t="s">
        <v>759</v>
      </c>
      <c r="T100">
        <f>33-10</f>
        <v>23</v>
      </c>
      <c r="U100">
        <v>18.5</v>
      </c>
      <c r="V100">
        <v>12.9</v>
      </c>
      <c r="W100">
        <v>27.5</v>
      </c>
      <c r="Z100" t="s">
        <v>908</v>
      </c>
    </row>
    <row r="101" spans="1:26" x14ac:dyDescent="0.2">
      <c r="A101" s="3">
        <v>42576</v>
      </c>
      <c r="B101">
        <v>401</v>
      </c>
      <c r="C101">
        <v>3</v>
      </c>
      <c r="D101" t="s">
        <v>52</v>
      </c>
      <c r="E101" t="s">
        <v>34</v>
      </c>
      <c r="F101" t="s">
        <v>29</v>
      </c>
      <c r="G101" t="s">
        <v>30</v>
      </c>
      <c r="H101" s="17">
        <v>50959</v>
      </c>
      <c r="J101" t="s">
        <v>61</v>
      </c>
      <c r="L101" t="s">
        <v>51</v>
      </c>
      <c r="M101" t="s">
        <v>495</v>
      </c>
      <c r="N101" t="s">
        <v>260</v>
      </c>
      <c r="O101">
        <v>3</v>
      </c>
      <c r="P101" t="s">
        <v>832</v>
      </c>
      <c r="Q101">
        <v>2</v>
      </c>
      <c r="R101" t="s">
        <v>832</v>
      </c>
      <c r="T101">
        <f>36-14</f>
        <v>22</v>
      </c>
    </row>
    <row r="102" spans="1:26" x14ac:dyDescent="0.2">
      <c r="A102" s="3">
        <v>42576</v>
      </c>
      <c r="B102">
        <v>401</v>
      </c>
      <c r="C102">
        <v>3</v>
      </c>
      <c r="D102" t="s">
        <v>27</v>
      </c>
      <c r="E102" t="s">
        <v>28</v>
      </c>
      <c r="F102" t="s">
        <v>188</v>
      </c>
      <c r="G102" t="s">
        <v>35</v>
      </c>
      <c r="H102" s="17">
        <v>50590</v>
      </c>
      <c r="I102" s="17">
        <v>50589</v>
      </c>
      <c r="J102" t="s">
        <v>39</v>
      </c>
      <c r="L102" t="s">
        <v>909</v>
      </c>
      <c r="M102" t="s">
        <v>493</v>
      </c>
      <c r="N102" t="s">
        <v>260</v>
      </c>
      <c r="Q102">
        <v>6</v>
      </c>
      <c r="R102" t="s">
        <v>759</v>
      </c>
      <c r="S102" t="s">
        <v>759</v>
      </c>
      <c r="T102">
        <f>32-15</f>
        <v>17</v>
      </c>
      <c r="U102">
        <v>19</v>
      </c>
      <c r="V102">
        <v>12.9</v>
      </c>
      <c r="W102">
        <v>26.8</v>
      </c>
      <c r="Z102" t="s">
        <v>910</v>
      </c>
    </row>
    <row r="103" spans="1:26" x14ac:dyDescent="0.2">
      <c r="A103" s="3">
        <v>42576</v>
      </c>
      <c r="B103">
        <v>401</v>
      </c>
      <c r="C103">
        <v>5</v>
      </c>
      <c r="D103" t="s">
        <v>52</v>
      </c>
      <c r="E103" t="s">
        <v>34</v>
      </c>
      <c r="F103" t="s">
        <v>188</v>
      </c>
      <c r="G103" t="s">
        <v>35</v>
      </c>
      <c r="H103" s="17">
        <v>50958</v>
      </c>
      <c r="J103" t="s">
        <v>39</v>
      </c>
      <c r="L103" t="s">
        <v>51</v>
      </c>
      <c r="M103" t="s">
        <v>495</v>
      </c>
      <c r="N103" t="s">
        <v>260</v>
      </c>
      <c r="O103">
        <v>1</v>
      </c>
      <c r="P103" t="s">
        <v>759</v>
      </c>
      <c r="Q103" t="s">
        <v>844</v>
      </c>
      <c r="R103" t="s">
        <v>832</v>
      </c>
      <c r="T103">
        <f>27.5-9.5</f>
        <v>18</v>
      </c>
      <c r="U103">
        <v>18</v>
      </c>
    </row>
    <row r="104" spans="1:26" x14ac:dyDescent="0.2">
      <c r="A104" s="3">
        <v>42576</v>
      </c>
      <c r="B104">
        <v>401</v>
      </c>
      <c r="C104">
        <v>7</v>
      </c>
      <c r="D104" t="s">
        <v>142</v>
      </c>
      <c r="E104" t="s">
        <v>34</v>
      </c>
      <c r="F104" t="s">
        <v>29</v>
      </c>
      <c r="G104" t="s">
        <v>30</v>
      </c>
      <c r="H104" s="17">
        <v>50957</v>
      </c>
      <c r="J104" t="s">
        <v>273</v>
      </c>
      <c r="L104" t="s">
        <v>51</v>
      </c>
      <c r="M104" t="s">
        <v>494</v>
      </c>
      <c r="N104" t="s">
        <v>145</v>
      </c>
      <c r="O104">
        <v>1</v>
      </c>
      <c r="P104" t="s">
        <v>759</v>
      </c>
      <c r="T104">
        <f>40.5-14.5</f>
        <v>26</v>
      </c>
      <c r="U104">
        <v>28</v>
      </c>
      <c r="V104">
        <v>13.1</v>
      </c>
      <c r="W104">
        <v>27.3</v>
      </c>
    </row>
    <row r="105" spans="1:26" x14ac:dyDescent="0.2">
      <c r="A105" s="3">
        <v>42576</v>
      </c>
      <c r="B105">
        <v>701</v>
      </c>
      <c r="C105">
        <v>1</v>
      </c>
      <c r="D105" t="s">
        <v>27</v>
      </c>
      <c r="E105" t="s">
        <v>28</v>
      </c>
      <c r="F105" t="s">
        <v>188</v>
      </c>
      <c r="G105" t="s">
        <v>35</v>
      </c>
      <c r="H105" s="17">
        <v>50506</v>
      </c>
      <c r="I105" s="17">
        <v>50505</v>
      </c>
      <c r="J105" t="s">
        <v>63</v>
      </c>
      <c r="L105" t="s">
        <v>51</v>
      </c>
      <c r="M105" t="s">
        <v>494</v>
      </c>
      <c r="N105" t="s">
        <v>260</v>
      </c>
      <c r="O105">
        <v>6</v>
      </c>
      <c r="P105" t="s">
        <v>759</v>
      </c>
      <c r="Q105" t="s">
        <v>260</v>
      </c>
      <c r="R105" t="s">
        <v>260</v>
      </c>
      <c r="S105" t="s">
        <v>260</v>
      </c>
      <c r="T105">
        <f>24.5-9</f>
        <v>15.5</v>
      </c>
      <c r="U105">
        <v>19</v>
      </c>
      <c r="V105">
        <v>13.1</v>
      </c>
      <c r="W105">
        <v>29</v>
      </c>
      <c r="X105" t="s">
        <v>32</v>
      </c>
    </row>
    <row r="106" spans="1:26" x14ac:dyDescent="0.2">
      <c r="A106" s="3">
        <v>42576</v>
      </c>
      <c r="B106">
        <v>701</v>
      </c>
      <c r="C106">
        <v>5</v>
      </c>
      <c r="D106" t="s">
        <v>27</v>
      </c>
      <c r="E106" t="s">
        <v>28</v>
      </c>
      <c r="F106" t="s">
        <v>188</v>
      </c>
      <c r="G106" t="s">
        <v>35</v>
      </c>
      <c r="H106" s="17">
        <v>50761</v>
      </c>
      <c r="I106" s="17">
        <v>50760</v>
      </c>
      <c r="J106" t="s">
        <v>63</v>
      </c>
      <c r="L106" t="s">
        <v>51</v>
      </c>
      <c r="M106" t="s">
        <v>495</v>
      </c>
      <c r="N106" t="s">
        <v>260</v>
      </c>
      <c r="O106">
        <v>6</v>
      </c>
      <c r="P106" t="s">
        <v>759</v>
      </c>
      <c r="Q106">
        <v>6</v>
      </c>
      <c r="R106" t="s">
        <v>759</v>
      </c>
      <c r="S106" t="s">
        <v>260</v>
      </c>
      <c r="T106">
        <f>27.5-10</f>
        <v>17.5</v>
      </c>
      <c r="U106">
        <v>19</v>
      </c>
      <c r="V106">
        <v>13.3</v>
      </c>
      <c r="W106">
        <v>30.1</v>
      </c>
      <c r="X106" t="s">
        <v>32</v>
      </c>
    </row>
    <row r="107" spans="1:26" x14ac:dyDescent="0.2">
      <c r="A107" s="3">
        <v>42576</v>
      </c>
      <c r="B107">
        <v>701</v>
      </c>
      <c r="C107">
        <v>6</v>
      </c>
      <c r="D107" t="s">
        <v>27</v>
      </c>
      <c r="E107" t="s">
        <v>28</v>
      </c>
      <c r="F107" t="s">
        <v>29</v>
      </c>
      <c r="G107" t="s">
        <v>30</v>
      </c>
      <c r="H107" s="17">
        <v>50459</v>
      </c>
      <c r="I107" s="17">
        <v>50458</v>
      </c>
      <c r="J107" t="s">
        <v>31</v>
      </c>
      <c r="L107" t="s">
        <v>51</v>
      </c>
      <c r="M107" t="s">
        <v>494</v>
      </c>
      <c r="N107" t="s">
        <v>260</v>
      </c>
      <c r="O107">
        <v>6</v>
      </c>
      <c r="P107" t="s">
        <v>759</v>
      </c>
      <c r="Q107" t="s">
        <v>260</v>
      </c>
      <c r="R107" t="s">
        <v>260</v>
      </c>
      <c r="S107" t="s">
        <v>260</v>
      </c>
      <c r="T107">
        <f>28.5-11.5</f>
        <v>17</v>
      </c>
      <c r="U107">
        <v>17</v>
      </c>
      <c r="V107">
        <v>12</v>
      </c>
      <c r="W107">
        <v>27</v>
      </c>
      <c r="X107" t="s">
        <v>32</v>
      </c>
    </row>
    <row r="108" spans="1:26" x14ac:dyDescent="0.2">
      <c r="A108" s="3">
        <v>42584</v>
      </c>
      <c r="B108">
        <v>111</v>
      </c>
      <c r="C108">
        <v>3</v>
      </c>
      <c r="D108" t="s">
        <v>27</v>
      </c>
      <c r="E108" t="s">
        <v>28</v>
      </c>
      <c r="F108" t="s">
        <v>29</v>
      </c>
      <c r="G108" t="s">
        <v>35</v>
      </c>
      <c r="H108" s="17">
        <v>50602</v>
      </c>
      <c r="I108" s="17">
        <v>50601</v>
      </c>
      <c r="J108" t="s">
        <v>39</v>
      </c>
      <c r="L108" t="s">
        <v>51</v>
      </c>
      <c r="M108" t="s">
        <v>493</v>
      </c>
      <c r="N108" t="s">
        <v>260</v>
      </c>
      <c r="Q108">
        <v>6</v>
      </c>
      <c r="R108" t="s">
        <v>759</v>
      </c>
      <c r="T108">
        <f>31.5-10.5</f>
        <v>21</v>
      </c>
      <c r="U108">
        <v>18.5</v>
      </c>
      <c r="V108">
        <v>12.9</v>
      </c>
      <c r="W108">
        <v>28.7</v>
      </c>
      <c r="Z108" t="s">
        <v>827</v>
      </c>
    </row>
    <row r="109" spans="1:26" x14ac:dyDescent="0.2">
      <c r="A109" s="3">
        <v>42584</v>
      </c>
      <c r="B109">
        <v>111</v>
      </c>
      <c r="C109">
        <v>5</v>
      </c>
      <c r="D109" t="s">
        <v>27</v>
      </c>
      <c r="E109" t="s">
        <v>28</v>
      </c>
      <c r="F109" t="s">
        <v>29</v>
      </c>
      <c r="G109" t="s">
        <v>35</v>
      </c>
      <c r="H109" s="17">
        <v>50572</v>
      </c>
      <c r="I109" s="17">
        <v>50571</v>
      </c>
      <c r="J109" t="s">
        <v>39</v>
      </c>
      <c r="L109" t="s">
        <v>51</v>
      </c>
      <c r="M109" t="s">
        <v>495</v>
      </c>
      <c r="N109" t="s">
        <v>260</v>
      </c>
      <c r="O109">
        <v>1</v>
      </c>
      <c r="P109" t="s">
        <v>759</v>
      </c>
      <c r="Q109">
        <v>1</v>
      </c>
      <c r="R109" t="s">
        <v>759</v>
      </c>
      <c r="T109">
        <f>32-11.5</f>
        <v>20.5</v>
      </c>
      <c r="U109">
        <v>21</v>
      </c>
      <c r="V109">
        <v>13.1</v>
      </c>
      <c r="W109">
        <v>27.8</v>
      </c>
    </row>
    <row r="110" spans="1:26" x14ac:dyDescent="0.2">
      <c r="A110" s="3">
        <v>42584</v>
      </c>
      <c r="B110">
        <v>111</v>
      </c>
      <c r="C110">
        <v>8</v>
      </c>
      <c r="D110" t="s">
        <v>27</v>
      </c>
      <c r="E110" t="s">
        <v>28</v>
      </c>
      <c r="F110" t="s">
        <v>188</v>
      </c>
      <c r="G110" t="s">
        <v>35</v>
      </c>
      <c r="H110" s="17">
        <v>50530</v>
      </c>
      <c r="I110" s="17">
        <v>50529</v>
      </c>
      <c r="J110" t="s">
        <v>63</v>
      </c>
      <c r="L110" t="s">
        <v>51</v>
      </c>
      <c r="M110" t="s">
        <v>493</v>
      </c>
      <c r="N110" t="s">
        <v>260</v>
      </c>
      <c r="Q110">
        <v>1</v>
      </c>
      <c r="R110" t="s">
        <v>759</v>
      </c>
      <c r="T110">
        <f>35-16</f>
        <v>19</v>
      </c>
      <c r="U110">
        <v>19</v>
      </c>
      <c r="V110">
        <v>12.8</v>
      </c>
      <c r="W110">
        <v>28.9</v>
      </c>
    </row>
    <row r="111" spans="1:26" x14ac:dyDescent="0.2">
      <c r="A111" s="3">
        <v>42584</v>
      </c>
      <c r="B111">
        <v>112</v>
      </c>
      <c r="C111">
        <v>3</v>
      </c>
      <c r="D111" t="s">
        <v>142</v>
      </c>
      <c r="E111" t="s">
        <v>28</v>
      </c>
      <c r="F111" t="s">
        <v>29</v>
      </c>
      <c r="G111" t="s">
        <v>30</v>
      </c>
      <c r="H111" s="17">
        <v>50817</v>
      </c>
      <c r="J111" t="s">
        <v>273</v>
      </c>
      <c r="L111" t="s">
        <v>51</v>
      </c>
      <c r="M111" t="s">
        <v>494</v>
      </c>
      <c r="N111" t="s">
        <v>145</v>
      </c>
      <c r="O111">
        <v>1</v>
      </c>
      <c r="P111" t="s">
        <v>759</v>
      </c>
      <c r="T111">
        <f>35.4-10</f>
        <v>25.4</v>
      </c>
      <c r="U111">
        <v>29</v>
      </c>
      <c r="V111">
        <v>13</v>
      </c>
      <c r="W111">
        <v>26.7</v>
      </c>
    </row>
    <row r="112" spans="1:26" x14ac:dyDescent="0.2">
      <c r="A112" s="3">
        <v>42584</v>
      </c>
      <c r="B112">
        <v>112</v>
      </c>
      <c r="C112">
        <v>6</v>
      </c>
      <c r="D112" t="s">
        <v>27</v>
      </c>
      <c r="E112" t="s">
        <v>28</v>
      </c>
      <c r="F112" t="s">
        <v>188</v>
      </c>
      <c r="G112" t="s">
        <v>35</v>
      </c>
      <c r="H112" s="17">
        <v>50574</v>
      </c>
      <c r="I112" s="17">
        <v>50573</v>
      </c>
      <c r="J112" t="s">
        <v>39</v>
      </c>
      <c r="L112" t="s">
        <v>51</v>
      </c>
      <c r="M112" t="s">
        <v>494</v>
      </c>
      <c r="N112" t="s">
        <v>260</v>
      </c>
      <c r="O112">
        <v>6</v>
      </c>
      <c r="P112" t="s">
        <v>759</v>
      </c>
      <c r="T112">
        <f>30.5-12</f>
        <v>18.5</v>
      </c>
      <c r="U112">
        <v>19</v>
      </c>
      <c r="V112">
        <v>13</v>
      </c>
      <c r="W112">
        <v>26.9</v>
      </c>
    </row>
    <row r="113" spans="1:26" x14ac:dyDescent="0.2">
      <c r="A113" s="3">
        <v>42584</v>
      </c>
      <c r="B113">
        <v>112</v>
      </c>
      <c r="C113">
        <v>7</v>
      </c>
      <c r="D113" t="s">
        <v>27</v>
      </c>
      <c r="E113" t="s">
        <v>28</v>
      </c>
      <c r="F113" t="s">
        <v>29</v>
      </c>
      <c r="G113" t="s">
        <v>30</v>
      </c>
      <c r="H113" s="17">
        <v>50956</v>
      </c>
      <c r="I113" s="17">
        <v>50955</v>
      </c>
      <c r="J113" t="s">
        <v>75</v>
      </c>
      <c r="L113" t="s">
        <v>51</v>
      </c>
      <c r="M113" t="s">
        <v>493</v>
      </c>
      <c r="N113" t="s">
        <v>260</v>
      </c>
      <c r="Q113">
        <v>1</v>
      </c>
      <c r="R113" t="s">
        <v>759</v>
      </c>
      <c r="T113">
        <f>36-17</f>
        <v>19</v>
      </c>
      <c r="U113">
        <v>18</v>
      </c>
      <c r="V113">
        <v>13</v>
      </c>
      <c r="W113">
        <v>27.2</v>
      </c>
    </row>
    <row r="114" spans="1:26" x14ac:dyDescent="0.2">
      <c r="A114" s="3">
        <v>42584</v>
      </c>
      <c r="B114">
        <v>112</v>
      </c>
      <c r="C114">
        <v>9</v>
      </c>
      <c r="D114" t="s">
        <v>27</v>
      </c>
      <c r="E114" t="s">
        <v>28</v>
      </c>
      <c r="F114" t="s">
        <v>29</v>
      </c>
      <c r="G114" t="s">
        <v>35</v>
      </c>
      <c r="H114" s="17">
        <v>50595</v>
      </c>
      <c r="I114" s="17">
        <v>50594</v>
      </c>
      <c r="J114" t="s">
        <v>39</v>
      </c>
      <c r="L114" t="s">
        <v>51</v>
      </c>
      <c r="M114" t="s">
        <v>495</v>
      </c>
      <c r="N114" t="s">
        <v>260</v>
      </c>
      <c r="O114">
        <v>6</v>
      </c>
      <c r="P114" t="s">
        <v>759</v>
      </c>
      <c r="Q114">
        <v>6</v>
      </c>
      <c r="R114" t="s">
        <v>759</v>
      </c>
      <c r="T114">
        <v>21</v>
      </c>
      <c r="U114">
        <v>20</v>
      </c>
      <c r="V114">
        <v>12.8</v>
      </c>
      <c r="W114">
        <v>27.6</v>
      </c>
    </row>
    <row r="115" spans="1:26" x14ac:dyDescent="0.2">
      <c r="A115" s="3">
        <v>42584</v>
      </c>
      <c r="B115">
        <v>112</v>
      </c>
      <c r="C115">
        <v>10</v>
      </c>
      <c r="D115" t="s">
        <v>142</v>
      </c>
      <c r="E115" t="s">
        <v>34</v>
      </c>
      <c r="F115" t="s">
        <v>29</v>
      </c>
      <c r="G115" t="s">
        <v>35</v>
      </c>
      <c r="H115" s="17">
        <v>50888</v>
      </c>
      <c r="J115" t="s">
        <v>39</v>
      </c>
      <c r="K115" t="s">
        <v>830</v>
      </c>
      <c r="L115" t="s">
        <v>51</v>
      </c>
      <c r="M115" t="s">
        <v>495</v>
      </c>
      <c r="N115" t="s">
        <v>260</v>
      </c>
      <c r="O115">
        <v>1</v>
      </c>
      <c r="P115" t="s">
        <v>759</v>
      </c>
      <c r="Q115">
        <v>1</v>
      </c>
      <c r="R115" t="s">
        <v>832</v>
      </c>
      <c r="T115">
        <v>21.5</v>
      </c>
      <c r="U115">
        <v>29</v>
      </c>
      <c r="V115">
        <v>12.9</v>
      </c>
      <c r="W115">
        <v>27.2</v>
      </c>
      <c r="X115" t="s">
        <v>145</v>
      </c>
      <c r="Z115" t="s">
        <v>833</v>
      </c>
    </row>
    <row r="116" spans="1:26" x14ac:dyDescent="0.2">
      <c r="A116" s="3">
        <v>42584</v>
      </c>
      <c r="B116">
        <v>113</v>
      </c>
      <c r="C116">
        <v>1</v>
      </c>
      <c r="D116" t="s">
        <v>27</v>
      </c>
      <c r="E116" t="s">
        <v>34</v>
      </c>
      <c r="F116" t="s">
        <v>29</v>
      </c>
      <c r="G116" t="s">
        <v>35</v>
      </c>
      <c r="H116" s="17">
        <v>50900</v>
      </c>
      <c r="I116" s="17">
        <v>50899</v>
      </c>
      <c r="J116" t="s">
        <v>39</v>
      </c>
      <c r="L116" t="s">
        <v>51</v>
      </c>
      <c r="M116" t="s">
        <v>493</v>
      </c>
      <c r="N116" t="s">
        <v>260</v>
      </c>
      <c r="Q116">
        <v>1</v>
      </c>
      <c r="R116" t="s">
        <v>759</v>
      </c>
      <c r="T116">
        <f>31.5-13.5</f>
        <v>18</v>
      </c>
      <c r="U116">
        <v>18</v>
      </c>
      <c r="V116">
        <v>13</v>
      </c>
      <c r="W116">
        <v>28.3</v>
      </c>
    </row>
    <row r="117" spans="1:26" x14ac:dyDescent="0.2">
      <c r="A117" s="3">
        <v>42584</v>
      </c>
      <c r="B117">
        <v>113</v>
      </c>
      <c r="C117">
        <v>10</v>
      </c>
      <c r="D117" t="s">
        <v>27</v>
      </c>
      <c r="E117" t="s">
        <v>34</v>
      </c>
      <c r="F117" t="s">
        <v>123</v>
      </c>
      <c r="G117" t="s">
        <v>35</v>
      </c>
      <c r="H117" s="17">
        <v>50897</v>
      </c>
      <c r="I117" s="17">
        <v>50896</v>
      </c>
      <c r="J117" t="s">
        <v>63</v>
      </c>
      <c r="L117" t="s">
        <v>51</v>
      </c>
      <c r="M117" t="s">
        <v>495</v>
      </c>
      <c r="N117" t="s">
        <v>260</v>
      </c>
      <c r="O117">
        <v>1</v>
      </c>
      <c r="P117" t="s">
        <v>759</v>
      </c>
      <c r="Q117">
        <v>1</v>
      </c>
      <c r="R117" t="s">
        <v>759</v>
      </c>
      <c r="T117">
        <f>30-16</f>
        <v>14</v>
      </c>
      <c r="U117">
        <v>19</v>
      </c>
      <c r="V117">
        <v>12.9</v>
      </c>
      <c r="W117">
        <v>27.3</v>
      </c>
      <c r="X117" t="s">
        <v>145</v>
      </c>
    </row>
    <row r="118" spans="1:26" x14ac:dyDescent="0.2">
      <c r="A118" s="3">
        <v>42584</v>
      </c>
      <c r="B118">
        <v>402</v>
      </c>
      <c r="C118">
        <v>1</v>
      </c>
      <c r="D118" t="s">
        <v>52</v>
      </c>
      <c r="E118" t="s">
        <v>34</v>
      </c>
      <c r="F118" t="s">
        <v>29</v>
      </c>
      <c r="G118" t="s">
        <v>35</v>
      </c>
      <c r="I118" s="17">
        <v>50776</v>
      </c>
      <c r="J118" t="s">
        <v>39</v>
      </c>
      <c r="K118" t="s">
        <v>834</v>
      </c>
      <c r="L118" t="s">
        <v>51</v>
      </c>
      <c r="M118" t="s">
        <v>495</v>
      </c>
      <c r="N118" t="s">
        <v>260</v>
      </c>
      <c r="O118" t="s">
        <v>835</v>
      </c>
      <c r="Q118" t="s">
        <v>836</v>
      </c>
      <c r="R118" t="s">
        <v>837</v>
      </c>
      <c r="T118">
        <f>44-15</f>
        <v>29</v>
      </c>
      <c r="U118">
        <v>18</v>
      </c>
      <c r="V118">
        <v>13.1</v>
      </c>
      <c r="W118">
        <v>28.7</v>
      </c>
      <c r="Z118" t="s">
        <v>838</v>
      </c>
    </row>
    <row r="119" spans="1:26" x14ac:dyDescent="0.2">
      <c r="A119" s="3">
        <v>42584</v>
      </c>
      <c r="B119">
        <v>402</v>
      </c>
      <c r="C119">
        <v>2</v>
      </c>
      <c r="D119" t="s">
        <v>52</v>
      </c>
      <c r="E119" t="s">
        <v>34</v>
      </c>
      <c r="F119" t="s">
        <v>29</v>
      </c>
      <c r="G119" t="s">
        <v>30</v>
      </c>
      <c r="H119" s="17">
        <v>50889</v>
      </c>
      <c r="J119" t="s">
        <v>273</v>
      </c>
      <c r="K119" t="s">
        <v>839</v>
      </c>
      <c r="L119" t="s">
        <v>51</v>
      </c>
      <c r="M119" t="s">
        <v>495</v>
      </c>
      <c r="N119" t="s">
        <v>260</v>
      </c>
      <c r="O119" t="s">
        <v>841</v>
      </c>
      <c r="P119" t="s">
        <v>832</v>
      </c>
      <c r="Q119" t="s">
        <v>842</v>
      </c>
      <c r="R119" t="s">
        <v>837</v>
      </c>
      <c r="T119">
        <f>54-11</f>
        <v>43</v>
      </c>
      <c r="U119">
        <v>18</v>
      </c>
      <c r="V119">
        <v>12.9</v>
      </c>
      <c r="W119">
        <v>26.7</v>
      </c>
      <c r="Z119" t="s">
        <v>843</v>
      </c>
    </row>
    <row r="120" spans="1:26" x14ac:dyDescent="0.2">
      <c r="A120" s="3">
        <v>42584</v>
      </c>
      <c r="B120">
        <v>402</v>
      </c>
      <c r="C120">
        <v>5</v>
      </c>
      <c r="D120" t="s">
        <v>52</v>
      </c>
      <c r="E120" t="s">
        <v>34</v>
      </c>
      <c r="F120" t="s">
        <v>29</v>
      </c>
      <c r="G120" t="s">
        <v>30</v>
      </c>
      <c r="H120" s="17">
        <v>16350</v>
      </c>
      <c r="J120" t="s">
        <v>192</v>
      </c>
      <c r="L120" t="s">
        <v>51</v>
      </c>
      <c r="M120" t="s">
        <v>495</v>
      </c>
      <c r="N120" t="s">
        <v>260</v>
      </c>
      <c r="O120" t="s">
        <v>844</v>
      </c>
      <c r="P120" t="s">
        <v>837</v>
      </c>
      <c r="Q120" t="s">
        <v>844</v>
      </c>
      <c r="R120" t="s">
        <v>837</v>
      </c>
      <c r="T120">
        <f>40-13</f>
        <v>27</v>
      </c>
      <c r="U120">
        <v>18</v>
      </c>
      <c r="V120">
        <v>12.9</v>
      </c>
      <c r="W120">
        <v>28.5</v>
      </c>
      <c r="X120" t="s">
        <v>145</v>
      </c>
    </row>
    <row r="121" spans="1:26" x14ac:dyDescent="0.2">
      <c r="A121" s="3">
        <v>42584</v>
      </c>
      <c r="B121">
        <v>402</v>
      </c>
      <c r="C121">
        <v>10</v>
      </c>
      <c r="D121" t="s">
        <v>142</v>
      </c>
      <c r="E121" t="s">
        <v>34</v>
      </c>
      <c r="F121" t="s">
        <v>29</v>
      </c>
      <c r="G121" t="s">
        <v>35</v>
      </c>
      <c r="H121" s="17">
        <v>50898</v>
      </c>
      <c r="J121" t="s">
        <v>39</v>
      </c>
      <c r="L121" t="s">
        <v>51</v>
      </c>
      <c r="M121" t="s">
        <v>494</v>
      </c>
      <c r="N121" t="s">
        <v>145</v>
      </c>
      <c r="O121">
        <v>1</v>
      </c>
      <c r="P121" t="s">
        <v>759</v>
      </c>
      <c r="T121">
        <f>30-11</f>
        <v>19</v>
      </c>
      <c r="U121">
        <v>28</v>
      </c>
      <c r="V121">
        <v>13</v>
      </c>
      <c r="W121">
        <v>26.7</v>
      </c>
      <c r="Z121" t="s">
        <v>846</v>
      </c>
    </row>
    <row r="122" spans="1:26" x14ac:dyDescent="0.2">
      <c r="A122" s="3">
        <v>42584</v>
      </c>
      <c r="B122">
        <v>201</v>
      </c>
      <c r="C122">
        <v>1</v>
      </c>
      <c r="D122" t="s">
        <v>27</v>
      </c>
      <c r="E122" t="s">
        <v>28</v>
      </c>
      <c r="F122" t="s">
        <v>188</v>
      </c>
      <c r="G122" t="s">
        <v>30</v>
      </c>
      <c r="H122" s="17" t="s">
        <v>1138</v>
      </c>
      <c r="I122" s="17" t="s">
        <v>1139</v>
      </c>
      <c r="J122" t="s">
        <v>31</v>
      </c>
      <c r="L122" t="s">
        <v>51</v>
      </c>
      <c r="M122" t="s">
        <v>495</v>
      </c>
      <c r="N122" t="s">
        <v>260</v>
      </c>
      <c r="O122" t="s">
        <v>923</v>
      </c>
      <c r="P122" t="s">
        <v>759</v>
      </c>
      <c r="Q122">
        <v>2</v>
      </c>
      <c r="R122" t="s">
        <v>759</v>
      </c>
      <c r="T122">
        <f>31-12.5</f>
        <v>18.5</v>
      </c>
      <c r="U122">
        <v>17</v>
      </c>
      <c r="V122">
        <v>13.3</v>
      </c>
      <c r="W122">
        <v>27.8</v>
      </c>
      <c r="X122" t="s">
        <v>145</v>
      </c>
    </row>
    <row r="123" spans="1:26" x14ac:dyDescent="0.2">
      <c r="A123" s="3">
        <v>42584</v>
      </c>
      <c r="B123">
        <v>201</v>
      </c>
      <c r="C123">
        <v>4</v>
      </c>
      <c r="D123" t="s">
        <v>52</v>
      </c>
      <c r="E123" t="s">
        <v>34</v>
      </c>
      <c r="F123" t="s">
        <v>29</v>
      </c>
      <c r="G123" t="s">
        <v>30</v>
      </c>
      <c r="H123" s="17" t="s">
        <v>1140</v>
      </c>
      <c r="J123" t="s">
        <v>1141</v>
      </c>
      <c r="L123" t="s">
        <v>51</v>
      </c>
      <c r="M123" t="s">
        <v>495</v>
      </c>
      <c r="N123" t="s">
        <v>260</v>
      </c>
      <c r="O123" t="s">
        <v>844</v>
      </c>
      <c r="P123" t="s">
        <v>759</v>
      </c>
      <c r="Q123" t="s">
        <v>932</v>
      </c>
      <c r="R123" t="s">
        <v>759</v>
      </c>
      <c r="T123">
        <f>41.5-14.5</f>
        <v>27</v>
      </c>
      <c r="U123">
        <v>17</v>
      </c>
      <c r="V123">
        <v>13</v>
      </c>
      <c r="W123">
        <v>28.5</v>
      </c>
      <c r="X123" t="s">
        <v>145</v>
      </c>
    </row>
    <row r="124" spans="1:26" x14ac:dyDescent="0.2">
      <c r="A124" s="3">
        <v>42584</v>
      </c>
      <c r="B124">
        <v>201</v>
      </c>
      <c r="C124">
        <v>6</v>
      </c>
      <c r="D124" t="s">
        <v>27</v>
      </c>
      <c r="E124" t="s">
        <v>28</v>
      </c>
      <c r="F124" t="s">
        <v>188</v>
      </c>
      <c r="G124" t="s">
        <v>35</v>
      </c>
      <c r="H124" s="17" t="s">
        <v>1142</v>
      </c>
      <c r="I124" s="17" t="s">
        <v>1143</v>
      </c>
      <c r="J124" t="s">
        <v>39</v>
      </c>
      <c r="L124" t="s">
        <v>51</v>
      </c>
      <c r="M124" t="s">
        <v>493</v>
      </c>
      <c r="N124" t="s">
        <v>260</v>
      </c>
      <c r="Q124">
        <v>6</v>
      </c>
      <c r="R124" t="s">
        <v>759</v>
      </c>
      <c r="T124">
        <f>30-13</f>
        <v>17</v>
      </c>
      <c r="U124">
        <v>17</v>
      </c>
      <c r="V124">
        <v>13.1</v>
      </c>
      <c r="W124">
        <v>25.2</v>
      </c>
    </row>
    <row r="125" spans="1:26" x14ac:dyDescent="0.2">
      <c r="A125" s="3">
        <v>42584</v>
      </c>
      <c r="B125">
        <v>201</v>
      </c>
      <c r="C125">
        <v>9</v>
      </c>
      <c r="D125" t="s">
        <v>142</v>
      </c>
      <c r="E125" t="s">
        <v>28</v>
      </c>
      <c r="F125" t="s">
        <v>29</v>
      </c>
      <c r="G125" t="s">
        <v>35</v>
      </c>
      <c r="H125" s="17" t="s">
        <v>1144</v>
      </c>
      <c r="J125" t="s">
        <v>39</v>
      </c>
      <c r="L125" t="s">
        <v>51</v>
      </c>
      <c r="M125" t="s">
        <v>494</v>
      </c>
      <c r="N125" t="s">
        <v>145</v>
      </c>
      <c r="O125">
        <v>6</v>
      </c>
      <c r="P125" t="s">
        <v>759</v>
      </c>
      <c r="T125">
        <f>48.5-22.5</f>
        <v>26</v>
      </c>
      <c r="U125">
        <v>28</v>
      </c>
      <c r="V125">
        <v>13</v>
      </c>
      <c r="W125">
        <v>25.8</v>
      </c>
      <c r="X125" t="s">
        <v>145</v>
      </c>
    </row>
    <row r="126" spans="1:26" x14ac:dyDescent="0.2">
      <c r="A126" s="3">
        <v>42584</v>
      </c>
      <c r="B126">
        <v>203</v>
      </c>
      <c r="C126">
        <v>1</v>
      </c>
      <c r="D126" t="s">
        <v>27</v>
      </c>
      <c r="E126" t="s">
        <v>28</v>
      </c>
      <c r="F126" t="s">
        <v>188</v>
      </c>
      <c r="G126" t="s">
        <v>30</v>
      </c>
      <c r="H126" s="17" t="s">
        <v>1145</v>
      </c>
      <c r="I126" s="17" t="s">
        <v>1146</v>
      </c>
      <c r="J126" t="s">
        <v>31</v>
      </c>
      <c r="L126" t="s">
        <v>51</v>
      </c>
      <c r="M126" t="s">
        <v>494</v>
      </c>
      <c r="N126" t="s">
        <v>260</v>
      </c>
      <c r="O126">
        <v>6</v>
      </c>
      <c r="P126" t="s">
        <v>759</v>
      </c>
      <c r="T126">
        <f>31-14</f>
        <v>17</v>
      </c>
      <c r="U126">
        <v>18</v>
      </c>
      <c r="V126">
        <v>12.8</v>
      </c>
      <c r="W126">
        <v>25.3</v>
      </c>
    </row>
    <row r="127" spans="1:26" x14ac:dyDescent="0.2">
      <c r="A127" s="3">
        <v>42584</v>
      </c>
      <c r="B127">
        <v>203</v>
      </c>
      <c r="C127">
        <v>2</v>
      </c>
      <c r="D127" t="s">
        <v>27</v>
      </c>
      <c r="E127" t="s">
        <v>28</v>
      </c>
      <c r="F127" t="s">
        <v>188</v>
      </c>
      <c r="G127" t="s">
        <v>30</v>
      </c>
      <c r="H127" s="17" t="s">
        <v>1147</v>
      </c>
      <c r="I127" s="17" t="s">
        <v>1148</v>
      </c>
      <c r="J127" t="s">
        <v>91</v>
      </c>
      <c r="L127" t="s">
        <v>51</v>
      </c>
      <c r="M127" t="s">
        <v>494</v>
      </c>
      <c r="N127" t="s">
        <v>260</v>
      </c>
      <c r="O127">
        <v>6</v>
      </c>
      <c r="P127" t="s">
        <v>759</v>
      </c>
      <c r="T127">
        <f>34.5-15</f>
        <v>19.5</v>
      </c>
      <c r="U127">
        <v>17</v>
      </c>
      <c r="V127">
        <v>13.1</v>
      </c>
      <c r="W127">
        <v>25.5</v>
      </c>
    </row>
    <row r="128" spans="1:26" x14ac:dyDescent="0.2">
      <c r="A128" s="3">
        <v>42584</v>
      </c>
      <c r="B128">
        <v>203</v>
      </c>
      <c r="C128">
        <v>5</v>
      </c>
      <c r="D128" t="s">
        <v>142</v>
      </c>
      <c r="E128" t="s">
        <v>28</v>
      </c>
      <c r="F128" t="s">
        <v>29</v>
      </c>
      <c r="G128" t="s">
        <v>30</v>
      </c>
      <c r="H128" s="17" t="s">
        <v>333</v>
      </c>
      <c r="I128" s="17" t="s">
        <v>1149</v>
      </c>
      <c r="J128" t="s">
        <v>75</v>
      </c>
      <c r="K128" t="s">
        <v>848</v>
      </c>
      <c r="L128" t="s">
        <v>51</v>
      </c>
      <c r="M128" t="s">
        <v>493</v>
      </c>
      <c r="N128" t="s">
        <v>145</v>
      </c>
      <c r="Q128">
        <v>6</v>
      </c>
      <c r="R128" t="s">
        <v>759</v>
      </c>
      <c r="T128">
        <f>34-12.5</f>
        <v>21.5</v>
      </c>
      <c r="U128">
        <v>28.5</v>
      </c>
      <c r="V128">
        <v>12.5</v>
      </c>
      <c r="W128">
        <v>26.3</v>
      </c>
      <c r="X128" t="s">
        <v>145</v>
      </c>
    </row>
    <row r="129" spans="1:26" x14ac:dyDescent="0.2">
      <c r="A129" s="3">
        <v>42584</v>
      </c>
      <c r="B129">
        <v>203</v>
      </c>
      <c r="C129">
        <v>7</v>
      </c>
      <c r="D129" t="s">
        <v>52</v>
      </c>
      <c r="E129" t="s">
        <v>34</v>
      </c>
      <c r="F129" t="s">
        <v>123</v>
      </c>
      <c r="G129" t="s">
        <v>30</v>
      </c>
      <c r="H129" s="17" t="s">
        <v>1150</v>
      </c>
      <c r="J129" t="s">
        <v>31</v>
      </c>
      <c r="K129" t="s">
        <v>849</v>
      </c>
      <c r="L129" t="s">
        <v>51</v>
      </c>
      <c r="M129" t="s">
        <v>495</v>
      </c>
      <c r="N129" t="s">
        <v>260</v>
      </c>
      <c r="O129" t="s">
        <v>844</v>
      </c>
      <c r="P129" t="s">
        <v>759</v>
      </c>
      <c r="Q129" t="s">
        <v>844</v>
      </c>
      <c r="R129" t="s">
        <v>759</v>
      </c>
      <c r="T129">
        <f>31-14</f>
        <v>17</v>
      </c>
      <c r="U129">
        <v>17</v>
      </c>
      <c r="V129">
        <v>12.2</v>
      </c>
      <c r="W129">
        <v>25.6</v>
      </c>
      <c r="X129" t="s">
        <v>145</v>
      </c>
    </row>
    <row r="130" spans="1:26" x14ac:dyDescent="0.2">
      <c r="A130" s="3">
        <v>42584</v>
      </c>
      <c r="B130">
        <v>203</v>
      </c>
      <c r="C130">
        <v>10</v>
      </c>
      <c r="D130" t="s">
        <v>27</v>
      </c>
      <c r="E130" t="s">
        <v>28</v>
      </c>
      <c r="F130" t="s">
        <v>188</v>
      </c>
      <c r="G130" t="s">
        <v>30</v>
      </c>
      <c r="H130" s="17" t="s">
        <v>1151</v>
      </c>
      <c r="I130" s="17" t="s">
        <v>1152</v>
      </c>
      <c r="J130" t="s">
        <v>279</v>
      </c>
      <c r="L130" t="s">
        <v>51</v>
      </c>
      <c r="M130" t="s">
        <v>495</v>
      </c>
      <c r="N130" t="s">
        <v>260</v>
      </c>
      <c r="O130">
        <v>6</v>
      </c>
      <c r="P130" t="s">
        <v>759</v>
      </c>
      <c r="Q130">
        <v>1</v>
      </c>
      <c r="R130" t="s">
        <v>759</v>
      </c>
      <c r="T130">
        <f>35-14</f>
        <v>21</v>
      </c>
      <c r="U130">
        <v>20.5</v>
      </c>
      <c r="V130">
        <v>12.3</v>
      </c>
      <c r="W130">
        <v>24.7</v>
      </c>
    </row>
    <row r="131" spans="1:26" x14ac:dyDescent="0.2">
      <c r="A131" s="3">
        <v>42584</v>
      </c>
      <c r="B131">
        <v>202</v>
      </c>
      <c r="C131">
        <v>1</v>
      </c>
      <c r="D131" t="s">
        <v>27</v>
      </c>
      <c r="E131" t="s">
        <v>28</v>
      </c>
      <c r="F131" t="s">
        <v>188</v>
      </c>
      <c r="G131" t="s">
        <v>30</v>
      </c>
      <c r="H131" s="17" t="s">
        <v>1153</v>
      </c>
      <c r="I131" s="17" t="s">
        <v>1154</v>
      </c>
      <c r="J131" t="s">
        <v>94</v>
      </c>
      <c r="L131" t="s">
        <v>51</v>
      </c>
      <c r="M131" t="s">
        <v>493</v>
      </c>
      <c r="N131" t="s">
        <v>260</v>
      </c>
      <c r="Q131">
        <v>6</v>
      </c>
      <c r="R131" t="s">
        <v>759</v>
      </c>
      <c r="T131">
        <f>30-14</f>
        <v>16</v>
      </c>
      <c r="U131">
        <v>18</v>
      </c>
      <c r="V131">
        <v>12.3</v>
      </c>
      <c r="W131">
        <v>24.7</v>
      </c>
    </row>
    <row r="132" spans="1:26" x14ac:dyDescent="0.2">
      <c r="A132" s="3">
        <v>42584</v>
      </c>
      <c r="B132">
        <v>202</v>
      </c>
      <c r="C132">
        <v>5</v>
      </c>
      <c r="D132" t="s">
        <v>142</v>
      </c>
      <c r="E132" t="s">
        <v>34</v>
      </c>
      <c r="F132" t="s">
        <v>188</v>
      </c>
      <c r="G132" t="s">
        <v>35</v>
      </c>
      <c r="H132" s="17" t="s">
        <v>1155</v>
      </c>
      <c r="J132" t="s">
        <v>39</v>
      </c>
      <c r="K132" t="s">
        <v>850</v>
      </c>
      <c r="L132" t="s">
        <v>51</v>
      </c>
      <c r="M132" t="s">
        <v>495</v>
      </c>
      <c r="N132" t="s">
        <v>260</v>
      </c>
      <c r="O132">
        <v>5</v>
      </c>
      <c r="P132" t="s">
        <v>759</v>
      </c>
      <c r="Q132">
        <v>5</v>
      </c>
      <c r="R132" t="s">
        <v>759</v>
      </c>
      <c r="T132">
        <f>28.5-12.5</f>
        <v>16</v>
      </c>
      <c r="U132">
        <v>29</v>
      </c>
      <c r="V132">
        <v>12.25</v>
      </c>
      <c r="W132">
        <v>25</v>
      </c>
      <c r="X132" t="s">
        <v>145</v>
      </c>
    </row>
    <row r="133" spans="1:26" x14ac:dyDescent="0.2">
      <c r="A133" s="3">
        <v>42584</v>
      </c>
      <c r="B133">
        <v>304</v>
      </c>
      <c r="C133">
        <v>7</v>
      </c>
      <c r="D133" t="s">
        <v>27</v>
      </c>
      <c r="E133" t="s">
        <v>28</v>
      </c>
      <c r="F133" t="s">
        <v>188</v>
      </c>
      <c r="G133" t="s">
        <v>35</v>
      </c>
      <c r="H133" s="17" t="s">
        <v>1006</v>
      </c>
      <c r="I133" s="17" t="s">
        <v>1007</v>
      </c>
      <c r="J133" t="s">
        <v>63</v>
      </c>
      <c r="K133" t="s">
        <v>853</v>
      </c>
      <c r="L133" t="s">
        <v>51</v>
      </c>
      <c r="M133" t="s">
        <v>495</v>
      </c>
      <c r="N133" t="s">
        <v>260</v>
      </c>
      <c r="O133">
        <v>6</v>
      </c>
      <c r="P133" t="s">
        <v>759</v>
      </c>
      <c r="Q133" t="s">
        <v>1156</v>
      </c>
      <c r="R133" t="s">
        <v>759</v>
      </c>
      <c r="T133">
        <f>31-13</f>
        <v>18</v>
      </c>
      <c r="U133">
        <v>20</v>
      </c>
      <c r="V133">
        <v>13.2</v>
      </c>
      <c r="W133">
        <v>26.5</v>
      </c>
    </row>
    <row r="134" spans="1:26" x14ac:dyDescent="0.2">
      <c r="A134" s="3">
        <v>42584</v>
      </c>
      <c r="B134">
        <v>304</v>
      </c>
      <c r="C134">
        <v>3</v>
      </c>
      <c r="D134" t="s">
        <v>52</v>
      </c>
      <c r="E134" t="s">
        <v>34</v>
      </c>
      <c r="F134" t="s">
        <v>123</v>
      </c>
      <c r="G134" t="s">
        <v>30</v>
      </c>
      <c r="H134" s="17" t="s">
        <v>1157</v>
      </c>
      <c r="J134" t="s">
        <v>31</v>
      </c>
      <c r="K134" t="s">
        <v>854</v>
      </c>
      <c r="L134" t="s">
        <v>51</v>
      </c>
      <c r="M134" t="s">
        <v>495</v>
      </c>
      <c r="N134" t="s">
        <v>260</v>
      </c>
      <c r="O134" t="s">
        <v>844</v>
      </c>
      <c r="P134" t="s">
        <v>832</v>
      </c>
      <c r="Q134" t="s">
        <v>844</v>
      </c>
      <c r="R134" t="s">
        <v>832</v>
      </c>
      <c r="T134">
        <f>34-14</f>
        <v>20</v>
      </c>
      <c r="U134">
        <v>17</v>
      </c>
      <c r="V134">
        <v>12.5</v>
      </c>
      <c r="W134">
        <v>24.5</v>
      </c>
      <c r="X134" t="s">
        <v>145</v>
      </c>
    </row>
    <row r="135" spans="1:26" x14ac:dyDescent="0.2">
      <c r="A135" s="3">
        <v>42584</v>
      </c>
      <c r="B135">
        <v>304</v>
      </c>
      <c r="C135">
        <v>2</v>
      </c>
      <c r="D135" t="s">
        <v>52</v>
      </c>
      <c r="E135" t="s">
        <v>34</v>
      </c>
      <c r="F135" t="s">
        <v>29</v>
      </c>
      <c r="G135" t="s">
        <v>35</v>
      </c>
      <c r="H135" s="17" t="s">
        <v>1158</v>
      </c>
      <c r="J135" t="s">
        <v>39</v>
      </c>
      <c r="K135" t="s">
        <v>855</v>
      </c>
      <c r="L135" t="s">
        <v>51</v>
      </c>
      <c r="M135" t="s">
        <v>495</v>
      </c>
      <c r="N135" t="s">
        <v>260</v>
      </c>
      <c r="O135" t="s">
        <v>1159</v>
      </c>
      <c r="P135" t="s">
        <v>837</v>
      </c>
      <c r="Q135" t="s">
        <v>1160</v>
      </c>
      <c r="R135" t="s">
        <v>837</v>
      </c>
      <c r="U135">
        <v>18</v>
      </c>
      <c r="V135">
        <v>13.2</v>
      </c>
      <c r="W135">
        <v>26.4</v>
      </c>
      <c r="X135" t="s">
        <v>145</v>
      </c>
    </row>
    <row r="136" spans="1:26" x14ac:dyDescent="0.2">
      <c r="A136" s="3">
        <v>42584</v>
      </c>
      <c r="B136">
        <v>201</v>
      </c>
      <c r="C136">
        <v>1</v>
      </c>
      <c r="D136" t="s">
        <v>27</v>
      </c>
      <c r="E136" t="s">
        <v>28</v>
      </c>
      <c r="F136" t="s">
        <v>188</v>
      </c>
      <c r="G136" t="s">
        <v>30</v>
      </c>
      <c r="H136" s="17" t="s">
        <v>1138</v>
      </c>
      <c r="I136" s="17" t="s">
        <v>1139</v>
      </c>
      <c r="J136" t="s">
        <v>31</v>
      </c>
      <c r="L136" t="s">
        <v>51</v>
      </c>
      <c r="M136" t="s">
        <v>495</v>
      </c>
      <c r="N136" t="s">
        <v>260</v>
      </c>
      <c r="O136" t="s">
        <v>923</v>
      </c>
      <c r="P136" t="s">
        <v>759</v>
      </c>
      <c r="Q136">
        <v>2</v>
      </c>
      <c r="R136" t="s">
        <v>759</v>
      </c>
      <c r="T136">
        <f>31-12.5</f>
        <v>18.5</v>
      </c>
      <c r="U136">
        <v>17</v>
      </c>
      <c r="V136">
        <v>13.3</v>
      </c>
      <c r="W136">
        <v>27.8</v>
      </c>
      <c r="X136" t="s">
        <v>145</v>
      </c>
    </row>
    <row r="137" spans="1:26" x14ac:dyDescent="0.2">
      <c r="A137" s="3">
        <v>42584</v>
      </c>
      <c r="B137">
        <v>201</v>
      </c>
      <c r="C137">
        <v>4</v>
      </c>
      <c r="D137" t="s">
        <v>52</v>
      </c>
      <c r="E137" t="s">
        <v>34</v>
      </c>
      <c r="F137" t="s">
        <v>29</v>
      </c>
      <c r="G137" t="s">
        <v>30</v>
      </c>
      <c r="H137" s="17" t="s">
        <v>1140</v>
      </c>
      <c r="J137" t="s">
        <v>167</v>
      </c>
      <c r="L137" t="s">
        <v>51</v>
      </c>
      <c r="M137" t="s">
        <v>495</v>
      </c>
      <c r="N137" t="s">
        <v>260</v>
      </c>
      <c r="O137" t="s">
        <v>844</v>
      </c>
      <c r="P137" t="s">
        <v>759</v>
      </c>
      <c r="Q137" t="s">
        <v>932</v>
      </c>
      <c r="R137" t="s">
        <v>759</v>
      </c>
      <c r="T137">
        <f>41.5-14.5</f>
        <v>27</v>
      </c>
      <c r="U137">
        <v>17</v>
      </c>
      <c r="V137">
        <v>13</v>
      </c>
      <c r="W137">
        <v>28.5</v>
      </c>
      <c r="X137" t="s">
        <v>145</v>
      </c>
    </row>
    <row r="138" spans="1:26" x14ac:dyDescent="0.2">
      <c r="A138" s="3">
        <v>42584</v>
      </c>
      <c r="B138">
        <v>201</v>
      </c>
      <c r="C138">
        <v>6</v>
      </c>
      <c r="D138" t="s">
        <v>27</v>
      </c>
      <c r="E138" t="s">
        <v>28</v>
      </c>
      <c r="F138" t="s">
        <v>188</v>
      </c>
      <c r="G138" t="s">
        <v>35</v>
      </c>
      <c r="H138" s="17" t="s">
        <v>1142</v>
      </c>
      <c r="I138" s="17" t="s">
        <v>1143</v>
      </c>
      <c r="J138" t="s">
        <v>39</v>
      </c>
      <c r="L138" t="s">
        <v>51</v>
      </c>
      <c r="M138" t="s">
        <v>493</v>
      </c>
      <c r="N138" t="s">
        <v>260</v>
      </c>
      <c r="Q138">
        <v>6</v>
      </c>
      <c r="R138" t="s">
        <v>759</v>
      </c>
      <c r="T138">
        <f>30-13</f>
        <v>17</v>
      </c>
      <c r="U138">
        <v>17</v>
      </c>
      <c r="V138">
        <v>13.1</v>
      </c>
      <c r="W138">
        <v>25.2</v>
      </c>
    </row>
    <row r="139" spans="1:26" x14ac:dyDescent="0.2">
      <c r="A139" s="3">
        <v>42584</v>
      </c>
      <c r="B139">
        <v>201</v>
      </c>
      <c r="C139">
        <v>9</v>
      </c>
      <c r="D139" t="s">
        <v>142</v>
      </c>
      <c r="E139" t="s">
        <v>34</v>
      </c>
      <c r="F139" t="s">
        <v>29</v>
      </c>
      <c r="G139" t="s">
        <v>35</v>
      </c>
      <c r="H139" s="17" t="s">
        <v>1144</v>
      </c>
      <c r="J139" t="s">
        <v>39</v>
      </c>
      <c r="L139" t="s">
        <v>51</v>
      </c>
      <c r="M139" t="s">
        <v>494</v>
      </c>
      <c r="N139" t="s">
        <v>145</v>
      </c>
      <c r="O139">
        <v>6</v>
      </c>
      <c r="T139">
        <f>48.5-22.5</f>
        <v>26</v>
      </c>
      <c r="U139">
        <v>28</v>
      </c>
      <c r="V139">
        <v>13</v>
      </c>
      <c r="W139">
        <v>25.8</v>
      </c>
      <c r="X139" t="s">
        <v>145</v>
      </c>
    </row>
    <row r="140" spans="1:26" x14ac:dyDescent="0.2">
      <c r="A140" s="3">
        <v>42584</v>
      </c>
      <c r="B140">
        <v>203</v>
      </c>
      <c r="C140">
        <v>1</v>
      </c>
      <c r="D140" t="s">
        <v>27</v>
      </c>
      <c r="E140" t="s">
        <v>45</v>
      </c>
      <c r="F140" t="s">
        <v>188</v>
      </c>
      <c r="G140" t="s">
        <v>30</v>
      </c>
      <c r="H140" s="17" t="s">
        <v>1145</v>
      </c>
      <c r="I140" s="17" t="s">
        <v>1146</v>
      </c>
      <c r="J140" t="s">
        <v>31</v>
      </c>
      <c r="L140" t="s">
        <v>51</v>
      </c>
      <c r="M140" t="s">
        <v>494</v>
      </c>
      <c r="N140" t="s">
        <v>1302</v>
      </c>
      <c r="O140">
        <v>6</v>
      </c>
      <c r="P140" t="s">
        <v>759</v>
      </c>
      <c r="T140">
        <f>31-14</f>
        <v>17</v>
      </c>
      <c r="U140">
        <v>18</v>
      </c>
      <c r="V140">
        <v>12.8</v>
      </c>
      <c r="W140">
        <v>25.3</v>
      </c>
      <c r="Z140" t="s">
        <v>1303</v>
      </c>
    </row>
    <row r="141" spans="1:26" x14ac:dyDescent="0.2">
      <c r="A141" s="3">
        <v>42584</v>
      </c>
      <c r="B141">
        <v>203</v>
      </c>
      <c r="C141">
        <v>2</v>
      </c>
      <c r="D141" t="s">
        <v>27</v>
      </c>
      <c r="E141" t="s">
        <v>45</v>
      </c>
      <c r="F141" t="s">
        <v>188</v>
      </c>
      <c r="G141" t="s">
        <v>30</v>
      </c>
      <c r="H141" s="17" t="s">
        <v>1147</v>
      </c>
      <c r="I141" s="17" t="s">
        <v>1148</v>
      </c>
      <c r="J141" t="s">
        <v>91</v>
      </c>
      <c r="L141" t="s">
        <v>51</v>
      </c>
      <c r="M141" t="s">
        <v>494</v>
      </c>
      <c r="N141" t="s">
        <v>1302</v>
      </c>
      <c r="O141">
        <v>6</v>
      </c>
      <c r="P141" t="s">
        <v>759</v>
      </c>
      <c r="T141">
        <f>34.5-15</f>
        <v>19.5</v>
      </c>
      <c r="U141">
        <v>17</v>
      </c>
      <c r="V141">
        <v>13.1</v>
      </c>
      <c r="W141">
        <v>25.5</v>
      </c>
      <c r="Z141" t="s">
        <v>1303</v>
      </c>
    </row>
    <row r="142" spans="1:26" x14ac:dyDescent="0.2">
      <c r="A142" s="3">
        <v>42584</v>
      </c>
      <c r="B142">
        <v>203</v>
      </c>
      <c r="C142">
        <v>5</v>
      </c>
      <c r="D142" t="s">
        <v>142</v>
      </c>
      <c r="E142" t="s">
        <v>28</v>
      </c>
      <c r="F142" t="s">
        <v>29</v>
      </c>
      <c r="G142" t="s">
        <v>30</v>
      </c>
      <c r="H142" s="17" t="s">
        <v>333</v>
      </c>
      <c r="I142" s="17" t="s">
        <v>1149</v>
      </c>
      <c r="J142" t="s">
        <v>75</v>
      </c>
      <c r="K142" t="s">
        <v>848</v>
      </c>
      <c r="L142" t="s">
        <v>51</v>
      </c>
      <c r="M142" t="s">
        <v>493</v>
      </c>
      <c r="N142" t="s">
        <v>145</v>
      </c>
      <c r="Q142">
        <v>6</v>
      </c>
      <c r="R142" t="s">
        <v>759</v>
      </c>
      <c r="T142">
        <f>34-12.5</f>
        <v>21.5</v>
      </c>
      <c r="U142">
        <v>28.5</v>
      </c>
      <c r="V142">
        <v>12.5</v>
      </c>
      <c r="W142">
        <v>26.3</v>
      </c>
      <c r="X142" t="s">
        <v>145</v>
      </c>
    </row>
    <row r="143" spans="1:26" x14ac:dyDescent="0.2">
      <c r="A143" s="3">
        <v>42584</v>
      </c>
      <c r="B143">
        <v>203</v>
      </c>
      <c r="C143">
        <v>7</v>
      </c>
      <c r="D143" t="s">
        <v>52</v>
      </c>
      <c r="E143" t="s">
        <v>34</v>
      </c>
      <c r="F143" t="s">
        <v>123</v>
      </c>
      <c r="G143" t="s">
        <v>30</v>
      </c>
      <c r="H143" s="17" t="s">
        <v>1150</v>
      </c>
      <c r="J143" t="s">
        <v>31</v>
      </c>
      <c r="K143" t="s">
        <v>849</v>
      </c>
      <c r="L143" t="s">
        <v>51</v>
      </c>
      <c r="M143" t="s">
        <v>495</v>
      </c>
      <c r="N143" t="s">
        <v>260</v>
      </c>
      <c r="O143" t="s">
        <v>844</v>
      </c>
      <c r="P143" t="s">
        <v>759</v>
      </c>
      <c r="Q143" t="s">
        <v>844</v>
      </c>
      <c r="R143" t="s">
        <v>759</v>
      </c>
      <c r="T143">
        <f>31-14</f>
        <v>17</v>
      </c>
      <c r="U143">
        <v>17.5</v>
      </c>
      <c r="V143">
        <v>12.2</v>
      </c>
      <c r="W143">
        <v>25.6</v>
      </c>
      <c r="X143" t="s">
        <v>145</v>
      </c>
    </row>
    <row r="144" spans="1:26" x14ac:dyDescent="0.2">
      <c r="A144" s="3">
        <v>42584</v>
      </c>
      <c r="B144">
        <v>203</v>
      </c>
      <c r="C144">
        <v>10</v>
      </c>
      <c r="D144" t="s">
        <v>27</v>
      </c>
      <c r="E144" t="s">
        <v>28</v>
      </c>
      <c r="F144" t="s">
        <v>188</v>
      </c>
      <c r="G144" t="s">
        <v>30</v>
      </c>
      <c r="H144" s="17" t="s">
        <v>1151</v>
      </c>
      <c r="I144" s="17" t="s">
        <v>1152</v>
      </c>
      <c r="J144" t="s">
        <v>273</v>
      </c>
      <c r="L144" t="s">
        <v>51</v>
      </c>
      <c r="M144" t="s">
        <v>495</v>
      </c>
      <c r="N144" t="s">
        <v>260</v>
      </c>
      <c r="O144">
        <v>6</v>
      </c>
      <c r="P144" t="s">
        <v>759</v>
      </c>
      <c r="Q144">
        <v>1</v>
      </c>
      <c r="R144" t="s">
        <v>759</v>
      </c>
      <c r="T144">
        <f>35-14</f>
        <v>21</v>
      </c>
      <c r="U144">
        <v>20.5</v>
      </c>
      <c r="V144">
        <v>13.2</v>
      </c>
      <c r="W144">
        <v>29</v>
      </c>
    </row>
    <row r="145" spans="1:26" x14ac:dyDescent="0.2">
      <c r="A145" s="3">
        <v>42584</v>
      </c>
      <c r="B145">
        <v>202</v>
      </c>
      <c r="C145">
        <v>1</v>
      </c>
      <c r="D145" t="s">
        <v>27</v>
      </c>
      <c r="E145" t="s">
        <v>28</v>
      </c>
      <c r="F145" t="s">
        <v>188</v>
      </c>
      <c r="G145" t="s">
        <v>30</v>
      </c>
      <c r="H145" s="17" t="s">
        <v>1153</v>
      </c>
      <c r="I145" s="17" t="s">
        <v>1154</v>
      </c>
      <c r="J145" t="s">
        <v>94</v>
      </c>
      <c r="L145" t="s">
        <v>51</v>
      </c>
      <c r="M145" t="s">
        <v>493</v>
      </c>
      <c r="N145" t="s">
        <v>260</v>
      </c>
      <c r="Q145">
        <v>6</v>
      </c>
      <c r="R145" t="s">
        <v>759</v>
      </c>
      <c r="T145">
        <f>30-14</f>
        <v>16</v>
      </c>
      <c r="U145">
        <v>18</v>
      </c>
      <c r="V145">
        <v>12.3</v>
      </c>
      <c r="W145">
        <v>26.4</v>
      </c>
    </row>
    <row r="146" spans="1:26" x14ac:dyDescent="0.2">
      <c r="A146" s="3">
        <v>42584</v>
      </c>
      <c r="B146">
        <v>202</v>
      </c>
      <c r="C146">
        <v>5</v>
      </c>
      <c r="D146" t="s">
        <v>142</v>
      </c>
      <c r="E146" t="s">
        <v>34</v>
      </c>
      <c r="F146" t="s">
        <v>188</v>
      </c>
      <c r="G146" t="s">
        <v>35</v>
      </c>
      <c r="H146" s="17" t="s">
        <v>1155</v>
      </c>
      <c r="J146" t="s">
        <v>39</v>
      </c>
      <c r="K146" t="s">
        <v>850</v>
      </c>
      <c r="L146" t="s">
        <v>51</v>
      </c>
      <c r="M146" t="s">
        <v>495</v>
      </c>
      <c r="N146" t="s">
        <v>260</v>
      </c>
      <c r="O146">
        <v>5</v>
      </c>
      <c r="P146" t="s">
        <v>759</v>
      </c>
      <c r="Q146">
        <v>5</v>
      </c>
      <c r="R146" t="s">
        <v>759</v>
      </c>
      <c r="T146">
        <f>28.5-12.5</f>
        <v>16</v>
      </c>
      <c r="U146">
        <v>29</v>
      </c>
      <c r="V146">
        <v>12.25</v>
      </c>
      <c r="W146">
        <v>25</v>
      </c>
      <c r="X146" t="s">
        <v>1302</v>
      </c>
      <c r="Z146" t="s">
        <v>1304</v>
      </c>
    </row>
    <row r="147" spans="1:26" x14ac:dyDescent="0.2">
      <c r="A147" s="3">
        <v>42584</v>
      </c>
      <c r="B147">
        <v>304</v>
      </c>
      <c r="C147">
        <v>9</v>
      </c>
      <c r="D147" t="s">
        <v>52</v>
      </c>
      <c r="E147" t="s">
        <v>34</v>
      </c>
      <c r="F147" t="s">
        <v>123</v>
      </c>
      <c r="G147" t="s">
        <v>30</v>
      </c>
      <c r="H147" s="17" t="s">
        <v>1305</v>
      </c>
      <c r="J147" t="s">
        <v>31</v>
      </c>
      <c r="K147" t="s">
        <v>851</v>
      </c>
      <c r="L147" t="s">
        <v>51</v>
      </c>
      <c r="M147" t="s">
        <v>495</v>
      </c>
      <c r="N147" t="s">
        <v>260</v>
      </c>
      <c r="O147" t="s">
        <v>932</v>
      </c>
      <c r="P147" t="s">
        <v>832</v>
      </c>
      <c r="Q147">
        <v>2</v>
      </c>
      <c r="R147" t="s">
        <v>832</v>
      </c>
      <c r="T147">
        <v>13</v>
      </c>
      <c r="U147">
        <v>15</v>
      </c>
      <c r="V147">
        <v>11.8</v>
      </c>
      <c r="W147">
        <v>26</v>
      </c>
      <c r="X147" t="s">
        <v>145</v>
      </c>
    </row>
    <row r="148" spans="1:26" x14ac:dyDescent="0.2">
      <c r="A148" s="3">
        <v>42584</v>
      </c>
      <c r="B148">
        <v>304</v>
      </c>
      <c r="C148">
        <v>7</v>
      </c>
      <c r="D148" t="s">
        <v>27</v>
      </c>
      <c r="E148" t="s">
        <v>28</v>
      </c>
      <c r="F148" t="s">
        <v>188</v>
      </c>
      <c r="G148" t="s">
        <v>35</v>
      </c>
      <c r="H148" s="17" t="s">
        <v>1006</v>
      </c>
      <c r="I148" s="17" t="s">
        <v>1007</v>
      </c>
      <c r="J148" t="s">
        <v>63</v>
      </c>
      <c r="K148" t="s">
        <v>853</v>
      </c>
      <c r="L148" t="s">
        <v>51</v>
      </c>
      <c r="M148" t="s">
        <v>495</v>
      </c>
      <c r="N148" t="s">
        <v>260</v>
      </c>
      <c r="O148">
        <v>6</v>
      </c>
      <c r="P148" t="s">
        <v>759</v>
      </c>
      <c r="Q148" t="s">
        <v>1156</v>
      </c>
      <c r="R148" t="s">
        <v>759</v>
      </c>
      <c r="T148">
        <f>31-13</f>
        <v>18</v>
      </c>
      <c r="U148">
        <v>20</v>
      </c>
      <c r="V148">
        <v>13.2</v>
      </c>
      <c r="W148">
        <v>26.5</v>
      </c>
    </row>
    <row r="149" spans="1:26" x14ac:dyDescent="0.2">
      <c r="A149" s="3">
        <v>42584</v>
      </c>
      <c r="B149">
        <v>304</v>
      </c>
      <c r="C149">
        <v>3</v>
      </c>
      <c r="D149" t="s">
        <v>52</v>
      </c>
      <c r="E149" t="s">
        <v>34</v>
      </c>
      <c r="F149" t="s">
        <v>123</v>
      </c>
      <c r="G149" t="s">
        <v>30</v>
      </c>
      <c r="H149" s="17" t="s">
        <v>1157</v>
      </c>
      <c r="J149" t="s">
        <v>31</v>
      </c>
      <c r="K149" t="s">
        <v>854</v>
      </c>
      <c r="L149" t="s">
        <v>51</v>
      </c>
      <c r="M149" t="s">
        <v>495</v>
      </c>
      <c r="N149" t="s">
        <v>260</v>
      </c>
      <c r="O149" t="s">
        <v>844</v>
      </c>
      <c r="P149" t="s">
        <v>832</v>
      </c>
      <c r="Q149" t="s">
        <v>844</v>
      </c>
      <c r="R149" t="s">
        <v>832</v>
      </c>
      <c r="T149">
        <f>34-14</f>
        <v>20</v>
      </c>
      <c r="U149">
        <v>17</v>
      </c>
      <c r="V149">
        <v>12.5</v>
      </c>
      <c r="W149">
        <v>24.5</v>
      </c>
      <c r="X149" t="s">
        <v>145</v>
      </c>
    </row>
    <row r="150" spans="1:26" x14ac:dyDescent="0.2">
      <c r="A150" s="3">
        <v>42584</v>
      </c>
      <c r="B150">
        <v>304</v>
      </c>
      <c r="C150">
        <v>2</v>
      </c>
      <c r="D150" t="s">
        <v>52</v>
      </c>
      <c r="E150" t="s">
        <v>34</v>
      </c>
      <c r="F150" t="s">
        <v>29</v>
      </c>
      <c r="G150" t="s">
        <v>35</v>
      </c>
      <c r="H150" s="17" t="s">
        <v>1158</v>
      </c>
      <c r="J150" t="s">
        <v>39</v>
      </c>
      <c r="K150" t="s">
        <v>855</v>
      </c>
      <c r="L150" t="s">
        <v>51</v>
      </c>
      <c r="M150" t="s">
        <v>495</v>
      </c>
      <c r="N150" t="s">
        <v>260</v>
      </c>
      <c r="O150" t="s">
        <v>1159</v>
      </c>
      <c r="P150" t="s">
        <v>837</v>
      </c>
      <c r="Q150" t="s">
        <v>1160</v>
      </c>
      <c r="R150" t="s">
        <v>837</v>
      </c>
      <c r="U150">
        <v>18</v>
      </c>
      <c r="V150">
        <v>13.2</v>
      </c>
      <c r="W150">
        <v>26.4</v>
      </c>
      <c r="X150" t="s">
        <v>145</v>
      </c>
      <c r="Z150" t="s">
        <v>1306</v>
      </c>
    </row>
    <row r="151" spans="1:26" x14ac:dyDescent="0.2">
      <c r="A151" s="3">
        <v>42585</v>
      </c>
      <c r="B151">
        <v>112</v>
      </c>
      <c r="C151">
        <v>2</v>
      </c>
      <c r="D151" t="s">
        <v>142</v>
      </c>
      <c r="E151" t="s">
        <v>34</v>
      </c>
      <c r="F151" t="s">
        <v>29</v>
      </c>
      <c r="G151" t="s">
        <v>35</v>
      </c>
      <c r="H151" s="17" t="s">
        <v>913</v>
      </c>
      <c r="J151" t="s">
        <v>39</v>
      </c>
      <c r="L151" t="s">
        <v>51</v>
      </c>
      <c r="M151" t="s">
        <v>495</v>
      </c>
      <c r="N151" t="s">
        <v>260</v>
      </c>
      <c r="O151">
        <v>1</v>
      </c>
      <c r="P151" t="s">
        <v>832</v>
      </c>
      <c r="Q151">
        <v>1</v>
      </c>
      <c r="R151" t="s">
        <v>832</v>
      </c>
      <c r="T151">
        <f>24-4.5</f>
        <v>19.5</v>
      </c>
      <c r="U151">
        <v>29</v>
      </c>
      <c r="V151">
        <v>13</v>
      </c>
      <c r="W151">
        <v>25.5</v>
      </c>
    </row>
    <row r="152" spans="1:26" x14ac:dyDescent="0.2">
      <c r="A152" s="3">
        <v>42585</v>
      </c>
      <c r="B152">
        <v>112</v>
      </c>
      <c r="C152">
        <v>4</v>
      </c>
      <c r="D152" t="s">
        <v>142</v>
      </c>
      <c r="E152" t="s">
        <v>34</v>
      </c>
      <c r="F152" t="s">
        <v>188</v>
      </c>
      <c r="G152" t="s">
        <v>35</v>
      </c>
      <c r="H152" s="17" t="s">
        <v>916</v>
      </c>
      <c r="J152" t="s">
        <v>63</v>
      </c>
      <c r="L152" t="s">
        <v>51</v>
      </c>
      <c r="M152" t="s">
        <v>495</v>
      </c>
      <c r="N152" t="s">
        <v>260</v>
      </c>
      <c r="O152">
        <v>5</v>
      </c>
      <c r="P152" t="s">
        <v>759</v>
      </c>
      <c r="Q152">
        <v>1</v>
      </c>
      <c r="R152" t="s">
        <v>759</v>
      </c>
      <c r="T152">
        <f>20.5-4</f>
        <v>16.5</v>
      </c>
      <c r="U152">
        <v>28</v>
      </c>
      <c r="V152">
        <v>12.8</v>
      </c>
    </row>
    <row r="153" spans="1:26" x14ac:dyDescent="0.2">
      <c r="A153" s="3">
        <v>42585</v>
      </c>
      <c r="B153">
        <v>112</v>
      </c>
      <c r="C153">
        <v>5</v>
      </c>
      <c r="D153" t="s">
        <v>27</v>
      </c>
      <c r="E153" t="s">
        <v>28</v>
      </c>
      <c r="F153" t="s">
        <v>188</v>
      </c>
      <c r="G153" t="s">
        <v>35</v>
      </c>
      <c r="H153" s="17">
        <v>50574</v>
      </c>
      <c r="I153" s="17">
        <v>50573</v>
      </c>
      <c r="J153" t="s">
        <v>63</v>
      </c>
      <c r="L153" t="s">
        <v>51</v>
      </c>
      <c r="M153" t="s">
        <v>494</v>
      </c>
      <c r="N153" t="s">
        <v>260</v>
      </c>
      <c r="O153">
        <v>6</v>
      </c>
      <c r="P153" t="s">
        <v>759</v>
      </c>
      <c r="T153">
        <f>21-4</f>
        <v>17</v>
      </c>
      <c r="U153">
        <v>19</v>
      </c>
      <c r="V153">
        <v>13</v>
      </c>
      <c r="W153">
        <v>27.3</v>
      </c>
    </row>
    <row r="154" spans="1:26" x14ac:dyDescent="0.2">
      <c r="A154" s="3">
        <v>42585</v>
      </c>
      <c r="B154">
        <v>112</v>
      </c>
      <c r="C154">
        <v>6</v>
      </c>
      <c r="D154" t="s">
        <v>27</v>
      </c>
      <c r="E154" t="s">
        <v>28</v>
      </c>
      <c r="F154" t="s">
        <v>29</v>
      </c>
      <c r="G154" t="s">
        <v>30</v>
      </c>
      <c r="H154" s="17">
        <v>50956</v>
      </c>
      <c r="I154" s="17">
        <v>50955</v>
      </c>
      <c r="J154" t="s">
        <v>83</v>
      </c>
      <c r="L154" t="s">
        <v>51</v>
      </c>
      <c r="M154" t="s">
        <v>493</v>
      </c>
      <c r="N154" t="s">
        <v>260</v>
      </c>
      <c r="Q154">
        <v>6</v>
      </c>
      <c r="R154" t="s">
        <v>759</v>
      </c>
      <c r="T154">
        <v>20</v>
      </c>
      <c r="U154">
        <v>19</v>
      </c>
      <c r="V154">
        <v>12.8</v>
      </c>
      <c r="W154">
        <v>27.2</v>
      </c>
    </row>
    <row r="155" spans="1:26" x14ac:dyDescent="0.2">
      <c r="A155" s="3">
        <v>42585</v>
      </c>
      <c r="B155">
        <v>112</v>
      </c>
      <c r="C155">
        <v>9</v>
      </c>
      <c r="D155" t="s">
        <v>142</v>
      </c>
      <c r="E155" t="s">
        <v>34</v>
      </c>
      <c r="F155" t="s">
        <v>29</v>
      </c>
      <c r="G155" t="s">
        <v>35</v>
      </c>
      <c r="H155" s="17" t="s">
        <v>922</v>
      </c>
      <c r="J155" t="s">
        <v>39</v>
      </c>
      <c r="L155" t="s">
        <v>51</v>
      </c>
      <c r="M155" t="s">
        <v>495</v>
      </c>
      <c r="N155" t="s">
        <v>260</v>
      </c>
      <c r="O155">
        <v>1</v>
      </c>
      <c r="P155" t="s">
        <v>759</v>
      </c>
      <c r="Q155">
        <v>1</v>
      </c>
      <c r="R155" t="s">
        <v>759</v>
      </c>
      <c r="T155">
        <f>22.5-4</f>
        <v>18.5</v>
      </c>
      <c r="U155">
        <v>30</v>
      </c>
      <c r="V155">
        <v>12.8</v>
      </c>
      <c r="W155">
        <v>26.9</v>
      </c>
    </row>
    <row r="156" spans="1:26" x14ac:dyDescent="0.2">
      <c r="A156" s="3">
        <v>42585</v>
      </c>
      <c r="B156">
        <v>112</v>
      </c>
      <c r="C156">
        <v>10</v>
      </c>
      <c r="D156" t="s">
        <v>27</v>
      </c>
      <c r="E156" t="s">
        <v>28</v>
      </c>
      <c r="F156" t="s">
        <v>29</v>
      </c>
      <c r="G156" t="s">
        <v>35</v>
      </c>
      <c r="H156" s="17">
        <v>50595</v>
      </c>
      <c r="I156" s="17">
        <v>50594</v>
      </c>
      <c r="J156" t="s">
        <v>39</v>
      </c>
      <c r="L156" t="s">
        <v>51</v>
      </c>
      <c r="M156" t="s">
        <v>495</v>
      </c>
      <c r="N156" t="s">
        <v>260</v>
      </c>
      <c r="O156" t="s">
        <v>923</v>
      </c>
      <c r="P156" t="s">
        <v>759</v>
      </c>
      <c r="Q156" t="s">
        <v>924</v>
      </c>
      <c r="R156" t="s">
        <v>759</v>
      </c>
      <c r="T156">
        <f>23.5-4</f>
        <v>19.5</v>
      </c>
      <c r="U156">
        <v>19</v>
      </c>
      <c r="V156">
        <v>12.7</v>
      </c>
      <c r="W156">
        <v>26.6</v>
      </c>
    </row>
    <row r="157" spans="1:26" x14ac:dyDescent="0.2">
      <c r="A157" s="3">
        <v>42585</v>
      </c>
      <c r="B157">
        <v>113</v>
      </c>
      <c r="C157">
        <v>4</v>
      </c>
      <c r="D157" t="s">
        <v>27</v>
      </c>
      <c r="E157" t="s">
        <v>28</v>
      </c>
      <c r="F157" t="s">
        <v>188</v>
      </c>
      <c r="G157" t="s">
        <v>35</v>
      </c>
      <c r="H157" s="17">
        <v>50825</v>
      </c>
      <c r="I157" s="17">
        <v>50824</v>
      </c>
      <c r="J157" t="s">
        <v>39</v>
      </c>
      <c r="L157" t="s">
        <v>51</v>
      </c>
      <c r="M157" t="s">
        <v>493</v>
      </c>
      <c r="N157" t="s">
        <v>260</v>
      </c>
      <c r="Q157">
        <v>7</v>
      </c>
      <c r="R157" t="s">
        <v>759</v>
      </c>
      <c r="T157">
        <f>23.5-7.5</f>
        <v>16</v>
      </c>
      <c r="U157">
        <v>20.5</v>
      </c>
      <c r="V157">
        <v>12.9</v>
      </c>
      <c r="W157">
        <v>26.6</v>
      </c>
    </row>
    <row r="158" spans="1:26" x14ac:dyDescent="0.2">
      <c r="A158" s="3">
        <v>42585</v>
      </c>
      <c r="B158">
        <v>402</v>
      </c>
      <c r="C158">
        <v>1</v>
      </c>
      <c r="D158" t="s">
        <v>52</v>
      </c>
      <c r="E158" t="s">
        <v>28</v>
      </c>
      <c r="F158" t="s">
        <v>29</v>
      </c>
      <c r="G158" t="s">
        <v>35</v>
      </c>
      <c r="H158" s="17">
        <v>50807</v>
      </c>
      <c r="J158" t="s">
        <v>39</v>
      </c>
      <c r="L158" t="s">
        <v>51</v>
      </c>
      <c r="M158" t="s">
        <v>495</v>
      </c>
      <c r="N158" t="s">
        <v>260</v>
      </c>
      <c r="O158" t="s">
        <v>927</v>
      </c>
      <c r="P158" t="s">
        <v>832</v>
      </c>
      <c r="Q158">
        <v>2</v>
      </c>
      <c r="R158" t="s">
        <v>832</v>
      </c>
      <c r="T158">
        <f>29-6</f>
        <v>23</v>
      </c>
      <c r="U158">
        <v>17</v>
      </c>
      <c r="V158">
        <v>12.6</v>
      </c>
      <c r="W158">
        <v>25.3</v>
      </c>
    </row>
    <row r="159" spans="1:26" x14ac:dyDescent="0.2">
      <c r="A159" s="3">
        <v>42585</v>
      </c>
      <c r="B159">
        <v>402</v>
      </c>
      <c r="C159">
        <v>1</v>
      </c>
      <c r="D159" t="s">
        <v>52</v>
      </c>
      <c r="E159" t="s">
        <v>28</v>
      </c>
      <c r="F159" t="s">
        <v>188</v>
      </c>
      <c r="G159" t="s">
        <v>35</v>
      </c>
      <c r="H159" s="17">
        <v>50806</v>
      </c>
      <c r="J159" t="s">
        <v>63</v>
      </c>
      <c r="L159" t="s">
        <v>51</v>
      </c>
      <c r="M159" t="s">
        <v>495</v>
      </c>
      <c r="N159" t="s">
        <v>260</v>
      </c>
      <c r="O159" t="s">
        <v>928</v>
      </c>
      <c r="P159" t="s">
        <v>832</v>
      </c>
      <c r="Q159" t="s">
        <v>844</v>
      </c>
      <c r="R159" t="s">
        <v>832</v>
      </c>
      <c r="T159">
        <f>26.5</f>
        <v>26.5</v>
      </c>
      <c r="Z159" t="s">
        <v>929</v>
      </c>
    </row>
    <row r="160" spans="1:26" x14ac:dyDescent="0.2">
      <c r="A160" s="3">
        <v>42585</v>
      </c>
      <c r="B160">
        <v>402</v>
      </c>
      <c r="C160">
        <v>1</v>
      </c>
      <c r="D160" t="s">
        <v>52</v>
      </c>
      <c r="E160" t="s">
        <v>28</v>
      </c>
      <c r="F160" t="s">
        <v>188</v>
      </c>
      <c r="G160" t="s">
        <v>35</v>
      </c>
      <c r="H160" s="17" t="s">
        <v>930</v>
      </c>
      <c r="J160" t="s">
        <v>63</v>
      </c>
      <c r="L160" t="s">
        <v>51</v>
      </c>
      <c r="T160">
        <f>24-6</f>
        <v>18</v>
      </c>
      <c r="U160">
        <v>18</v>
      </c>
      <c r="V160">
        <v>12.9</v>
      </c>
      <c r="Z160" t="s">
        <v>931</v>
      </c>
    </row>
    <row r="161" spans="1:26" x14ac:dyDescent="0.2">
      <c r="A161" s="3">
        <v>42585</v>
      </c>
      <c r="B161">
        <v>402</v>
      </c>
      <c r="C161">
        <v>2</v>
      </c>
      <c r="D161" t="s">
        <v>52</v>
      </c>
      <c r="E161" t="s">
        <v>28</v>
      </c>
      <c r="F161" t="s">
        <v>29</v>
      </c>
      <c r="G161" t="s">
        <v>30</v>
      </c>
      <c r="H161" s="17">
        <v>50889</v>
      </c>
      <c r="J161" t="s">
        <v>273</v>
      </c>
      <c r="L161" t="s">
        <v>51</v>
      </c>
      <c r="M161" t="s">
        <v>495</v>
      </c>
      <c r="N161" t="s">
        <v>260</v>
      </c>
      <c r="O161" t="s">
        <v>932</v>
      </c>
      <c r="P161" t="s">
        <v>832</v>
      </c>
      <c r="Q161" t="s">
        <v>841</v>
      </c>
      <c r="R161" t="s">
        <v>832</v>
      </c>
      <c r="T161">
        <f>29-5</f>
        <v>24</v>
      </c>
      <c r="U161">
        <v>18</v>
      </c>
      <c r="V161">
        <v>12.8</v>
      </c>
      <c r="W161">
        <v>26.7</v>
      </c>
    </row>
    <row r="162" spans="1:26" x14ac:dyDescent="0.2">
      <c r="A162" s="3">
        <v>42585</v>
      </c>
      <c r="B162">
        <v>402</v>
      </c>
      <c r="C162">
        <v>6</v>
      </c>
      <c r="D162" t="s">
        <v>52</v>
      </c>
      <c r="E162" t="s">
        <v>28</v>
      </c>
      <c r="F162" t="s">
        <v>29</v>
      </c>
      <c r="G162" t="s">
        <v>35</v>
      </c>
      <c r="H162" s="17">
        <v>10350</v>
      </c>
      <c r="J162" t="s">
        <v>39</v>
      </c>
      <c r="L162" t="s">
        <v>51</v>
      </c>
      <c r="M162" t="s">
        <v>495</v>
      </c>
      <c r="N162" t="s">
        <v>260</v>
      </c>
      <c r="O162" t="s">
        <v>933</v>
      </c>
      <c r="P162" t="s">
        <v>837</v>
      </c>
      <c r="Q162" t="s">
        <v>844</v>
      </c>
      <c r="R162" t="s">
        <v>832</v>
      </c>
      <c r="T162">
        <f>29-5</f>
        <v>24</v>
      </c>
      <c r="U162">
        <v>17</v>
      </c>
      <c r="V162">
        <v>12.8</v>
      </c>
      <c r="W162">
        <v>29.1</v>
      </c>
    </row>
    <row r="163" spans="1:26" x14ac:dyDescent="0.2">
      <c r="A163" s="3">
        <v>42585</v>
      </c>
      <c r="B163">
        <v>402</v>
      </c>
      <c r="C163">
        <v>6</v>
      </c>
      <c r="D163" t="s">
        <v>139</v>
      </c>
      <c r="E163" t="s">
        <v>34</v>
      </c>
      <c r="F163" t="s">
        <v>188</v>
      </c>
      <c r="G163" t="s">
        <v>35</v>
      </c>
      <c r="H163" s="17" t="s">
        <v>916</v>
      </c>
      <c r="J163" t="s">
        <v>63</v>
      </c>
      <c r="L163" t="s">
        <v>633</v>
      </c>
      <c r="M163" t="s">
        <v>260</v>
      </c>
      <c r="S163" t="s">
        <v>759</v>
      </c>
      <c r="T163">
        <f>132-48</f>
        <v>84</v>
      </c>
      <c r="U163">
        <v>31</v>
      </c>
      <c r="V163">
        <v>21.5</v>
      </c>
      <c r="W163">
        <v>49</v>
      </c>
    </row>
    <row r="164" spans="1:26" x14ac:dyDescent="0.2">
      <c r="A164" s="3">
        <v>42585</v>
      </c>
      <c r="B164">
        <v>402</v>
      </c>
      <c r="C164">
        <v>10</v>
      </c>
      <c r="D164" t="s">
        <v>52</v>
      </c>
      <c r="E164" t="s">
        <v>34</v>
      </c>
      <c r="F164" t="s">
        <v>29</v>
      </c>
      <c r="G164" t="s">
        <v>30</v>
      </c>
      <c r="H164" s="17" t="s">
        <v>934</v>
      </c>
      <c r="J164" t="s">
        <v>273</v>
      </c>
      <c r="L164" t="s">
        <v>51</v>
      </c>
      <c r="M164" t="s">
        <v>495</v>
      </c>
      <c r="N164" t="s">
        <v>260</v>
      </c>
      <c r="O164" t="s">
        <v>936</v>
      </c>
      <c r="P164" t="s">
        <v>832</v>
      </c>
      <c r="Q164" t="s">
        <v>937</v>
      </c>
      <c r="R164" t="s">
        <v>832</v>
      </c>
      <c r="T164">
        <f>35-6</f>
        <v>29</v>
      </c>
      <c r="U164">
        <v>18</v>
      </c>
      <c r="V164">
        <v>12.8</v>
      </c>
      <c r="W164">
        <v>26.8</v>
      </c>
    </row>
    <row r="165" spans="1:26" x14ac:dyDescent="0.2">
      <c r="A165" s="3">
        <v>42585</v>
      </c>
      <c r="B165">
        <v>402</v>
      </c>
      <c r="C165">
        <v>10</v>
      </c>
      <c r="D165" t="s">
        <v>62</v>
      </c>
      <c r="E165" t="s">
        <v>34</v>
      </c>
      <c r="F165" t="s">
        <v>123</v>
      </c>
      <c r="G165" t="s">
        <v>30</v>
      </c>
      <c r="H165" s="17" t="s">
        <v>935</v>
      </c>
      <c r="J165" t="s">
        <v>31</v>
      </c>
      <c r="L165" t="s">
        <v>633</v>
      </c>
      <c r="M165" t="s">
        <v>260</v>
      </c>
      <c r="S165" t="s">
        <v>759</v>
      </c>
      <c r="T165">
        <f>166-46</f>
        <v>120</v>
      </c>
      <c r="U165">
        <v>36</v>
      </c>
      <c r="V165">
        <v>35</v>
      </c>
      <c r="W165">
        <v>43.7</v>
      </c>
    </row>
    <row r="166" spans="1:26" x14ac:dyDescent="0.2">
      <c r="A166" s="3">
        <v>42585</v>
      </c>
      <c r="B166">
        <v>304</v>
      </c>
      <c r="C166">
        <v>7</v>
      </c>
      <c r="D166" t="s">
        <v>52</v>
      </c>
      <c r="E166" t="s">
        <v>28</v>
      </c>
      <c r="F166" t="s">
        <v>29</v>
      </c>
      <c r="G166" t="s">
        <v>35</v>
      </c>
      <c r="H166" s="17">
        <v>50942</v>
      </c>
      <c r="J166" t="s">
        <v>39</v>
      </c>
      <c r="L166" t="s">
        <v>51</v>
      </c>
      <c r="M166" t="s">
        <v>495</v>
      </c>
      <c r="N166" t="s">
        <v>260</v>
      </c>
      <c r="O166" t="s">
        <v>928</v>
      </c>
      <c r="P166" t="s">
        <v>837</v>
      </c>
      <c r="Q166" t="s">
        <v>940</v>
      </c>
      <c r="R166" t="s">
        <v>837</v>
      </c>
      <c r="T166">
        <f>35.5-5</f>
        <v>30.5</v>
      </c>
      <c r="U166">
        <v>18</v>
      </c>
      <c r="V166">
        <v>12.8</v>
      </c>
      <c r="W166">
        <v>28.2</v>
      </c>
    </row>
    <row r="167" spans="1:26" x14ac:dyDescent="0.2">
      <c r="A167" s="3">
        <v>42585</v>
      </c>
      <c r="B167">
        <v>304</v>
      </c>
      <c r="C167">
        <v>6</v>
      </c>
      <c r="D167" t="s">
        <v>52</v>
      </c>
      <c r="E167" t="s">
        <v>34</v>
      </c>
      <c r="F167" t="s">
        <v>29</v>
      </c>
      <c r="G167" t="s">
        <v>30</v>
      </c>
      <c r="H167" s="17" t="s">
        <v>941</v>
      </c>
      <c r="J167" t="s">
        <v>75</v>
      </c>
      <c r="L167" t="s">
        <v>51</v>
      </c>
      <c r="M167" t="s">
        <v>495</v>
      </c>
      <c r="N167" t="s">
        <v>260</v>
      </c>
      <c r="O167" t="s">
        <v>844</v>
      </c>
      <c r="P167" t="s">
        <v>832</v>
      </c>
      <c r="Q167" t="s">
        <v>844</v>
      </c>
      <c r="R167" t="s">
        <v>832</v>
      </c>
      <c r="T167">
        <f>33-6</f>
        <v>27</v>
      </c>
      <c r="U167">
        <v>17</v>
      </c>
      <c r="V167">
        <v>12.9</v>
      </c>
      <c r="W167">
        <v>25.6</v>
      </c>
    </row>
    <row r="168" spans="1:26" x14ac:dyDescent="0.2">
      <c r="A168" s="3">
        <v>42585</v>
      </c>
      <c r="B168">
        <v>304</v>
      </c>
      <c r="C168">
        <v>3</v>
      </c>
      <c r="D168" t="s">
        <v>27</v>
      </c>
      <c r="E168" t="s">
        <v>34</v>
      </c>
      <c r="F168" t="s">
        <v>188</v>
      </c>
      <c r="G168" t="s">
        <v>30</v>
      </c>
      <c r="H168" s="17" t="s">
        <v>943</v>
      </c>
      <c r="I168" s="17" t="s">
        <v>941</v>
      </c>
      <c r="J168" t="s">
        <v>31</v>
      </c>
      <c r="L168" t="s">
        <v>51</v>
      </c>
      <c r="M168" t="s">
        <v>494</v>
      </c>
      <c r="N168" t="s">
        <v>260</v>
      </c>
      <c r="O168">
        <v>5</v>
      </c>
      <c r="P168" t="s">
        <v>759</v>
      </c>
      <c r="T168">
        <f>25.5-9</f>
        <v>16.5</v>
      </c>
      <c r="U168">
        <v>19</v>
      </c>
      <c r="V168">
        <v>12.9</v>
      </c>
      <c r="W168">
        <v>25.7</v>
      </c>
      <c r="Z168" t="s">
        <v>946</v>
      </c>
    </row>
    <row r="169" spans="1:26" x14ac:dyDescent="0.2">
      <c r="A169" s="3">
        <v>42585</v>
      </c>
      <c r="B169">
        <v>304</v>
      </c>
      <c r="C169">
        <v>1</v>
      </c>
      <c r="D169" t="s">
        <v>27</v>
      </c>
      <c r="E169" t="s">
        <v>28</v>
      </c>
      <c r="F169" t="s">
        <v>188</v>
      </c>
      <c r="G169" t="s">
        <v>35</v>
      </c>
      <c r="H169" s="17">
        <v>50944</v>
      </c>
      <c r="I169" s="17">
        <v>50943</v>
      </c>
      <c r="J169" t="s">
        <v>63</v>
      </c>
      <c r="L169" t="s">
        <v>51</v>
      </c>
      <c r="M169" t="s">
        <v>494</v>
      </c>
      <c r="N169" t="s">
        <v>260</v>
      </c>
      <c r="O169">
        <v>2</v>
      </c>
      <c r="P169" t="s">
        <v>759</v>
      </c>
      <c r="T169">
        <f>30-13.5</f>
        <v>16.5</v>
      </c>
      <c r="U169">
        <v>19</v>
      </c>
      <c r="V169">
        <v>12.8</v>
      </c>
      <c r="W169">
        <v>27.1</v>
      </c>
    </row>
    <row r="170" spans="1:26" x14ac:dyDescent="0.2">
      <c r="A170" s="3">
        <v>42585</v>
      </c>
      <c r="B170">
        <v>201</v>
      </c>
      <c r="C170">
        <v>3</v>
      </c>
      <c r="D170" t="s">
        <v>52</v>
      </c>
      <c r="E170" t="s">
        <v>28</v>
      </c>
      <c r="F170" t="s">
        <v>29</v>
      </c>
      <c r="G170" t="s">
        <v>30</v>
      </c>
      <c r="H170" s="17" t="s">
        <v>1307</v>
      </c>
      <c r="J170" t="s">
        <v>31</v>
      </c>
      <c r="L170" t="s">
        <v>51</v>
      </c>
      <c r="M170" t="s">
        <v>495</v>
      </c>
      <c r="N170" t="s">
        <v>260</v>
      </c>
      <c r="O170">
        <v>1</v>
      </c>
      <c r="P170" t="s">
        <v>759</v>
      </c>
      <c r="Q170" t="s">
        <v>844</v>
      </c>
      <c r="R170" t="s">
        <v>759</v>
      </c>
      <c r="T170">
        <f>39-12.5</f>
        <v>26.5</v>
      </c>
      <c r="U170">
        <v>17</v>
      </c>
      <c r="V170">
        <v>13.5</v>
      </c>
      <c r="W170">
        <v>26.7</v>
      </c>
      <c r="X170" t="s">
        <v>145</v>
      </c>
    </row>
    <row r="171" spans="1:26" x14ac:dyDescent="0.2">
      <c r="A171" s="3">
        <v>42585</v>
      </c>
      <c r="B171">
        <v>201</v>
      </c>
      <c r="C171">
        <v>6</v>
      </c>
      <c r="D171" t="s">
        <v>27</v>
      </c>
      <c r="E171" t="s">
        <v>28</v>
      </c>
      <c r="F171" t="s">
        <v>188</v>
      </c>
      <c r="G171" t="s">
        <v>30</v>
      </c>
      <c r="H171" s="17" t="s">
        <v>1308</v>
      </c>
      <c r="I171" s="17" t="s">
        <v>1309</v>
      </c>
      <c r="J171" t="s">
        <v>31</v>
      </c>
      <c r="L171" t="s">
        <v>51</v>
      </c>
      <c r="M171" t="s">
        <v>494</v>
      </c>
      <c r="N171" t="s">
        <v>260</v>
      </c>
      <c r="O171">
        <v>2</v>
      </c>
      <c r="P171" t="s">
        <v>759</v>
      </c>
      <c r="T171">
        <f>29-14</f>
        <v>15</v>
      </c>
      <c r="U171">
        <v>19</v>
      </c>
      <c r="V171">
        <v>13</v>
      </c>
      <c r="W171">
        <v>27.1</v>
      </c>
    </row>
    <row r="172" spans="1:26" x14ac:dyDescent="0.2">
      <c r="A172" s="3">
        <v>42585</v>
      </c>
      <c r="B172">
        <v>201</v>
      </c>
      <c r="C172">
        <v>8</v>
      </c>
      <c r="D172" t="s">
        <v>27</v>
      </c>
      <c r="E172" t="s">
        <v>28</v>
      </c>
      <c r="F172" t="s">
        <v>29</v>
      </c>
      <c r="G172" t="s">
        <v>30</v>
      </c>
      <c r="H172" s="17" t="s">
        <v>1310</v>
      </c>
      <c r="I172" s="17" t="s">
        <v>1311</v>
      </c>
      <c r="J172" t="s">
        <v>94</v>
      </c>
      <c r="L172" t="s">
        <v>51</v>
      </c>
      <c r="M172" t="s">
        <v>495</v>
      </c>
      <c r="N172" t="s">
        <v>260</v>
      </c>
      <c r="O172">
        <v>6</v>
      </c>
      <c r="P172" t="s">
        <v>759</v>
      </c>
      <c r="Q172">
        <v>6</v>
      </c>
      <c r="R172" t="s">
        <v>759</v>
      </c>
      <c r="T172">
        <f>36-12</f>
        <v>24</v>
      </c>
      <c r="U172">
        <v>17</v>
      </c>
      <c r="V172">
        <v>13.6</v>
      </c>
      <c r="W172">
        <v>28.8</v>
      </c>
    </row>
    <row r="173" spans="1:26" x14ac:dyDescent="0.2">
      <c r="A173" s="3">
        <v>42585</v>
      </c>
      <c r="B173">
        <v>203</v>
      </c>
      <c r="C173">
        <v>3</v>
      </c>
      <c r="D173" t="s">
        <v>27</v>
      </c>
      <c r="E173" t="s">
        <v>28</v>
      </c>
      <c r="F173" t="s">
        <v>188</v>
      </c>
      <c r="G173" t="s">
        <v>30</v>
      </c>
      <c r="H173" s="17" t="s">
        <v>1145</v>
      </c>
      <c r="I173" s="17" t="s">
        <v>1146</v>
      </c>
      <c r="J173" t="s">
        <v>31</v>
      </c>
      <c r="L173" t="s">
        <v>51</v>
      </c>
      <c r="M173" t="s">
        <v>494</v>
      </c>
      <c r="N173" t="s">
        <v>260</v>
      </c>
      <c r="O173">
        <v>1</v>
      </c>
      <c r="P173" t="s">
        <v>759</v>
      </c>
      <c r="T173">
        <f>30.5-15</f>
        <v>15.5</v>
      </c>
      <c r="U173">
        <v>18</v>
      </c>
      <c r="V173">
        <v>13.1</v>
      </c>
      <c r="W173">
        <v>26.4</v>
      </c>
    </row>
    <row r="174" spans="1:26" x14ac:dyDescent="0.2">
      <c r="A174" s="3">
        <v>42585</v>
      </c>
      <c r="B174">
        <v>203</v>
      </c>
      <c r="C174">
        <v>5</v>
      </c>
      <c r="D174" t="s">
        <v>27</v>
      </c>
      <c r="E174" t="s">
        <v>28</v>
      </c>
      <c r="F174" t="s">
        <v>29</v>
      </c>
      <c r="G174" t="s">
        <v>35</v>
      </c>
      <c r="H174" s="17" t="s">
        <v>1202</v>
      </c>
      <c r="I174" s="17" t="s">
        <v>1312</v>
      </c>
      <c r="J174" t="s">
        <v>39</v>
      </c>
      <c r="L174" t="s">
        <v>51</v>
      </c>
      <c r="M174" t="s">
        <v>494</v>
      </c>
      <c r="N174" t="s">
        <v>260</v>
      </c>
      <c r="O174">
        <v>6</v>
      </c>
      <c r="P174" t="s">
        <v>759</v>
      </c>
      <c r="T174">
        <f>41-17</f>
        <v>24</v>
      </c>
      <c r="U174">
        <v>20</v>
      </c>
      <c r="V174">
        <v>13.7</v>
      </c>
      <c r="W174">
        <v>27.3</v>
      </c>
    </row>
    <row r="175" spans="1:26" x14ac:dyDescent="0.2">
      <c r="A175" s="3">
        <v>42585</v>
      </c>
      <c r="B175" s="4">
        <v>202</v>
      </c>
      <c r="C175">
        <v>2</v>
      </c>
      <c r="D175" t="s">
        <v>27</v>
      </c>
      <c r="E175" t="s">
        <v>28</v>
      </c>
      <c r="F175" t="s">
        <v>188</v>
      </c>
      <c r="G175" t="s">
        <v>30</v>
      </c>
      <c r="H175" s="17" t="s">
        <v>1153</v>
      </c>
      <c r="I175" s="17" t="s">
        <v>1154</v>
      </c>
      <c r="J175" t="s">
        <v>31</v>
      </c>
      <c r="L175" t="s">
        <v>51</v>
      </c>
      <c r="M175" t="s">
        <v>493</v>
      </c>
      <c r="N175" t="s">
        <v>260</v>
      </c>
      <c r="Q175">
        <v>7</v>
      </c>
      <c r="R175" t="s">
        <v>759</v>
      </c>
      <c r="T175">
        <f>31.5-16.5</f>
        <v>15</v>
      </c>
      <c r="U175">
        <v>18</v>
      </c>
      <c r="V175">
        <v>12.1</v>
      </c>
      <c r="W175">
        <v>25.2</v>
      </c>
    </row>
    <row r="176" spans="1:26" x14ac:dyDescent="0.2">
      <c r="A176" s="3">
        <v>42585</v>
      </c>
      <c r="B176">
        <v>202</v>
      </c>
      <c r="C176">
        <v>4</v>
      </c>
      <c r="D176" t="s">
        <v>27</v>
      </c>
      <c r="E176" t="s">
        <v>45</v>
      </c>
      <c r="F176" t="s">
        <v>188</v>
      </c>
      <c r="G176" t="s">
        <v>35</v>
      </c>
      <c r="H176" s="17" t="s">
        <v>1313</v>
      </c>
      <c r="I176" s="17" t="s">
        <v>1314</v>
      </c>
      <c r="J176" t="s">
        <v>63</v>
      </c>
      <c r="L176" t="s">
        <v>51</v>
      </c>
      <c r="M176" t="s">
        <v>495</v>
      </c>
      <c r="N176" t="s">
        <v>260</v>
      </c>
      <c r="O176">
        <v>1</v>
      </c>
      <c r="P176" t="s">
        <v>759</v>
      </c>
      <c r="Q176">
        <v>6</v>
      </c>
      <c r="R176" t="s">
        <v>759</v>
      </c>
      <c r="T176">
        <f>30-14.5</f>
        <v>15.5</v>
      </c>
      <c r="U176">
        <v>19</v>
      </c>
      <c r="V176">
        <v>13</v>
      </c>
      <c r="W176">
        <v>24.9</v>
      </c>
    </row>
    <row r="177" spans="1:26" x14ac:dyDescent="0.2">
      <c r="A177" s="3">
        <v>42585</v>
      </c>
      <c r="B177">
        <v>202</v>
      </c>
      <c r="C177">
        <v>4</v>
      </c>
      <c r="D177" t="s">
        <v>27</v>
      </c>
      <c r="E177" t="s">
        <v>34</v>
      </c>
      <c r="F177" t="s">
        <v>29</v>
      </c>
      <c r="G177" t="s">
        <v>30</v>
      </c>
      <c r="H177" s="17" t="s">
        <v>1315</v>
      </c>
      <c r="J177" t="s">
        <v>279</v>
      </c>
      <c r="L177" t="s">
        <v>51</v>
      </c>
      <c r="M177" t="s">
        <v>495</v>
      </c>
      <c r="N177" t="s">
        <v>260</v>
      </c>
      <c r="O177" t="s">
        <v>844</v>
      </c>
      <c r="P177" t="s">
        <v>832</v>
      </c>
      <c r="Q177" t="s">
        <v>844</v>
      </c>
      <c r="R177" t="s">
        <v>832</v>
      </c>
      <c r="T177">
        <f>43.5-13</f>
        <v>30.5</v>
      </c>
      <c r="U177">
        <v>16.5</v>
      </c>
      <c r="V177">
        <v>13.35</v>
      </c>
      <c r="W177">
        <v>26.9</v>
      </c>
    </row>
    <row r="178" spans="1:26" x14ac:dyDescent="0.2">
      <c r="A178" s="3">
        <v>42585</v>
      </c>
      <c r="B178">
        <v>202</v>
      </c>
      <c r="C178">
        <v>6</v>
      </c>
      <c r="D178" t="s">
        <v>27</v>
      </c>
      <c r="E178" t="s">
        <v>28</v>
      </c>
      <c r="F178" t="s">
        <v>123</v>
      </c>
      <c r="G178" t="s">
        <v>30</v>
      </c>
      <c r="H178" s="17" t="s">
        <v>1316</v>
      </c>
      <c r="I178" s="17" t="s">
        <v>1317</v>
      </c>
      <c r="J178" t="s">
        <v>31</v>
      </c>
      <c r="L178" t="s">
        <v>51</v>
      </c>
      <c r="M178" t="s">
        <v>495</v>
      </c>
      <c r="N178" t="s">
        <v>260</v>
      </c>
      <c r="O178">
        <v>1</v>
      </c>
      <c r="P178" t="s">
        <v>759</v>
      </c>
      <c r="Q178" t="s">
        <v>844</v>
      </c>
      <c r="R178" t="s">
        <v>759</v>
      </c>
      <c r="T178">
        <f>29-14.5</f>
        <v>14.5</v>
      </c>
      <c r="U178">
        <v>18</v>
      </c>
      <c r="V178">
        <v>12.5</v>
      </c>
      <c r="W178">
        <v>25.5</v>
      </c>
    </row>
    <row r="179" spans="1:26" x14ac:dyDescent="0.2">
      <c r="A179" s="3">
        <v>42585</v>
      </c>
      <c r="B179">
        <v>202</v>
      </c>
      <c r="C179">
        <v>8</v>
      </c>
      <c r="D179" t="s">
        <v>52</v>
      </c>
      <c r="E179" t="s">
        <v>34</v>
      </c>
      <c r="F179" t="s">
        <v>123</v>
      </c>
      <c r="G179" t="s">
        <v>35</v>
      </c>
      <c r="H179" s="17" t="s">
        <v>863</v>
      </c>
      <c r="J179" t="s">
        <v>63</v>
      </c>
      <c r="K179" t="s">
        <v>1318</v>
      </c>
      <c r="L179" t="s">
        <v>51</v>
      </c>
      <c r="M179" t="s">
        <v>495</v>
      </c>
      <c r="N179" t="s">
        <v>260</v>
      </c>
      <c r="O179" t="s">
        <v>844</v>
      </c>
      <c r="P179" t="s">
        <v>759</v>
      </c>
      <c r="Q179" t="s">
        <v>844</v>
      </c>
      <c r="R179" t="s">
        <v>759</v>
      </c>
      <c r="T179">
        <f>32-14</f>
        <v>18</v>
      </c>
      <c r="U179">
        <v>16</v>
      </c>
      <c r="V179">
        <v>13</v>
      </c>
      <c r="W179">
        <v>26.3</v>
      </c>
      <c r="X179" t="s">
        <v>145</v>
      </c>
    </row>
    <row r="180" spans="1:26" x14ac:dyDescent="0.2">
      <c r="A180" s="3">
        <v>42586</v>
      </c>
      <c r="B180">
        <v>111</v>
      </c>
      <c r="C180">
        <v>2</v>
      </c>
      <c r="D180" t="s">
        <v>27</v>
      </c>
      <c r="E180" t="s">
        <v>34</v>
      </c>
      <c r="F180" t="s">
        <v>188</v>
      </c>
      <c r="G180" t="s">
        <v>35</v>
      </c>
      <c r="H180" s="17" t="s">
        <v>950</v>
      </c>
      <c r="I180" s="17" t="s">
        <v>951</v>
      </c>
      <c r="J180" t="s">
        <v>39</v>
      </c>
      <c r="L180" t="s">
        <v>51</v>
      </c>
      <c r="M180" t="s">
        <v>495</v>
      </c>
      <c r="N180" t="s">
        <v>260</v>
      </c>
      <c r="O180">
        <v>2</v>
      </c>
      <c r="P180" t="s">
        <v>759</v>
      </c>
      <c r="Q180" t="s">
        <v>844</v>
      </c>
      <c r="R180" t="s">
        <v>759</v>
      </c>
      <c r="T180">
        <f>30-13</f>
        <v>17</v>
      </c>
      <c r="U180">
        <v>19</v>
      </c>
      <c r="V180">
        <v>12.9</v>
      </c>
      <c r="W180">
        <v>27.2</v>
      </c>
    </row>
    <row r="181" spans="1:26" x14ac:dyDescent="0.2">
      <c r="A181" s="3">
        <v>42586</v>
      </c>
      <c r="B181">
        <v>111</v>
      </c>
      <c r="C181">
        <v>4</v>
      </c>
      <c r="D181" t="s">
        <v>27</v>
      </c>
      <c r="E181" t="s">
        <v>28</v>
      </c>
      <c r="F181" t="s">
        <v>29</v>
      </c>
      <c r="G181" t="s">
        <v>35</v>
      </c>
      <c r="H181" s="17" t="s">
        <v>952</v>
      </c>
      <c r="I181" s="17" t="s">
        <v>953</v>
      </c>
      <c r="J181" t="s">
        <v>39</v>
      </c>
      <c r="L181" t="s">
        <v>51</v>
      </c>
      <c r="M181" t="s">
        <v>495</v>
      </c>
      <c r="N181" t="s">
        <v>260</v>
      </c>
      <c r="O181">
        <v>1</v>
      </c>
      <c r="P181" t="s">
        <v>759</v>
      </c>
      <c r="Q181">
        <v>1</v>
      </c>
      <c r="R181" t="s">
        <v>832</v>
      </c>
      <c r="T181">
        <f>35-14</f>
        <v>21</v>
      </c>
      <c r="U181">
        <v>21</v>
      </c>
      <c r="V181">
        <v>12.9</v>
      </c>
      <c r="W181">
        <v>27.5</v>
      </c>
    </row>
    <row r="182" spans="1:26" x14ac:dyDescent="0.2">
      <c r="A182" s="3">
        <v>42586</v>
      </c>
      <c r="B182">
        <v>111</v>
      </c>
      <c r="C182">
        <v>10</v>
      </c>
      <c r="D182" t="s">
        <v>142</v>
      </c>
      <c r="E182" t="s">
        <v>34</v>
      </c>
      <c r="F182" t="s">
        <v>29</v>
      </c>
      <c r="G182" t="s">
        <v>35</v>
      </c>
      <c r="H182" s="17" t="s">
        <v>956</v>
      </c>
      <c r="J182" t="s">
        <v>39</v>
      </c>
      <c r="L182" t="s">
        <v>51</v>
      </c>
      <c r="M182" t="s">
        <v>495</v>
      </c>
      <c r="N182" t="s">
        <v>260</v>
      </c>
      <c r="O182">
        <v>1</v>
      </c>
      <c r="P182" t="s">
        <v>832</v>
      </c>
      <c r="Q182">
        <v>1</v>
      </c>
      <c r="R182" t="s">
        <v>832</v>
      </c>
      <c r="T182">
        <f>35.5-13</f>
        <v>22.5</v>
      </c>
      <c r="U182">
        <v>29</v>
      </c>
      <c r="V182">
        <v>13.1</v>
      </c>
      <c r="W182">
        <v>26</v>
      </c>
    </row>
    <row r="183" spans="1:26" x14ac:dyDescent="0.2">
      <c r="A183" s="3">
        <v>42586</v>
      </c>
      <c r="B183">
        <v>112</v>
      </c>
      <c r="C183">
        <v>1</v>
      </c>
      <c r="D183" t="s">
        <v>142</v>
      </c>
      <c r="E183" t="s">
        <v>28</v>
      </c>
      <c r="F183" t="s">
        <v>29</v>
      </c>
      <c r="G183" t="s">
        <v>30</v>
      </c>
      <c r="H183" s="17" t="s">
        <v>958</v>
      </c>
      <c r="J183" t="s">
        <v>83</v>
      </c>
      <c r="L183" t="s">
        <v>51</v>
      </c>
      <c r="M183" t="s">
        <v>495</v>
      </c>
      <c r="N183" t="s">
        <v>260</v>
      </c>
      <c r="O183">
        <v>5</v>
      </c>
      <c r="P183" t="s">
        <v>759</v>
      </c>
      <c r="Q183">
        <v>1</v>
      </c>
      <c r="R183" t="s">
        <v>759</v>
      </c>
      <c r="T183">
        <f>37-14</f>
        <v>23</v>
      </c>
      <c r="U183">
        <v>29</v>
      </c>
      <c r="V183">
        <v>12.8</v>
      </c>
      <c r="W183">
        <v>26.6</v>
      </c>
    </row>
    <row r="184" spans="1:26" x14ac:dyDescent="0.2">
      <c r="A184" s="3">
        <v>42586</v>
      </c>
      <c r="B184">
        <v>112</v>
      </c>
      <c r="C184">
        <v>2</v>
      </c>
      <c r="D184" t="s">
        <v>142</v>
      </c>
      <c r="E184" t="s">
        <v>34</v>
      </c>
      <c r="F184" t="s">
        <v>188</v>
      </c>
      <c r="G184" t="s">
        <v>35</v>
      </c>
      <c r="H184" s="17" t="s">
        <v>959</v>
      </c>
      <c r="J184" t="s">
        <v>39</v>
      </c>
      <c r="L184" t="s">
        <v>51</v>
      </c>
      <c r="M184" t="s">
        <v>495</v>
      </c>
      <c r="N184" t="s">
        <v>260</v>
      </c>
      <c r="O184">
        <v>1</v>
      </c>
      <c r="P184" t="s">
        <v>759</v>
      </c>
      <c r="Q184">
        <v>1</v>
      </c>
      <c r="R184" t="s">
        <v>759</v>
      </c>
      <c r="T184">
        <f>30-13</f>
        <v>17</v>
      </c>
      <c r="U184">
        <v>30</v>
      </c>
      <c r="V184">
        <v>12.8</v>
      </c>
      <c r="W184">
        <v>25.7</v>
      </c>
    </row>
    <row r="185" spans="1:26" x14ac:dyDescent="0.2">
      <c r="A185" s="3">
        <v>42586</v>
      </c>
      <c r="B185">
        <v>112</v>
      </c>
      <c r="C185">
        <v>6</v>
      </c>
      <c r="D185" t="s">
        <v>27</v>
      </c>
      <c r="E185" t="s">
        <v>28</v>
      </c>
      <c r="F185" t="s">
        <v>123</v>
      </c>
      <c r="G185" t="s">
        <v>35</v>
      </c>
      <c r="H185" s="17" t="s">
        <v>917</v>
      </c>
      <c r="I185" s="17" t="s">
        <v>918</v>
      </c>
      <c r="J185" t="s">
        <v>63</v>
      </c>
      <c r="L185" t="s">
        <v>51</v>
      </c>
      <c r="M185" t="s">
        <v>493</v>
      </c>
      <c r="N185" t="s">
        <v>260</v>
      </c>
      <c r="Q185">
        <v>1</v>
      </c>
      <c r="R185" t="s">
        <v>759</v>
      </c>
      <c r="T185">
        <f>28-15</f>
        <v>13</v>
      </c>
      <c r="U185">
        <v>18</v>
      </c>
      <c r="V185">
        <v>12.7</v>
      </c>
      <c r="W185">
        <v>26.9</v>
      </c>
      <c r="Z185" t="s">
        <v>963</v>
      </c>
    </row>
    <row r="186" spans="1:26" x14ac:dyDescent="0.2">
      <c r="A186" s="3">
        <v>42586</v>
      </c>
      <c r="B186">
        <v>112</v>
      </c>
      <c r="C186">
        <v>7</v>
      </c>
      <c r="D186" t="s">
        <v>142</v>
      </c>
      <c r="E186" t="s">
        <v>28</v>
      </c>
      <c r="F186" t="s">
        <v>29</v>
      </c>
      <c r="G186" t="s">
        <v>35</v>
      </c>
      <c r="H186" s="17" t="s">
        <v>922</v>
      </c>
      <c r="J186" t="s">
        <v>39</v>
      </c>
      <c r="L186" t="s">
        <v>51</v>
      </c>
      <c r="M186" t="s">
        <v>495</v>
      </c>
      <c r="N186" t="s">
        <v>260</v>
      </c>
      <c r="O186">
        <v>1</v>
      </c>
      <c r="P186" t="s">
        <v>759</v>
      </c>
      <c r="Q186">
        <v>1</v>
      </c>
      <c r="R186" t="s">
        <v>759</v>
      </c>
      <c r="T186">
        <f>33-13</f>
        <v>20</v>
      </c>
      <c r="U186">
        <v>30</v>
      </c>
      <c r="V186">
        <v>12.9</v>
      </c>
      <c r="W186">
        <v>26.6</v>
      </c>
    </row>
    <row r="187" spans="1:26" x14ac:dyDescent="0.2">
      <c r="A187" s="3">
        <v>42586</v>
      </c>
      <c r="B187">
        <v>113</v>
      </c>
      <c r="C187">
        <v>1</v>
      </c>
      <c r="D187" t="s">
        <v>27</v>
      </c>
      <c r="E187" t="s">
        <v>34</v>
      </c>
      <c r="F187" t="s">
        <v>123</v>
      </c>
      <c r="G187" t="s">
        <v>30</v>
      </c>
      <c r="H187" s="17" t="s">
        <v>975</v>
      </c>
      <c r="I187" s="17" t="s">
        <v>976</v>
      </c>
      <c r="J187" t="s">
        <v>31</v>
      </c>
      <c r="L187" t="s">
        <v>51</v>
      </c>
      <c r="M187" t="s">
        <v>493</v>
      </c>
      <c r="N187" t="s">
        <v>260</v>
      </c>
      <c r="Q187">
        <v>7</v>
      </c>
      <c r="R187" t="s">
        <v>759</v>
      </c>
      <c r="T187">
        <f>31-21</f>
        <v>10</v>
      </c>
      <c r="U187">
        <v>18</v>
      </c>
      <c r="V187">
        <v>12.7</v>
      </c>
      <c r="W187">
        <v>24.6</v>
      </c>
    </row>
    <row r="188" spans="1:26" x14ac:dyDescent="0.2">
      <c r="A188" s="3">
        <v>42586</v>
      </c>
      <c r="B188">
        <v>113</v>
      </c>
      <c r="C188">
        <v>5</v>
      </c>
      <c r="D188" t="s">
        <v>142</v>
      </c>
      <c r="E188" t="s">
        <v>28</v>
      </c>
      <c r="F188" t="s">
        <v>29</v>
      </c>
      <c r="G188" t="s">
        <v>35</v>
      </c>
      <c r="I188" s="17" t="s">
        <v>600</v>
      </c>
      <c r="J188" t="s">
        <v>39</v>
      </c>
      <c r="L188" t="s">
        <v>51</v>
      </c>
      <c r="M188" t="s">
        <v>495</v>
      </c>
      <c r="N188" t="s">
        <v>260</v>
      </c>
      <c r="O188">
        <v>1</v>
      </c>
      <c r="P188" t="s">
        <v>832</v>
      </c>
      <c r="Q188">
        <v>1</v>
      </c>
      <c r="R188" t="s">
        <v>832</v>
      </c>
      <c r="T188">
        <f>32.5-13</f>
        <v>19.5</v>
      </c>
      <c r="U188">
        <v>28</v>
      </c>
      <c r="V188">
        <v>12.9</v>
      </c>
      <c r="W188">
        <v>25.3</v>
      </c>
    </row>
    <row r="189" spans="1:26" x14ac:dyDescent="0.2">
      <c r="A189" s="3">
        <v>42586</v>
      </c>
      <c r="B189">
        <v>113</v>
      </c>
      <c r="C189">
        <v>6</v>
      </c>
      <c r="D189" t="s">
        <v>27</v>
      </c>
      <c r="E189" t="s">
        <v>28</v>
      </c>
      <c r="F189" t="s">
        <v>188</v>
      </c>
      <c r="G189" t="s">
        <v>35</v>
      </c>
      <c r="H189" s="17" t="s">
        <v>983</v>
      </c>
      <c r="I189" s="17" t="s">
        <v>984</v>
      </c>
      <c r="J189" t="s">
        <v>63</v>
      </c>
      <c r="L189" t="s">
        <v>51</v>
      </c>
      <c r="M189" t="s">
        <v>493</v>
      </c>
      <c r="N189" t="s">
        <v>260</v>
      </c>
      <c r="Q189">
        <v>7</v>
      </c>
      <c r="R189" t="s">
        <v>759</v>
      </c>
      <c r="T189">
        <f>30.5-15</f>
        <v>15.5</v>
      </c>
      <c r="U189">
        <v>20</v>
      </c>
      <c r="V189">
        <v>12.9</v>
      </c>
      <c r="W189">
        <v>27</v>
      </c>
    </row>
    <row r="190" spans="1:26" x14ac:dyDescent="0.2">
      <c r="A190" s="3">
        <v>42586</v>
      </c>
      <c r="B190">
        <v>113</v>
      </c>
      <c r="C190">
        <v>8</v>
      </c>
      <c r="D190" t="s">
        <v>27</v>
      </c>
      <c r="E190" t="s">
        <v>28</v>
      </c>
      <c r="F190" t="s">
        <v>29</v>
      </c>
      <c r="G190" t="s">
        <v>30</v>
      </c>
      <c r="H190" s="17" t="s">
        <v>987</v>
      </c>
      <c r="I190" s="17" t="s">
        <v>988</v>
      </c>
      <c r="J190" t="s">
        <v>273</v>
      </c>
      <c r="L190" t="s">
        <v>51</v>
      </c>
      <c r="M190" t="s">
        <v>495</v>
      </c>
      <c r="N190" t="s">
        <v>260</v>
      </c>
      <c r="O190">
        <v>6</v>
      </c>
      <c r="P190" t="s">
        <v>759</v>
      </c>
      <c r="Q190">
        <v>6</v>
      </c>
      <c r="R190" t="s">
        <v>759</v>
      </c>
      <c r="T190">
        <f>39-16</f>
        <v>23</v>
      </c>
      <c r="U190">
        <v>20</v>
      </c>
      <c r="V190">
        <v>12.8</v>
      </c>
      <c r="W190">
        <v>27.2</v>
      </c>
    </row>
    <row r="191" spans="1:26" x14ac:dyDescent="0.2">
      <c r="A191" s="3">
        <v>42586</v>
      </c>
      <c r="B191">
        <v>113</v>
      </c>
      <c r="C191">
        <v>10</v>
      </c>
      <c r="D191" t="s">
        <v>27</v>
      </c>
      <c r="E191" t="s">
        <v>28</v>
      </c>
      <c r="F191" t="s">
        <v>123</v>
      </c>
      <c r="G191" t="s">
        <v>35</v>
      </c>
      <c r="H191" s="17" t="s">
        <v>993</v>
      </c>
      <c r="I191" s="17" t="s">
        <v>994</v>
      </c>
      <c r="J191" t="s">
        <v>63</v>
      </c>
      <c r="L191" t="s">
        <v>51</v>
      </c>
      <c r="M191" t="s">
        <v>493</v>
      </c>
      <c r="N191" t="s">
        <v>260</v>
      </c>
      <c r="O191">
        <v>1</v>
      </c>
      <c r="P191" t="s">
        <v>759</v>
      </c>
      <c r="T191">
        <f>31.5-17</f>
        <v>14.5</v>
      </c>
      <c r="U191">
        <v>20</v>
      </c>
      <c r="V191">
        <v>12.8</v>
      </c>
      <c r="W191">
        <v>26.7</v>
      </c>
    </row>
    <row r="192" spans="1:26" x14ac:dyDescent="0.2">
      <c r="A192" s="3">
        <v>42586</v>
      </c>
      <c r="B192">
        <v>402</v>
      </c>
      <c r="C192">
        <v>8</v>
      </c>
      <c r="D192" t="s">
        <v>139</v>
      </c>
      <c r="E192" t="s">
        <v>28</v>
      </c>
      <c r="F192" t="s">
        <v>188</v>
      </c>
      <c r="G192" t="s">
        <v>35</v>
      </c>
      <c r="H192" s="17" t="s">
        <v>997</v>
      </c>
      <c r="J192" t="s">
        <v>39</v>
      </c>
      <c r="L192" t="s">
        <v>633</v>
      </c>
      <c r="M192" t="s">
        <v>260</v>
      </c>
      <c r="S192" t="s">
        <v>759</v>
      </c>
      <c r="T192">
        <f>146-48</f>
        <v>98</v>
      </c>
      <c r="U192">
        <v>31</v>
      </c>
      <c r="V192">
        <v>22.2</v>
      </c>
      <c r="W192">
        <v>34.799999999999997</v>
      </c>
    </row>
    <row r="193" spans="1:26" x14ac:dyDescent="0.2">
      <c r="A193" s="3">
        <v>42586</v>
      </c>
      <c r="B193">
        <v>304</v>
      </c>
      <c r="C193">
        <v>7</v>
      </c>
      <c r="D193" t="s">
        <v>27</v>
      </c>
      <c r="E193" t="s">
        <v>34</v>
      </c>
      <c r="F193" t="s">
        <v>29</v>
      </c>
      <c r="G193" t="s">
        <v>35</v>
      </c>
      <c r="H193" s="17" t="s">
        <v>1002</v>
      </c>
      <c r="I193" s="17" t="s">
        <v>1003</v>
      </c>
      <c r="J193" t="s">
        <v>39</v>
      </c>
      <c r="L193" t="s">
        <v>51</v>
      </c>
      <c r="M193" t="s">
        <v>495</v>
      </c>
      <c r="N193" t="s">
        <v>260</v>
      </c>
      <c r="O193">
        <v>2</v>
      </c>
      <c r="P193" t="s">
        <v>759</v>
      </c>
      <c r="Q193">
        <v>1</v>
      </c>
      <c r="R193" t="s">
        <v>759</v>
      </c>
      <c r="T193">
        <f>35-14.5</f>
        <v>20.5</v>
      </c>
      <c r="Z193" t="s">
        <v>1004</v>
      </c>
    </row>
    <row r="194" spans="1:26" x14ac:dyDescent="0.2">
      <c r="A194" s="3">
        <v>42586</v>
      </c>
      <c r="B194">
        <v>304</v>
      </c>
      <c r="C194">
        <v>5</v>
      </c>
      <c r="D194" t="s">
        <v>142</v>
      </c>
      <c r="E194" t="s">
        <v>34</v>
      </c>
      <c r="F194" t="s">
        <v>188</v>
      </c>
      <c r="G194" t="s">
        <v>35</v>
      </c>
      <c r="H194" s="17" t="s">
        <v>1005</v>
      </c>
      <c r="J194" t="s">
        <v>39</v>
      </c>
      <c r="L194" t="s">
        <v>51</v>
      </c>
      <c r="M194" t="s">
        <v>495</v>
      </c>
      <c r="N194" t="s">
        <v>260</v>
      </c>
      <c r="Q194" t="s">
        <v>1008</v>
      </c>
      <c r="R194" t="s">
        <v>759</v>
      </c>
      <c r="T194">
        <f>31-16</f>
        <v>15</v>
      </c>
    </row>
    <row r="195" spans="1:26" x14ac:dyDescent="0.2">
      <c r="A195" s="3">
        <v>42586</v>
      </c>
      <c r="B195">
        <v>304</v>
      </c>
      <c r="C195">
        <v>3</v>
      </c>
      <c r="D195" t="s">
        <v>27</v>
      </c>
      <c r="E195" t="s">
        <v>28</v>
      </c>
      <c r="F195" t="s">
        <v>123</v>
      </c>
      <c r="G195" t="s">
        <v>30</v>
      </c>
      <c r="H195" s="17" t="s">
        <v>943</v>
      </c>
      <c r="I195" s="17" t="s">
        <v>944</v>
      </c>
      <c r="J195" t="s">
        <v>31</v>
      </c>
      <c r="L195" t="s">
        <v>260</v>
      </c>
      <c r="T195">
        <f>33-17.5</f>
        <v>15.5</v>
      </c>
      <c r="X195" t="s">
        <v>145</v>
      </c>
      <c r="Z195" t="s">
        <v>1039</v>
      </c>
    </row>
    <row r="196" spans="1:26" x14ac:dyDescent="0.2">
      <c r="A196" s="3">
        <v>42586</v>
      </c>
      <c r="B196">
        <v>304</v>
      </c>
      <c r="C196">
        <v>1</v>
      </c>
      <c r="D196" t="s">
        <v>27</v>
      </c>
      <c r="E196" t="s">
        <v>28</v>
      </c>
      <c r="F196" t="s">
        <v>123</v>
      </c>
      <c r="G196" t="s">
        <v>35</v>
      </c>
      <c r="H196" s="17" t="s">
        <v>1006</v>
      </c>
      <c r="I196" s="17" t="s">
        <v>1007</v>
      </c>
      <c r="J196" t="s">
        <v>63</v>
      </c>
      <c r="L196" t="s">
        <v>51</v>
      </c>
      <c r="M196" t="s">
        <v>495</v>
      </c>
      <c r="N196" t="s">
        <v>260</v>
      </c>
      <c r="O196">
        <v>6</v>
      </c>
      <c r="P196" t="s">
        <v>759</v>
      </c>
      <c r="Q196">
        <v>6</v>
      </c>
      <c r="R196" t="s">
        <v>759</v>
      </c>
      <c r="T196">
        <f>33.5-18</f>
        <v>15.5</v>
      </c>
    </row>
    <row r="197" spans="1:26" x14ac:dyDescent="0.2">
      <c r="A197" s="3">
        <v>42586</v>
      </c>
      <c r="B197">
        <v>201</v>
      </c>
      <c r="C197">
        <v>1</v>
      </c>
      <c r="D197" t="s">
        <v>27</v>
      </c>
      <c r="E197" t="s">
        <v>28</v>
      </c>
      <c r="F197" t="s">
        <v>188</v>
      </c>
      <c r="G197" t="s">
        <v>30</v>
      </c>
      <c r="H197" s="17" t="s">
        <v>1138</v>
      </c>
      <c r="I197" s="17" t="s">
        <v>1139</v>
      </c>
      <c r="J197" t="s">
        <v>31</v>
      </c>
      <c r="L197" t="s">
        <v>51</v>
      </c>
      <c r="M197" t="s">
        <v>495</v>
      </c>
      <c r="N197" t="s">
        <v>260</v>
      </c>
      <c r="O197">
        <v>1</v>
      </c>
      <c r="P197" t="s">
        <v>759</v>
      </c>
      <c r="Q197">
        <v>1</v>
      </c>
      <c r="R197" t="s">
        <v>759</v>
      </c>
      <c r="T197">
        <f>31.5-13</f>
        <v>18.5</v>
      </c>
      <c r="U197">
        <v>18</v>
      </c>
      <c r="V197">
        <v>13.4</v>
      </c>
      <c r="W197">
        <v>27</v>
      </c>
    </row>
    <row r="198" spans="1:26" x14ac:dyDescent="0.2">
      <c r="A198" s="3">
        <v>42586</v>
      </c>
      <c r="B198">
        <v>201</v>
      </c>
      <c r="C198">
        <v>7</v>
      </c>
      <c r="D198" t="s">
        <v>27</v>
      </c>
      <c r="E198" t="s">
        <v>28</v>
      </c>
      <c r="F198" t="s">
        <v>188</v>
      </c>
      <c r="G198" t="s">
        <v>35</v>
      </c>
      <c r="H198" s="17" t="s">
        <v>1319</v>
      </c>
      <c r="I198" s="17" t="s">
        <v>1320</v>
      </c>
      <c r="J198" t="s">
        <v>39</v>
      </c>
      <c r="L198" t="s">
        <v>51</v>
      </c>
      <c r="M198" t="s">
        <v>494</v>
      </c>
      <c r="N198" t="s">
        <v>260</v>
      </c>
      <c r="O198">
        <v>6</v>
      </c>
      <c r="P198" t="s">
        <v>759</v>
      </c>
      <c r="T198">
        <f>32-14</f>
        <v>18</v>
      </c>
      <c r="U198">
        <v>17</v>
      </c>
      <c r="V198">
        <v>13.3</v>
      </c>
      <c r="W198">
        <v>27.8</v>
      </c>
    </row>
    <row r="199" spans="1:26" x14ac:dyDescent="0.2">
      <c r="A199" s="3">
        <v>42586</v>
      </c>
      <c r="B199">
        <v>201</v>
      </c>
      <c r="C199">
        <v>8</v>
      </c>
      <c r="D199" t="s">
        <v>52</v>
      </c>
      <c r="E199" t="s">
        <v>28</v>
      </c>
      <c r="F199" t="s">
        <v>29</v>
      </c>
      <c r="G199" t="s">
        <v>35</v>
      </c>
      <c r="H199" s="17" t="s">
        <v>1321</v>
      </c>
      <c r="J199" t="s">
        <v>63</v>
      </c>
      <c r="L199" t="s">
        <v>51</v>
      </c>
      <c r="M199" t="s">
        <v>495</v>
      </c>
      <c r="N199" t="s">
        <v>260</v>
      </c>
      <c r="O199" t="s">
        <v>928</v>
      </c>
      <c r="P199" t="s">
        <v>837</v>
      </c>
      <c r="Q199" t="s">
        <v>1322</v>
      </c>
      <c r="R199" t="s">
        <v>837</v>
      </c>
      <c r="T199">
        <f>34.5-12</f>
        <v>22.5</v>
      </c>
      <c r="U199">
        <v>17</v>
      </c>
      <c r="V199">
        <v>12.7</v>
      </c>
      <c r="W199">
        <v>30.8</v>
      </c>
    </row>
    <row r="200" spans="1:26" x14ac:dyDescent="0.2">
      <c r="A200" s="3">
        <v>42586</v>
      </c>
      <c r="B200">
        <v>201</v>
      </c>
      <c r="C200">
        <v>9</v>
      </c>
      <c r="D200" t="s">
        <v>27</v>
      </c>
      <c r="E200" t="s">
        <v>28</v>
      </c>
      <c r="F200" t="s">
        <v>188</v>
      </c>
      <c r="G200" t="s">
        <v>30</v>
      </c>
      <c r="H200" s="17" t="s">
        <v>1308</v>
      </c>
      <c r="I200" s="17" t="s">
        <v>1309</v>
      </c>
      <c r="J200" t="s">
        <v>31</v>
      </c>
      <c r="L200" t="s">
        <v>51</v>
      </c>
      <c r="M200" t="s">
        <v>493</v>
      </c>
      <c r="N200" t="s">
        <v>260</v>
      </c>
      <c r="Q200">
        <v>6</v>
      </c>
      <c r="R200" t="s">
        <v>759</v>
      </c>
      <c r="T200">
        <f>29.5-14.5</f>
        <v>15</v>
      </c>
      <c r="U200">
        <v>19</v>
      </c>
      <c r="V200">
        <v>12.8</v>
      </c>
      <c r="W200">
        <v>28.1</v>
      </c>
    </row>
    <row r="201" spans="1:26" x14ac:dyDescent="0.2">
      <c r="A201" s="3">
        <v>42586</v>
      </c>
      <c r="B201">
        <v>201</v>
      </c>
      <c r="C201">
        <v>10</v>
      </c>
      <c r="D201" t="s">
        <v>52</v>
      </c>
      <c r="E201" t="s">
        <v>34</v>
      </c>
      <c r="F201" t="s">
        <v>123</v>
      </c>
      <c r="G201" t="s">
        <v>30</v>
      </c>
      <c r="H201" s="17" t="s">
        <v>875</v>
      </c>
      <c r="J201" t="s">
        <v>91</v>
      </c>
      <c r="L201" t="s">
        <v>51</v>
      </c>
      <c r="M201" t="s">
        <v>495</v>
      </c>
      <c r="N201" t="s">
        <v>260</v>
      </c>
      <c r="O201">
        <v>1</v>
      </c>
      <c r="P201" t="s">
        <v>759</v>
      </c>
      <c r="Q201">
        <v>1</v>
      </c>
      <c r="R201" t="s">
        <v>759</v>
      </c>
      <c r="T201">
        <f>31-14</f>
        <v>17</v>
      </c>
      <c r="U201">
        <v>17</v>
      </c>
      <c r="V201">
        <v>12.4</v>
      </c>
      <c r="W201">
        <v>25.15</v>
      </c>
    </row>
    <row r="202" spans="1:26" x14ac:dyDescent="0.2">
      <c r="A202" s="3">
        <v>42586</v>
      </c>
      <c r="B202">
        <v>201</v>
      </c>
      <c r="C202">
        <v>10</v>
      </c>
      <c r="D202" t="s">
        <v>27</v>
      </c>
      <c r="E202" t="s">
        <v>28</v>
      </c>
      <c r="F202" t="s">
        <v>188</v>
      </c>
      <c r="G202" t="s">
        <v>35</v>
      </c>
      <c r="H202" s="17" t="s">
        <v>1142</v>
      </c>
      <c r="I202" s="17" t="s">
        <v>1143</v>
      </c>
      <c r="J202" t="s">
        <v>39</v>
      </c>
      <c r="L202" t="s">
        <v>51</v>
      </c>
      <c r="M202" t="s">
        <v>494</v>
      </c>
      <c r="N202" t="s">
        <v>260</v>
      </c>
      <c r="O202">
        <v>1</v>
      </c>
      <c r="P202" t="s">
        <v>759</v>
      </c>
      <c r="T202">
        <f>31.5-15</f>
        <v>16.5</v>
      </c>
      <c r="U202">
        <v>18</v>
      </c>
      <c r="V202">
        <v>13</v>
      </c>
      <c r="W202">
        <v>25.3</v>
      </c>
    </row>
    <row r="203" spans="1:26" x14ac:dyDescent="0.2">
      <c r="A203" s="3">
        <v>42586</v>
      </c>
      <c r="B203">
        <v>203</v>
      </c>
      <c r="C203">
        <v>2</v>
      </c>
      <c r="D203" t="s">
        <v>139</v>
      </c>
      <c r="E203" t="s">
        <v>34</v>
      </c>
      <c r="F203" t="s">
        <v>188</v>
      </c>
      <c r="G203" t="s">
        <v>30</v>
      </c>
      <c r="H203" s="17" t="s">
        <v>878</v>
      </c>
      <c r="L203" t="s">
        <v>51</v>
      </c>
      <c r="S203" t="s">
        <v>759</v>
      </c>
      <c r="T203">
        <f>165-90</f>
        <v>75</v>
      </c>
      <c r="U203">
        <v>30</v>
      </c>
      <c r="V203">
        <v>21.9</v>
      </c>
      <c r="W203">
        <v>40</v>
      </c>
    </row>
    <row r="204" spans="1:26" x14ac:dyDescent="0.2">
      <c r="A204" s="3">
        <v>42586</v>
      </c>
      <c r="B204">
        <v>203</v>
      </c>
      <c r="C204">
        <v>3</v>
      </c>
      <c r="D204" t="s">
        <v>27</v>
      </c>
      <c r="E204" t="s">
        <v>28</v>
      </c>
      <c r="F204" t="s">
        <v>188</v>
      </c>
      <c r="G204" t="s">
        <v>30</v>
      </c>
      <c r="H204" s="17" t="s">
        <v>1145</v>
      </c>
      <c r="I204" s="17" t="s">
        <v>1146</v>
      </c>
      <c r="J204" t="s">
        <v>31</v>
      </c>
      <c r="L204" t="s">
        <v>51</v>
      </c>
      <c r="M204" t="s">
        <v>494</v>
      </c>
      <c r="N204" t="s">
        <v>260</v>
      </c>
      <c r="O204" t="s">
        <v>1156</v>
      </c>
      <c r="P204" t="s">
        <v>759</v>
      </c>
      <c r="T204">
        <f>30-14.5</f>
        <v>15.5</v>
      </c>
      <c r="U204">
        <v>19</v>
      </c>
      <c r="V204">
        <v>12.9</v>
      </c>
      <c r="W204">
        <v>25.6</v>
      </c>
    </row>
    <row r="205" spans="1:26" x14ac:dyDescent="0.2">
      <c r="A205" s="3">
        <v>42586</v>
      </c>
      <c r="B205">
        <v>202</v>
      </c>
      <c r="C205">
        <v>4</v>
      </c>
      <c r="D205" t="s">
        <v>27</v>
      </c>
      <c r="E205" t="s">
        <v>28</v>
      </c>
      <c r="F205" t="s">
        <v>188</v>
      </c>
      <c r="G205" t="s">
        <v>35</v>
      </c>
      <c r="H205" s="17" t="s">
        <v>1313</v>
      </c>
      <c r="I205" s="17" t="s">
        <v>1314</v>
      </c>
      <c r="J205" t="s">
        <v>63</v>
      </c>
      <c r="L205" t="s">
        <v>51</v>
      </c>
      <c r="M205" t="s">
        <v>495</v>
      </c>
      <c r="N205" t="s">
        <v>260</v>
      </c>
      <c r="O205" t="s">
        <v>923</v>
      </c>
      <c r="P205" t="s">
        <v>759</v>
      </c>
      <c r="Q205">
        <v>1</v>
      </c>
      <c r="R205" t="s">
        <v>759</v>
      </c>
      <c r="T205">
        <f>30.5-15.5</f>
        <v>15</v>
      </c>
      <c r="U205">
        <v>17</v>
      </c>
      <c r="V205">
        <v>13.1</v>
      </c>
      <c r="W205">
        <v>27.3</v>
      </c>
    </row>
    <row r="206" spans="1:26" x14ac:dyDescent="0.2">
      <c r="A206" s="3">
        <v>42586</v>
      </c>
      <c r="B206">
        <v>202</v>
      </c>
      <c r="C206">
        <v>5</v>
      </c>
      <c r="D206" t="s">
        <v>27</v>
      </c>
      <c r="E206" t="s">
        <v>28</v>
      </c>
      <c r="F206" t="s">
        <v>188</v>
      </c>
      <c r="G206" t="s">
        <v>35</v>
      </c>
      <c r="H206" s="17" t="s">
        <v>1316</v>
      </c>
      <c r="I206" s="17" t="s">
        <v>1317</v>
      </c>
      <c r="J206" t="s">
        <v>63</v>
      </c>
      <c r="L206" t="s">
        <v>51</v>
      </c>
      <c r="M206" t="s">
        <v>494</v>
      </c>
      <c r="N206" t="s">
        <v>260</v>
      </c>
      <c r="O206">
        <v>1</v>
      </c>
      <c r="P206" t="s">
        <v>759</v>
      </c>
      <c r="T206">
        <f>30-15.5</f>
        <v>14.5</v>
      </c>
      <c r="U206">
        <v>18</v>
      </c>
      <c r="V206">
        <v>12.1</v>
      </c>
      <c r="W206">
        <v>27</v>
      </c>
    </row>
    <row r="207" spans="1:26" x14ac:dyDescent="0.2">
      <c r="A207" s="3">
        <v>42586</v>
      </c>
      <c r="B207">
        <v>304</v>
      </c>
      <c r="C207">
        <v>6</v>
      </c>
      <c r="D207" t="s">
        <v>52</v>
      </c>
      <c r="E207" t="s">
        <v>34</v>
      </c>
      <c r="F207" t="s">
        <v>123</v>
      </c>
      <c r="G207" t="s">
        <v>30</v>
      </c>
      <c r="H207" s="17" t="s">
        <v>894</v>
      </c>
      <c r="J207" t="s">
        <v>31</v>
      </c>
      <c r="L207" t="s">
        <v>51</v>
      </c>
      <c r="M207" t="s">
        <v>495</v>
      </c>
      <c r="N207" t="s">
        <v>260</v>
      </c>
      <c r="O207" t="s">
        <v>844</v>
      </c>
      <c r="P207" t="s">
        <v>759</v>
      </c>
      <c r="Q207" t="s">
        <v>844</v>
      </c>
      <c r="R207" t="s">
        <v>759</v>
      </c>
      <c r="T207">
        <f>32-14</f>
        <v>18</v>
      </c>
    </row>
    <row r="208" spans="1:26" x14ac:dyDescent="0.2">
      <c r="A208" s="3">
        <v>42587</v>
      </c>
      <c r="B208">
        <v>111</v>
      </c>
      <c r="C208">
        <v>2</v>
      </c>
      <c r="D208" t="s">
        <v>27</v>
      </c>
      <c r="E208" t="s">
        <v>28</v>
      </c>
      <c r="F208" t="s">
        <v>188</v>
      </c>
      <c r="G208" t="s">
        <v>35</v>
      </c>
      <c r="H208" s="17" t="s">
        <v>950</v>
      </c>
      <c r="I208" s="17" t="s">
        <v>951</v>
      </c>
      <c r="J208" t="s">
        <v>39</v>
      </c>
      <c r="L208" t="s">
        <v>51</v>
      </c>
      <c r="M208" t="s">
        <v>495</v>
      </c>
      <c r="N208" t="s">
        <v>260</v>
      </c>
      <c r="O208">
        <v>2</v>
      </c>
      <c r="P208" t="s">
        <v>759</v>
      </c>
      <c r="Q208">
        <v>1</v>
      </c>
      <c r="R208" t="s">
        <v>759</v>
      </c>
      <c r="T208">
        <f>34-16.5</f>
        <v>17.5</v>
      </c>
      <c r="U208">
        <v>19</v>
      </c>
      <c r="V208">
        <v>13</v>
      </c>
      <c r="W208">
        <v>27.6</v>
      </c>
    </row>
    <row r="209" spans="1:26" x14ac:dyDescent="0.2">
      <c r="A209" s="3">
        <v>42587</v>
      </c>
      <c r="B209">
        <v>111</v>
      </c>
      <c r="C209">
        <v>6</v>
      </c>
      <c r="D209" t="s">
        <v>27</v>
      </c>
      <c r="E209" t="s">
        <v>28</v>
      </c>
      <c r="F209" t="s">
        <v>123</v>
      </c>
      <c r="G209" t="s">
        <v>35</v>
      </c>
      <c r="H209" s="17" t="s">
        <v>1071</v>
      </c>
      <c r="I209" s="17" t="s">
        <v>1072</v>
      </c>
      <c r="J209" t="s">
        <v>63</v>
      </c>
      <c r="L209" t="s">
        <v>51</v>
      </c>
      <c r="M209" t="s">
        <v>493</v>
      </c>
      <c r="N209" t="s">
        <v>260</v>
      </c>
      <c r="Q209">
        <v>1</v>
      </c>
      <c r="R209" t="s">
        <v>759</v>
      </c>
      <c r="T209">
        <f>26.5-12.5</f>
        <v>14</v>
      </c>
    </row>
    <row r="210" spans="1:26" x14ac:dyDescent="0.2">
      <c r="A210" s="3">
        <v>42587</v>
      </c>
      <c r="B210">
        <v>112</v>
      </c>
      <c r="C210">
        <v>1</v>
      </c>
      <c r="D210" t="s">
        <v>142</v>
      </c>
      <c r="E210" t="s">
        <v>34</v>
      </c>
      <c r="F210" t="s">
        <v>29</v>
      </c>
      <c r="G210" t="s">
        <v>35</v>
      </c>
      <c r="H210" s="17" t="s">
        <v>1167</v>
      </c>
      <c r="J210" t="s">
        <v>39</v>
      </c>
      <c r="L210" t="s">
        <v>51</v>
      </c>
      <c r="M210" t="s">
        <v>495</v>
      </c>
      <c r="N210" t="s">
        <v>260</v>
      </c>
      <c r="O210">
        <v>1</v>
      </c>
      <c r="P210" t="s">
        <v>832</v>
      </c>
      <c r="Q210">
        <v>1</v>
      </c>
      <c r="R210" t="s">
        <v>832</v>
      </c>
      <c r="T210">
        <f>32.5-13</f>
        <v>19.5</v>
      </c>
      <c r="U210">
        <v>29</v>
      </c>
      <c r="V210">
        <v>12.8</v>
      </c>
      <c r="W210">
        <v>26.9</v>
      </c>
    </row>
    <row r="211" spans="1:26" x14ac:dyDescent="0.2">
      <c r="A211" s="3">
        <v>42587</v>
      </c>
      <c r="B211">
        <v>112</v>
      </c>
      <c r="C211">
        <v>2</v>
      </c>
      <c r="D211" t="s">
        <v>27</v>
      </c>
      <c r="E211" t="s">
        <v>28</v>
      </c>
      <c r="F211" t="s">
        <v>29</v>
      </c>
      <c r="G211" t="s">
        <v>35</v>
      </c>
      <c r="H211" s="17" t="s">
        <v>1049</v>
      </c>
      <c r="I211" s="17" t="s">
        <v>1050</v>
      </c>
      <c r="J211" t="s">
        <v>39</v>
      </c>
      <c r="L211" t="s">
        <v>51</v>
      </c>
      <c r="M211" t="s">
        <v>494</v>
      </c>
      <c r="N211" t="s">
        <v>260</v>
      </c>
      <c r="O211">
        <v>6</v>
      </c>
      <c r="P211" t="s">
        <v>759</v>
      </c>
      <c r="T211">
        <f>33-13</f>
        <v>20</v>
      </c>
      <c r="U211">
        <v>19</v>
      </c>
      <c r="V211">
        <v>13</v>
      </c>
      <c r="W211">
        <v>27.5</v>
      </c>
    </row>
    <row r="212" spans="1:26" x14ac:dyDescent="0.2">
      <c r="A212" s="3">
        <v>42587</v>
      </c>
      <c r="B212">
        <v>112</v>
      </c>
      <c r="C212">
        <v>3</v>
      </c>
      <c r="D212" t="s">
        <v>142</v>
      </c>
      <c r="E212" t="s">
        <v>28</v>
      </c>
      <c r="F212" t="s">
        <v>29</v>
      </c>
      <c r="G212" t="s">
        <v>35</v>
      </c>
      <c r="H212" s="17" t="s">
        <v>913</v>
      </c>
      <c r="J212" t="s">
        <v>39</v>
      </c>
      <c r="L212" t="s">
        <v>51</v>
      </c>
      <c r="M212" t="s">
        <v>495</v>
      </c>
      <c r="N212" t="s">
        <v>260</v>
      </c>
      <c r="O212">
        <v>1</v>
      </c>
      <c r="P212" t="s">
        <v>832</v>
      </c>
      <c r="Q212">
        <v>1</v>
      </c>
      <c r="R212" t="s">
        <v>832</v>
      </c>
      <c r="T212">
        <f>34-15</f>
        <v>19</v>
      </c>
      <c r="U212">
        <v>30</v>
      </c>
      <c r="V212">
        <v>13</v>
      </c>
      <c r="W212">
        <v>25.4</v>
      </c>
    </row>
    <row r="213" spans="1:26" x14ac:dyDescent="0.2">
      <c r="A213" s="3">
        <v>42587</v>
      </c>
      <c r="B213">
        <v>112</v>
      </c>
      <c r="C213">
        <v>4</v>
      </c>
      <c r="D213" t="s">
        <v>142</v>
      </c>
      <c r="E213" t="s">
        <v>28</v>
      </c>
      <c r="F213" t="s">
        <v>188</v>
      </c>
      <c r="G213" t="s">
        <v>35</v>
      </c>
      <c r="H213" s="17" t="s">
        <v>959</v>
      </c>
      <c r="J213" t="s">
        <v>39</v>
      </c>
      <c r="L213" t="s">
        <v>51</v>
      </c>
      <c r="M213" t="s">
        <v>495</v>
      </c>
      <c r="N213" t="s">
        <v>260</v>
      </c>
      <c r="O213">
        <v>1</v>
      </c>
      <c r="P213" t="s">
        <v>832</v>
      </c>
      <c r="Q213" t="s">
        <v>1168</v>
      </c>
      <c r="R213" t="s">
        <v>832</v>
      </c>
      <c r="T213">
        <f>31-15</f>
        <v>16</v>
      </c>
      <c r="U213">
        <v>30</v>
      </c>
      <c r="V213">
        <v>12.9</v>
      </c>
      <c r="W213">
        <v>26.7</v>
      </c>
      <c r="Z213" t="s">
        <v>1169</v>
      </c>
    </row>
    <row r="214" spans="1:26" x14ac:dyDescent="0.2">
      <c r="A214" s="3">
        <v>42587</v>
      </c>
      <c r="B214">
        <v>112</v>
      </c>
      <c r="C214">
        <v>4</v>
      </c>
      <c r="D214" t="s">
        <v>27</v>
      </c>
      <c r="E214" t="s">
        <v>28</v>
      </c>
      <c r="F214" t="s">
        <v>29</v>
      </c>
      <c r="G214" t="s">
        <v>35</v>
      </c>
      <c r="H214" s="17" t="s">
        <v>1075</v>
      </c>
      <c r="I214" s="17" t="s">
        <v>1076</v>
      </c>
      <c r="J214" t="s">
        <v>39</v>
      </c>
      <c r="L214" t="s">
        <v>51</v>
      </c>
      <c r="M214" t="s">
        <v>493</v>
      </c>
      <c r="N214" t="s">
        <v>260</v>
      </c>
      <c r="Q214" t="s">
        <v>923</v>
      </c>
      <c r="R214" t="s">
        <v>759</v>
      </c>
      <c r="T214">
        <f>37.5-17</f>
        <v>20.5</v>
      </c>
      <c r="U214">
        <v>19</v>
      </c>
      <c r="V214">
        <v>13</v>
      </c>
      <c r="W214">
        <v>27.2</v>
      </c>
    </row>
    <row r="215" spans="1:26" x14ac:dyDescent="0.2">
      <c r="A215" s="3">
        <v>42587</v>
      </c>
      <c r="B215">
        <v>112</v>
      </c>
      <c r="C215">
        <v>5</v>
      </c>
      <c r="D215" t="s">
        <v>142</v>
      </c>
      <c r="E215" t="s">
        <v>28</v>
      </c>
      <c r="F215" t="s">
        <v>29</v>
      </c>
      <c r="G215" t="s">
        <v>35</v>
      </c>
      <c r="H215" s="17" t="s">
        <v>922</v>
      </c>
      <c r="J215" t="s">
        <v>39</v>
      </c>
      <c r="L215" t="s">
        <v>51</v>
      </c>
      <c r="M215" t="s">
        <v>495</v>
      </c>
      <c r="N215" t="s">
        <v>260</v>
      </c>
      <c r="O215">
        <v>1</v>
      </c>
      <c r="P215" t="s">
        <v>759</v>
      </c>
      <c r="Q215">
        <v>1</v>
      </c>
      <c r="R215" t="s">
        <v>832</v>
      </c>
      <c r="T215">
        <f>32-13</f>
        <v>19</v>
      </c>
      <c r="U215">
        <v>30</v>
      </c>
      <c r="V215">
        <v>13</v>
      </c>
      <c r="W215">
        <v>25.8</v>
      </c>
    </row>
    <row r="216" spans="1:26" x14ac:dyDescent="0.2">
      <c r="A216" s="3">
        <v>42587</v>
      </c>
      <c r="B216">
        <v>112</v>
      </c>
      <c r="C216">
        <v>9</v>
      </c>
      <c r="D216" t="s">
        <v>27</v>
      </c>
      <c r="E216" t="s">
        <v>28</v>
      </c>
      <c r="F216" t="s">
        <v>29</v>
      </c>
      <c r="G216" t="s">
        <v>30</v>
      </c>
      <c r="H216" s="17" t="s">
        <v>1077</v>
      </c>
      <c r="I216" s="17" t="s">
        <v>1078</v>
      </c>
      <c r="J216" t="s">
        <v>273</v>
      </c>
      <c r="L216" t="s">
        <v>51</v>
      </c>
      <c r="M216" t="s">
        <v>495</v>
      </c>
      <c r="N216" t="s">
        <v>260</v>
      </c>
      <c r="O216">
        <v>1</v>
      </c>
      <c r="P216" t="s">
        <v>759</v>
      </c>
      <c r="Q216">
        <v>1</v>
      </c>
      <c r="R216" t="s">
        <v>759</v>
      </c>
      <c r="T216">
        <f>39-17</f>
        <v>22</v>
      </c>
      <c r="U216">
        <v>19</v>
      </c>
      <c r="V216">
        <v>13.1</v>
      </c>
      <c r="W216">
        <v>28.3</v>
      </c>
    </row>
    <row r="217" spans="1:26" x14ac:dyDescent="0.2">
      <c r="A217" s="3">
        <v>42587</v>
      </c>
      <c r="B217">
        <v>112</v>
      </c>
      <c r="C217">
        <v>10</v>
      </c>
      <c r="D217" t="s">
        <v>27</v>
      </c>
      <c r="E217" t="s">
        <v>28</v>
      </c>
      <c r="F217" t="s">
        <v>188</v>
      </c>
      <c r="G217" t="s">
        <v>35</v>
      </c>
      <c r="H217" s="17" t="s">
        <v>971</v>
      </c>
      <c r="I217" s="17" t="s">
        <v>972</v>
      </c>
      <c r="J217" t="s">
        <v>39</v>
      </c>
      <c r="L217" t="s">
        <v>51</v>
      </c>
      <c r="M217" t="s">
        <v>495</v>
      </c>
      <c r="N217" t="s">
        <v>260</v>
      </c>
      <c r="O217">
        <v>6</v>
      </c>
      <c r="P217" t="s">
        <v>759</v>
      </c>
      <c r="Q217">
        <v>6</v>
      </c>
      <c r="R217" t="s">
        <v>759</v>
      </c>
      <c r="T217">
        <f>34-15</f>
        <v>19</v>
      </c>
      <c r="U217">
        <v>19</v>
      </c>
      <c r="V217">
        <v>13</v>
      </c>
      <c r="W217">
        <v>27.2</v>
      </c>
    </row>
    <row r="218" spans="1:26" x14ac:dyDescent="0.2">
      <c r="A218" s="3">
        <v>42587</v>
      </c>
      <c r="B218">
        <v>113</v>
      </c>
      <c r="C218">
        <v>1</v>
      </c>
      <c r="D218" t="s">
        <v>27</v>
      </c>
      <c r="E218" t="s">
        <v>28</v>
      </c>
      <c r="F218" t="s">
        <v>123</v>
      </c>
      <c r="G218" t="s">
        <v>30</v>
      </c>
      <c r="H218" s="17" t="s">
        <v>975</v>
      </c>
      <c r="I218" s="17" t="s">
        <v>976</v>
      </c>
      <c r="J218" t="s">
        <v>31</v>
      </c>
      <c r="L218" t="s">
        <v>51</v>
      </c>
      <c r="M218" t="s">
        <v>494</v>
      </c>
      <c r="N218" t="s">
        <v>260</v>
      </c>
      <c r="O218">
        <v>7</v>
      </c>
      <c r="P218" t="s">
        <v>759</v>
      </c>
      <c r="T218">
        <f>28.5-17.5</f>
        <v>11</v>
      </c>
      <c r="U218">
        <v>18.5</v>
      </c>
      <c r="V218">
        <v>12.5</v>
      </c>
      <c r="W218">
        <v>24.5</v>
      </c>
    </row>
    <row r="219" spans="1:26" x14ac:dyDescent="0.2">
      <c r="A219" s="3">
        <v>42587</v>
      </c>
      <c r="B219">
        <v>113</v>
      </c>
      <c r="C219">
        <v>9</v>
      </c>
      <c r="D219" t="s">
        <v>27</v>
      </c>
      <c r="E219" t="s">
        <v>28</v>
      </c>
      <c r="F219" t="s">
        <v>123</v>
      </c>
      <c r="G219" t="s">
        <v>30</v>
      </c>
      <c r="H219" s="17" t="s">
        <v>985</v>
      </c>
      <c r="I219" s="17" t="s">
        <v>986</v>
      </c>
      <c r="J219" t="s">
        <v>31</v>
      </c>
      <c r="L219" t="s">
        <v>51</v>
      </c>
      <c r="M219" t="s">
        <v>493</v>
      </c>
      <c r="N219" t="s">
        <v>260</v>
      </c>
      <c r="Q219">
        <v>1</v>
      </c>
      <c r="R219" t="s">
        <v>759</v>
      </c>
      <c r="T219">
        <f>28-16.5</f>
        <v>11.5</v>
      </c>
      <c r="U219">
        <v>16</v>
      </c>
      <c r="V219">
        <v>75</v>
      </c>
      <c r="W219">
        <v>16</v>
      </c>
    </row>
    <row r="220" spans="1:26" x14ac:dyDescent="0.2">
      <c r="A220" s="3">
        <v>42587</v>
      </c>
      <c r="B220">
        <v>402</v>
      </c>
      <c r="C220">
        <v>1</v>
      </c>
      <c r="D220" t="s">
        <v>52</v>
      </c>
      <c r="E220" t="s">
        <v>28</v>
      </c>
      <c r="F220" t="s">
        <v>29</v>
      </c>
      <c r="G220" t="s">
        <v>35</v>
      </c>
      <c r="H220" s="17" t="s">
        <v>1183</v>
      </c>
      <c r="J220" t="s">
        <v>39</v>
      </c>
      <c r="L220" t="s">
        <v>51</v>
      </c>
      <c r="M220" t="s">
        <v>495</v>
      </c>
      <c r="N220" t="s">
        <v>260</v>
      </c>
      <c r="O220">
        <v>2</v>
      </c>
      <c r="P220" t="s">
        <v>832</v>
      </c>
      <c r="Q220">
        <v>2</v>
      </c>
      <c r="R220" t="s">
        <v>832</v>
      </c>
      <c r="T220">
        <f>37-16.5</f>
        <v>20.5</v>
      </c>
      <c r="U220">
        <v>17.5</v>
      </c>
      <c r="V220">
        <v>12.8</v>
      </c>
      <c r="W220">
        <v>27.4</v>
      </c>
    </row>
    <row r="221" spans="1:26" x14ac:dyDescent="0.2">
      <c r="A221" s="3">
        <v>42587</v>
      </c>
      <c r="B221">
        <v>402</v>
      </c>
      <c r="C221">
        <v>2</v>
      </c>
      <c r="D221" t="s">
        <v>52</v>
      </c>
      <c r="E221" t="s">
        <v>28</v>
      </c>
      <c r="F221" t="s">
        <v>188</v>
      </c>
      <c r="G221" t="s">
        <v>35</v>
      </c>
      <c r="H221" s="17" t="s">
        <v>930</v>
      </c>
      <c r="J221" t="s">
        <v>39</v>
      </c>
      <c r="L221" t="s">
        <v>51</v>
      </c>
      <c r="M221" t="s">
        <v>495</v>
      </c>
      <c r="N221" t="s">
        <v>260</v>
      </c>
      <c r="O221">
        <v>2</v>
      </c>
      <c r="P221" t="s">
        <v>832</v>
      </c>
      <c r="Q221" t="s">
        <v>1185</v>
      </c>
      <c r="R221" t="s">
        <v>832</v>
      </c>
      <c r="T221">
        <f>34-15.5</f>
        <v>18.5</v>
      </c>
      <c r="Z221" t="s">
        <v>1186</v>
      </c>
    </row>
    <row r="222" spans="1:26" x14ac:dyDescent="0.2">
      <c r="A222" s="3">
        <v>42587</v>
      </c>
      <c r="B222">
        <v>402</v>
      </c>
      <c r="C222">
        <v>4</v>
      </c>
      <c r="D222" t="s">
        <v>142</v>
      </c>
      <c r="E222" t="s">
        <v>34</v>
      </c>
      <c r="F222" t="s">
        <v>29</v>
      </c>
      <c r="G222" t="s">
        <v>30</v>
      </c>
      <c r="H222" s="17" t="s">
        <v>1187</v>
      </c>
      <c r="J222" t="s">
        <v>192</v>
      </c>
      <c r="L222" t="s">
        <v>51</v>
      </c>
      <c r="M222" t="s">
        <v>495</v>
      </c>
      <c r="N222" t="s">
        <v>260</v>
      </c>
      <c r="O222">
        <v>1</v>
      </c>
      <c r="P222" t="s">
        <v>832</v>
      </c>
      <c r="Q222">
        <v>1</v>
      </c>
      <c r="R222" t="s">
        <v>832</v>
      </c>
      <c r="T222">
        <f>49-13</f>
        <v>36</v>
      </c>
      <c r="U222">
        <v>30.5</v>
      </c>
      <c r="V222">
        <v>13.1</v>
      </c>
      <c r="W222">
        <v>26.6</v>
      </c>
    </row>
    <row r="223" spans="1:26" x14ac:dyDescent="0.2">
      <c r="A223" s="3">
        <v>42587</v>
      </c>
      <c r="B223">
        <v>402</v>
      </c>
      <c r="C223">
        <v>6</v>
      </c>
      <c r="D223" t="s">
        <v>52</v>
      </c>
      <c r="E223" t="s">
        <v>28</v>
      </c>
      <c r="F223" t="s">
        <v>29</v>
      </c>
      <c r="G223" t="s">
        <v>35</v>
      </c>
      <c r="H223" s="17" t="s">
        <v>1189</v>
      </c>
      <c r="J223" t="s">
        <v>39</v>
      </c>
      <c r="L223" t="s">
        <v>51</v>
      </c>
      <c r="M223" t="s">
        <v>495</v>
      </c>
      <c r="N223" t="s">
        <v>260</v>
      </c>
      <c r="O223" t="s">
        <v>1191</v>
      </c>
      <c r="P223" t="s">
        <v>837</v>
      </c>
      <c r="Q223" t="s">
        <v>844</v>
      </c>
      <c r="R223" t="s">
        <v>832</v>
      </c>
      <c r="T223">
        <f>41-16</f>
        <v>25</v>
      </c>
      <c r="U223">
        <v>18</v>
      </c>
      <c r="V223">
        <v>13.1</v>
      </c>
      <c r="Z223" t="s">
        <v>1192</v>
      </c>
    </row>
    <row r="224" spans="1:26" x14ac:dyDescent="0.2">
      <c r="A224" s="3">
        <v>42587</v>
      </c>
      <c r="B224">
        <v>402</v>
      </c>
      <c r="C224">
        <v>7</v>
      </c>
      <c r="D224" t="s">
        <v>62</v>
      </c>
      <c r="E224" t="s">
        <v>28</v>
      </c>
      <c r="F224" t="s">
        <v>123</v>
      </c>
      <c r="G224" t="s">
        <v>30</v>
      </c>
      <c r="H224" s="17" t="s">
        <v>935</v>
      </c>
      <c r="J224" t="s">
        <v>31</v>
      </c>
      <c r="L224" t="s">
        <v>633</v>
      </c>
      <c r="M224" t="s">
        <v>260</v>
      </c>
      <c r="S224" t="s">
        <v>1193</v>
      </c>
      <c r="T224">
        <f>162-48</f>
        <v>114</v>
      </c>
    </row>
    <row r="225" spans="1:23" x14ac:dyDescent="0.2">
      <c r="A225" s="3">
        <v>42587</v>
      </c>
      <c r="B225">
        <v>402</v>
      </c>
      <c r="C225">
        <v>9</v>
      </c>
      <c r="D225" t="s">
        <v>142</v>
      </c>
      <c r="E225" t="s">
        <v>34</v>
      </c>
      <c r="F225" t="s">
        <v>188</v>
      </c>
      <c r="G225" t="s">
        <v>35</v>
      </c>
      <c r="H225" s="17" t="s">
        <v>1190</v>
      </c>
      <c r="J225" t="s">
        <v>39</v>
      </c>
      <c r="L225" t="s">
        <v>51</v>
      </c>
      <c r="M225" t="s">
        <v>495</v>
      </c>
      <c r="N225" t="s">
        <v>260</v>
      </c>
      <c r="O225">
        <v>1</v>
      </c>
      <c r="P225" t="s">
        <v>759</v>
      </c>
      <c r="Q225" t="s">
        <v>1194</v>
      </c>
      <c r="R225" t="s">
        <v>759</v>
      </c>
      <c r="T225">
        <f>32-16</f>
        <v>16</v>
      </c>
      <c r="U225">
        <v>30</v>
      </c>
      <c r="V225">
        <v>12.7</v>
      </c>
      <c r="W225">
        <v>25.7</v>
      </c>
    </row>
    <row r="226" spans="1:23" x14ac:dyDescent="0.2">
      <c r="A226" s="3">
        <v>42587</v>
      </c>
      <c r="B226">
        <v>402</v>
      </c>
      <c r="C226">
        <v>10</v>
      </c>
      <c r="D226" t="s">
        <v>139</v>
      </c>
      <c r="E226" t="s">
        <v>28</v>
      </c>
      <c r="F226" t="s">
        <v>29</v>
      </c>
      <c r="G226" t="s">
        <v>35</v>
      </c>
      <c r="H226" s="17" t="s">
        <v>997</v>
      </c>
      <c r="J226" t="s">
        <v>39</v>
      </c>
      <c r="L226" t="s">
        <v>633</v>
      </c>
      <c r="M226" t="s">
        <v>260</v>
      </c>
      <c r="S226" t="s">
        <v>1193</v>
      </c>
      <c r="T226">
        <f>130-46</f>
        <v>84</v>
      </c>
      <c r="U226">
        <v>30.5</v>
      </c>
    </row>
    <row r="227" spans="1:23" x14ac:dyDescent="0.2">
      <c r="A227" s="3">
        <v>42588</v>
      </c>
      <c r="B227">
        <v>111</v>
      </c>
      <c r="C227">
        <v>1</v>
      </c>
      <c r="D227" t="s">
        <v>27</v>
      </c>
      <c r="E227" t="s">
        <v>28</v>
      </c>
      <c r="F227" t="s">
        <v>188</v>
      </c>
      <c r="G227" t="s">
        <v>35</v>
      </c>
      <c r="H227" s="17" t="s">
        <v>950</v>
      </c>
      <c r="I227" s="17" t="s">
        <v>951</v>
      </c>
      <c r="J227" t="s">
        <v>39</v>
      </c>
      <c r="L227" t="s">
        <v>51</v>
      </c>
      <c r="M227" t="s">
        <v>495</v>
      </c>
      <c r="N227" t="s">
        <v>260</v>
      </c>
      <c r="O227">
        <v>1</v>
      </c>
      <c r="P227" t="s">
        <v>759</v>
      </c>
      <c r="Q227" t="s">
        <v>844</v>
      </c>
      <c r="R227" t="s">
        <v>832</v>
      </c>
      <c r="T227">
        <f>31-14</f>
        <v>17</v>
      </c>
      <c r="U227">
        <v>20</v>
      </c>
      <c r="V227">
        <v>12.8</v>
      </c>
      <c r="W227">
        <v>27.8</v>
      </c>
    </row>
    <row r="228" spans="1:23" x14ac:dyDescent="0.2">
      <c r="A228" s="3">
        <v>42588</v>
      </c>
      <c r="B228">
        <v>112</v>
      </c>
      <c r="C228">
        <v>4</v>
      </c>
      <c r="D228" t="s">
        <v>27</v>
      </c>
      <c r="E228" t="s">
        <v>28</v>
      </c>
      <c r="F228" t="s">
        <v>29</v>
      </c>
      <c r="G228" t="s">
        <v>35</v>
      </c>
      <c r="H228" s="17" t="s">
        <v>964</v>
      </c>
      <c r="I228" s="17" t="s">
        <v>965</v>
      </c>
      <c r="J228" t="s">
        <v>39</v>
      </c>
      <c r="L228" t="s">
        <v>51</v>
      </c>
      <c r="M228" t="s">
        <v>494</v>
      </c>
      <c r="N228" t="s">
        <v>260</v>
      </c>
      <c r="O228">
        <v>6</v>
      </c>
      <c r="P228" t="s">
        <v>759</v>
      </c>
      <c r="T228">
        <f>35-16</f>
        <v>19</v>
      </c>
      <c r="U228">
        <v>19</v>
      </c>
      <c r="V228">
        <v>13</v>
      </c>
      <c r="W228">
        <v>26.9</v>
      </c>
    </row>
    <row r="229" spans="1:23" x14ac:dyDescent="0.2">
      <c r="A229" s="3">
        <v>42588</v>
      </c>
      <c r="B229">
        <v>112</v>
      </c>
      <c r="C229">
        <v>6</v>
      </c>
      <c r="D229" t="s">
        <v>27</v>
      </c>
      <c r="E229" t="s">
        <v>28</v>
      </c>
      <c r="F229" t="s">
        <v>29</v>
      </c>
      <c r="G229" t="s">
        <v>35</v>
      </c>
      <c r="H229" s="17" t="s">
        <v>1075</v>
      </c>
      <c r="I229" s="17" t="s">
        <v>1076</v>
      </c>
      <c r="J229" t="s">
        <v>39</v>
      </c>
      <c r="L229" t="s">
        <v>51</v>
      </c>
      <c r="M229" t="s">
        <v>495</v>
      </c>
      <c r="N229" t="s">
        <v>260</v>
      </c>
      <c r="O229">
        <v>6</v>
      </c>
      <c r="P229" t="s">
        <v>759</v>
      </c>
      <c r="Q229">
        <v>6</v>
      </c>
      <c r="R229" t="s">
        <v>759</v>
      </c>
      <c r="T229">
        <f>37-18</f>
        <v>19</v>
      </c>
      <c r="U229">
        <v>19</v>
      </c>
      <c r="V229">
        <v>12.9</v>
      </c>
      <c r="W229">
        <v>27.3</v>
      </c>
    </row>
    <row r="230" spans="1:23" x14ac:dyDescent="0.2">
      <c r="A230" s="3">
        <v>42588</v>
      </c>
      <c r="B230">
        <v>112</v>
      </c>
      <c r="C230">
        <v>10</v>
      </c>
      <c r="D230" t="s">
        <v>27</v>
      </c>
      <c r="E230" t="s">
        <v>28</v>
      </c>
      <c r="F230" t="s">
        <v>188</v>
      </c>
      <c r="G230" t="s">
        <v>30</v>
      </c>
      <c r="H230" s="17" t="s">
        <v>973</v>
      </c>
      <c r="I230" s="17" t="s">
        <v>974</v>
      </c>
      <c r="J230" t="s">
        <v>83</v>
      </c>
      <c r="L230" t="s">
        <v>51</v>
      </c>
      <c r="M230" t="s">
        <v>493</v>
      </c>
      <c r="N230" t="s">
        <v>260</v>
      </c>
      <c r="Q230">
        <v>1</v>
      </c>
      <c r="R230" t="s">
        <v>759</v>
      </c>
      <c r="T230">
        <f>32.5-14</f>
        <v>18.5</v>
      </c>
      <c r="U230">
        <v>19</v>
      </c>
      <c r="V230">
        <v>13.1</v>
      </c>
      <c r="W230">
        <v>27.4</v>
      </c>
    </row>
    <row r="231" spans="1:23" x14ac:dyDescent="0.2">
      <c r="A231" s="3">
        <v>42588</v>
      </c>
      <c r="B231">
        <v>112</v>
      </c>
      <c r="C231">
        <v>10</v>
      </c>
      <c r="D231" t="s">
        <v>27</v>
      </c>
      <c r="E231" t="s">
        <v>28</v>
      </c>
      <c r="F231" t="s">
        <v>123</v>
      </c>
      <c r="G231" t="s">
        <v>35</v>
      </c>
      <c r="H231" s="17" t="s">
        <v>917</v>
      </c>
      <c r="I231" s="17" t="s">
        <v>918</v>
      </c>
      <c r="J231" t="s">
        <v>63</v>
      </c>
      <c r="L231" t="s">
        <v>51</v>
      </c>
      <c r="M231" t="s">
        <v>495</v>
      </c>
      <c r="N231" t="s">
        <v>260</v>
      </c>
      <c r="O231">
        <v>1</v>
      </c>
      <c r="P231" t="s">
        <v>759</v>
      </c>
      <c r="Q231">
        <v>1</v>
      </c>
      <c r="R231" t="s">
        <v>759</v>
      </c>
      <c r="T231">
        <f>25-11</f>
        <v>14</v>
      </c>
      <c r="U231">
        <v>18</v>
      </c>
      <c r="V231">
        <v>12.9</v>
      </c>
      <c r="W231">
        <v>26.3</v>
      </c>
    </row>
    <row r="232" spans="1:23" x14ac:dyDescent="0.2">
      <c r="A232" s="3">
        <v>42588</v>
      </c>
      <c r="B232">
        <v>113</v>
      </c>
      <c r="C232">
        <v>4</v>
      </c>
      <c r="D232" t="s">
        <v>27</v>
      </c>
      <c r="E232" t="s">
        <v>28</v>
      </c>
      <c r="F232" t="s">
        <v>188</v>
      </c>
      <c r="G232" t="s">
        <v>35</v>
      </c>
      <c r="H232" s="17" t="s">
        <v>983</v>
      </c>
      <c r="I232" s="17" t="s">
        <v>984</v>
      </c>
      <c r="J232" t="s">
        <v>39</v>
      </c>
      <c r="L232" t="s">
        <v>51</v>
      </c>
      <c r="M232" t="s">
        <v>493</v>
      </c>
      <c r="N232" t="s">
        <v>260</v>
      </c>
      <c r="Q232" t="s">
        <v>923</v>
      </c>
      <c r="R232" t="s">
        <v>759</v>
      </c>
      <c r="T232">
        <f>29.5-13</f>
        <v>16.5</v>
      </c>
      <c r="U232">
        <v>20.5</v>
      </c>
      <c r="V232">
        <v>12.8</v>
      </c>
      <c r="W232">
        <v>26.9</v>
      </c>
    </row>
    <row r="233" spans="1:23" x14ac:dyDescent="0.2">
      <c r="A233" s="3">
        <v>42588</v>
      </c>
      <c r="B233">
        <v>304</v>
      </c>
      <c r="C233">
        <v>2</v>
      </c>
      <c r="D233" t="s">
        <v>52</v>
      </c>
      <c r="E233" t="s">
        <v>28</v>
      </c>
      <c r="F233" t="s">
        <v>29</v>
      </c>
      <c r="G233" t="s">
        <v>35</v>
      </c>
      <c r="H233" s="17" t="s">
        <v>1189</v>
      </c>
      <c r="J233" t="s">
        <v>39</v>
      </c>
      <c r="L233" t="s">
        <v>51</v>
      </c>
      <c r="M233" t="s">
        <v>495</v>
      </c>
      <c r="N233" t="s">
        <v>260</v>
      </c>
      <c r="O233" t="s">
        <v>844</v>
      </c>
      <c r="P233" t="s">
        <v>832</v>
      </c>
      <c r="Q233" t="s">
        <v>844</v>
      </c>
      <c r="R233" t="s">
        <v>832</v>
      </c>
      <c r="T233">
        <f>39-14.5</f>
        <v>24.5</v>
      </c>
      <c r="U233">
        <v>17</v>
      </c>
      <c r="V233">
        <v>13.2</v>
      </c>
      <c r="W233">
        <v>26.9</v>
      </c>
    </row>
    <row r="234" spans="1:23" x14ac:dyDescent="0.2">
      <c r="A234" s="3">
        <v>42588</v>
      </c>
      <c r="B234">
        <v>304</v>
      </c>
      <c r="C234">
        <v>7</v>
      </c>
      <c r="D234" t="s">
        <v>142</v>
      </c>
      <c r="E234" t="s">
        <v>34</v>
      </c>
      <c r="F234" t="s">
        <v>188</v>
      </c>
      <c r="G234" t="s">
        <v>35</v>
      </c>
      <c r="H234" s="17" t="s">
        <v>1086</v>
      </c>
      <c r="J234" t="s">
        <v>39</v>
      </c>
      <c r="K234" t="s">
        <v>619</v>
      </c>
      <c r="L234" t="s">
        <v>51</v>
      </c>
      <c r="M234" t="s">
        <v>495</v>
      </c>
      <c r="N234" t="s">
        <v>260</v>
      </c>
      <c r="O234" t="s">
        <v>1227</v>
      </c>
      <c r="P234" t="s">
        <v>832</v>
      </c>
      <c r="Q234" t="s">
        <v>1228</v>
      </c>
      <c r="R234" t="s">
        <v>832</v>
      </c>
      <c r="T234">
        <f>31-13</f>
        <v>18</v>
      </c>
      <c r="U234">
        <v>28</v>
      </c>
      <c r="V234">
        <v>13</v>
      </c>
      <c r="W234">
        <v>25.9</v>
      </c>
    </row>
    <row r="235" spans="1:23" x14ac:dyDescent="0.2">
      <c r="A235" s="3">
        <v>42588</v>
      </c>
      <c r="B235">
        <v>304</v>
      </c>
      <c r="C235">
        <v>8</v>
      </c>
      <c r="D235" t="s">
        <v>142</v>
      </c>
      <c r="E235" t="s">
        <v>34</v>
      </c>
      <c r="F235" t="s">
        <v>123</v>
      </c>
      <c r="G235" t="s">
        <v>30</v>
      </c>
      <c r="H235" s="17" t="s">
        <v>1229</v>
      </c>
      <c r="J235" t="s">
        <v>31</v>
      </c>
      <c r="L235" t="s">
        <v>51</v>
      </c>
      <c r="M235" t="s">
        <v>495</v>
      </c>
      <c r="N235" t="s">
        <v>260</v>
      </c>
      <c r="O235" t="s">
        <v>1228</v>
      </c>
      <c r="P235" t="s">
        <v>832</v>
      </c>
      <c r="Q235" t="s">
        <v>1230</v>
      </c>
      <c r="R235" t="s">
        <v>832</v>
      </c>
      <c r="T235">
        <f>28-16</f>
        <v>12</v>
      </c>
      <c r="U235">
        <v>28</v>
      </c>
      <c r="V235">
        <v>12.8</v>
      </c>
      <c r="W235">
        <v>25.3</v>
      </c>
    </row>
    <row r="236" spans="1:23" x14ac:dyDescent="0.2">
      <c r="A236" s="3">
        <v>42588</v>
      </c>
      <c r="B236">
        <v>112</v>
      </c>
      <c r="C236">
        <v>2</v>
      </c>
      <c r="D236" t="s">
        <v>142</v>
      </c>
      <c r="E236" t="s">
        <v>28</v>
      </c>
      <c r="F236" t="s">
        <v>29</v>
      </c>
      <c r="G236" t="s">
        <v>35</v>
      </c>
      <c r="H236" s="17" t="s">
        <v>913</v>
      </c>
      <c r="J236" t="s">
        <v>39</v>
      </c>
      <c r="L236" t="s">
        <v>51</v>
      </c>
      <c r="M236" t="s">
        <v>494</v>
      </c>
      <c r="N236" t="s">
        <v>145</v>
      </c>
      <c r="O236">
        <v>1</v>
      </c>
      <c r="P236" t="s">
        <v>759</v>
      </c>
      <c r="T236">
        <f>33-12.5</f>
        <v>20.5</v>
      </c>
      <c r="U236">
        <v>28</v>
      </c>
      <c r="V236">
        <v>12.85</v>
      </c>
      <c r="W236">
        <v>25.3</v>
      </c>
    </row>
    <row r="237" spans="1:23" x14ac:dyDescent="0.2">
      <c r="A237" s="3">
        <v>42588</v>
      </c>
      <c r="B237">
        <v>112</v>
      </c>
      <c r="C237">
        <v>8</v>
      </c>
      <c r="D237" t="s">
        <v>142</v>
      </c>
      <c r="E237" t="s">
        <v>28</v>
      </c>
      <c r="F237" t="s">
        <v>29</v>
      </c>
      <c r="G237" t="s">
        <v>30</v>
      </c>
      <c r="H237" s="17" t="s">
        <v>958</v>
      </c>
      <c r="J237" t="s">
        <v>75</v>
      </c>
      <c r="L237" t="s">
        <v>51</v>
      </c>
      <c r="M237" t="s">
        <v>493</v>
      </c>
      <c r="N237" t="s">
        <v>496</v>
      </c>
      <c r="Q237">
        <v>1</v>
      </c>
      <c r="R237" t="s">
        <v>759</v>
      </c>
      <c r="T237">
        <f>35-13</f>
        <v>22</v>
      </c>
      <c r="U237">
        <v>27</v>
      </c>
      <c r="V237">
        <v>13.15</v>
      </c>
      <c r="W237">
        <v>25.4</v>
      </c>
    </row>
    <row r="238" spans="1:23" x14ac:dyDescent="0.2">
      <c r="A238" s="3">
        <v>42588</v>
      </c>
      <c r="B238">
        <v>402</v>
      </c>
      <c r="C238">
        <v>1</v>
      </c>
      <c r="D238" t="s">
        <v>52</v>
      </c>
      <c r="E238" t="s">
        <v>28</v>
      </c>
      <c r="F238" t="s">
        <v>188</v>
      </c>
      <c r="G238" t="s">
        <v>35</v>
      </c>
      <c r="H238" s="17" t="s">
        <v>930</v>
      </c>
      <c r="J238" t="s">
        <v>63</v>
      </c>
      <c r="L238" t="s">
        <v>51</v>
      </c>
      <c r="M238" t="s">
        <v>495</v>
      </c>
      <c r="N238" t="s">
        <v>260</v>
      </c>
      <c r="O238" t="s">
        <v>844</v>
      </c>
      <c r="P238" t="s">
        <v>832</v>
      </c>
      <c r="Q238" t="s">
        <v>1194</v>
      </c>
      <c r="R238" t="s">
        <v>832</v>
      </c>
      <c r="T238">
        <v>20</v>
      </c>
      <c r="U238">
        <v>17.5</v>
      </c>
      <c r="V238">
        <v>13.55</v>
      </c>
      <c r="W238">
        <v>28.7</v>
      </c>
    </row>
    <row r="239" spans="1:23" x14ac:dyDescent="0.2">
      <c r="A239" s="3">
        <v>42588</v>
      </c>
      <c r="B239">
        <v>402</v>
      </c>
      <c r="C239">
        <v>9</v>
      </c>
      <c r="D239" t="s">
        <v>139</v>
      </c>
      <c r="E239" t="s">
        <v>28</v>
      </c>
      <c r="F239" t="s">
        <v>123</v>
      </c>
      <c r="G239" t="s">
        <v>35</v>
      </c>
      <c r="H239" s="17" t="s">
        <v>997</v>
      </c>
      <c r="J239" t="s">
        <v>63</v>
      </c>
      <c r="K239" t="s">
        <v>1065</v>
      </c>
      <c r="L239" t="s">
        <v>51</v>
      </c>
      <c r="M239" t="s">
        <v>494</v>
      </c>
      <c r="N239" t="s">
        <v>145</v>
      </c>
      <c r="O239">
        <v>7</v>
      </c>
      <c r="P239" t="s">
        <v>759</v>
      </c>
      <c r="S239" t="s">
        <v>1193</v>
      </c>
      <c r="T239">
        <f>175-90</f>
        <v>85</v>
      </c>
      <c r="U239">
        <v>31</v>
      </c>
      <c r="V239">
        <v>21.7</v>
      </c>
      <c r="W239">
        <v>42.3</v>
      </c>
    </row>
    <row r="240" spans="1:23" x14ac:dyDescent="0.2">
      <c r="A240" s="3">
        <v>42589</v>
      </c>
      <c r="B240">
        <v>111</v>
      </c>
      <c r="C240">
        <v>2</v>
      </c>
      <c r="D240" t="s">
        <v>27</v>
      </c>
      <c r="E240" t="s">
        <v>28</v>
      </c>
      <c r="F240" t="s">
        <v>188</v>
      </c>
      <c r="G240" t="s">
        <v>35</v>
      </c>
      <c r="H240" s="17" t="s">
        <v>1231</v>
      </c>
      <c r="I240" s="17" t="s">
        <v>1232</v>
      </c>
      <c r="J240" t="s">
        <v>39</v>
      </c>
      <c r="L240" t="s">
        <v>51</v>
      </c>
      <c r="M240" t="s">
        <v>494</v>
      </c>
      <c r="N240" t="s">
        <v>260</v>
      </c>
      <c r="O240">
        <v>6</v>
      </c>
      <c r="P240" t="s">
        <v>759</v>
      </c>
      <c r="T240">
        <f>35-18</f>
        <v>17</v>
      </c>
      <c r="U240">
        <v>19</v>
      </c>
      <c r="V240">
        <v>12.8</v>
      </c>
      <c r="W240">
        <v>26.8</v>
      </c>
    </row>
    <row r="241" spans="1:26" x14ac:dyDescent="0.2">
      <c r="A241" s="3">
        <v>42589</v>
      </c>
      <c r="B241">
        <v>112</v>
      </c>
      <c r="C241">
        <v>1</v>
      </c>
      <c r="D241" t="s">
        <v>142</v>
      </c>
      <c r="E241" t="s">
        <v>34</v>
      </c>
      <c r="H241" s="17" t="s">
        <v>1239</v>
      </c>
      <c r="L241" t="s">
        <v>51</v>
      </c>
      <c r="M241" t="s">
        <v>1240</v>
      </c>
      <c r="O241">
        <v>1</v>
      </c>
      <c r="P241" t="s">
        <v>832</v>
      </c>
      <c r="Z241" t="s">
        <v>1241</v>
      </c>
    </row>
    <row r="242" spans="1:26" x14ac:dyDescent="0.2">
      <c r="A242" s="3">
        <v>42589</v>
      </c>
      <c r="B242">
        <v>112</v>
      </c>
      <c r="C242">
        <v>4</v>
      </c>
      <c r="D242" t="s">
        <v>27</v>
      </c>
      <c r="E242" t="s">
        <v>28</v>
      </c>
      <c r="F242" t="s">
        <v>29</v>
      </c>
      <c r="G242" t="s">
        <v>30</v>
      </c>
      <c r="H242" s="17" t="s">
        <v>1200</v>
      </c>
      <c r="I242" s="17" t="s">
        <v>1201</v>
      </c>
      <c r="J242" t="s">
        <v>273</v>
      </c>
      <c r="L242" t="s">
        <v>51</v>
      </c>
      <c r="M242" t="s">
        <v>494</v>
      </c>
      <c r="N242" t="s">
        <v>260</v>
      </c>
      <c r="O242">
        <v>2</v>
      </c>
      <c r="P242" t="s">
        <v>759</v>
      </c>
      <c r="T242">
        <f>37-15</f>
        <v>22</v>
      </c>
      <c r="U242">
        <v>19</v>
      </c>
      <c r="V242">
        <v>13</v>
      </c>
      <c r="W242">
        <v>27.7</v>
      </c>
    </row>
    <row r="243" spans="1:26" x14ac:dyDescent="0.2">
      <c r="A243" s="3">
        <v>42589</v>
      </c>
      <c r="B243">
        <v>112</v>
      </c>
      <c r="C243">
        <v>9</v>
      </c>
      <c r="D243" t="s">
        <v>27</v>
      </c>
      <c r="E243" t="s">
        <v>28</v>
      </c>
      <c r="F243" t="s">
        <v>29</v>
      </c>
      <c r="G243" t="s">
        <v>35</v>
      </c>
      <c r="H243" s="17" t="s">
        <v>971</v>
      </c>
      <c r="I243" s="17" t="s">
        <v>972</v>
      </c>
      <c r="J243" t="s">
        <v>39</v>
      </c>
      <c r="L243" t="s">
        <v>51</v>
      </c>
      <c r="M243" t="s">
        <v>494</v>
      </c>
      <c r="N243" t="s">
        <v>260</v>
      </c>
      <c r="O243">
        <v>6</v>
      </c>
      <c r="P243" t="s">
        <v>759</v>
      </c>
      <c r="T243">
        <f>39-19</f>
        <v>20</v>
      </c>
      <c r="U243">
        <v>19</v>
      </c>
      <c r="V243">
        <v>13.1</v>
      </c>
      <c r="W243">
        <v>27.2</v>
      </c>
    </row>
    <row r="244" spans="1:26" x14ac:dyDescent="0.2">
      <c r="A244" s="3">
        <v>42589</v>
      </c>
      <c r="B244">
        <v>113</v>
      </c>
      <c r="C244">
        <v>3</v>
      </c>
      <c r="D244" t="s">
        <v>27</v>
      </c>
      <c r="E244" t="s">
        <v>28</v>
      </c>
      <c r="F244" t="s">
        <v>188</v>
      </c>
      <c r="G244" t="s">
        <v>35</v>
      </c>
      <c r="H244" s="17" t="s">
        <v>1174</v>
      </c>
      <c r="I244" s="17" t="s">
        <v>1175</v>
      </c>
      <c r="J244" t="s">
        <v>63</v>
      </c>
      <c r="L244" t="s">
        <v>51</v>
      </c>
      <c r="M244" t="s">
        <v>494</v>
      </c>
      <c r="N244" t="s">
        <v>260</v>
      </c>
      <c r="O244">
        <v>7</v>
      </c>
      <c r="P244" t="s">
        <v>759</v>
      </c>
      <c r="T244">
        <f>33-15.5</f>
        <v>17.5</v>
      </c>
      <c r="U244">
        <v>20</v>
      </c>
      <c r="V244">
        <v>13.1</v>
      </c>
      <c r="W244">
        <v>27.5</v>
      </c>
    </row>
    <row r="245" spans="1:26" x14ac:dyDescent="0.2">
      <c r="A245" s="3">
        <v>42589</v>
      </c>
      <c r="B245">
        <v>113</v>
      </c>
      <c r="C245">
        <v>8</v>
      </c>
      <c r="D245" t="s">
        <v>27</v>
      </c>
      <c r="E245" t="s">
        <v>28</v>
      </c>
      <c r="F245" t="s">
        <v>29</v>
      </c>
      <c r="G245" t="s">
        <v>30</v>
      </c>
      <c r="H245" s="17" t="s">
        <v>987</v>
      </c>
      <c r="I245" s="17" t="s">
        <v>988</v>
      </c>
      <c r="J245" t="s">
        <v>83</v>
      </c>
      <c r="L245" t="s">
        <v>51</v>
      </c>
      <c r="M245" t="s">
        <v>494</v>
      </c>
      <c r="N245" t="s">
        <v>260</v>
      </c>
      <c r="O245">
        <v>6</v>
      </c>
      <c r="P245" t="s">
        <v>759</v>
      </c>
      <c r="T245">
        <f>37.5-15.5</f>
        <v>22</v>
      </c>
      <c r="U245">
        <v>19</v>
      </c>
      <c r="V245">
        <v>13.2</v>
      </c>
      <c r="W245">
        <v>28.8</v>
      </c>
    </row>
    <row r="246" spans="1:26" x14ac:dyDescent="0.2">
      <c r="A246" s="3">
        <v>42589</v>
      </c>
      <c r="B246">
        <v>113</v>
      </c>
      <c r="C246">
        <v>10</v>
      </c>
      <c r="D246" t="s">
        <v>27</v>
      </c>
      <c r="E246" t="s">
        <v>28</v>
      </c>
      <c r="F246" t="s">
        <v>123</v>
      </c>
      <c r="G246" t="s">
        <v>35</v>
      </c>
      <c r="H246" s="17" t="s">
        <v>993</v>
      </c>
      <c r="I246" s="17" t="s">
        <v>994</v>
      </c>
      <c r="J246" t="s">
        <v>63</v>
      </c>
      <c r="L246" t="s">
        <v>51</v>
      </c>
      <c r="M246" t="s">
        <v>493</v>
      </c>
      <c r="N246" t="s">
        <v>260</v>
      </c>
      <c r="Q246">
        <v>1</v>
      </c>
      <c r="R246" t="s">
        <v>759</v>
      </c>
      <c r="T246">
        <f>28.5-13</f>
        <v>15.5</v>
      </c>
      <c r="U246">
        <v>20</v>
      </c>
      <c r="V246">
        <v>12.7</v>
      </c>
      <c r="W246">
        <v>26.4</v>
      </c>
      <c r="X246" t="s">
        <v>32</v>
      </c>
      <c r="Y246" t="s">
        <v>64</v>
      </c>
    </row>
    <row r="247" spans="1:26" x14ac:dyDescent="0.2">
      <c r="A247" s="3">
        <v>42589</v>
      </c>
      <c r="B247">
        <v>402</v>
      </c>
      <c r="C247">
        <v>4</v>
      </c>
      <c r="D247" t="s">
        <v>142</v>
      </c>
      <c r="E247" t="s">
        <v>28</v>
      </c>
      <c r="F247" t="s">
        <v>188</v>
      </c>
      <c r="G247" t="s">
        <v>30</v>
      </c>
      <c r="H247" s="17" t="s">
        <v>1229</v>
      </c>
      <c r="J247" t="s">
        <v>61</v>
      </c>
      <c r="L247" t="s">
        <v>51</v>
      </c>
      <c r="M247" t="s">
        <v>495</v>
      </c>
      <c r="N247" t="s">
        <v>260</v>
      </c>
      <c r="O247" t="s">
        <v>1327</v>
      </c>
      <c r="P247" t="s">
        <v>832</v>
      </c>
      <c r="Q247" t="s">
        <v>1328</v>
      </c>
      <c r="R247" t="s">
        <v>832</v>
      </c>
      <c r="T247">
        <f>32-13</f>
        <v>19</v>
      </c>
      <c r="U247">
        <v>30</v>
      </c>
      <c r="V247">
        <v>12.7</v>
      </c>
      <c r="W247">
        <v>25.3</v>
      </c>
      <c r="X247" t="s">
        <v>32</v>
      </c>
      <c r="Y247" t="s">
        <v>64</v>
      </c>
    </row>
    <row r="248" spans="1:26" x14ac:dyDescent="0.2">
      <c r="A248" s="3">
        <v>42589</v>
      </c>
      <c r="B248">
        <v>402</v>
      </c>
      <c r="C248">
        <v>6</v>
      </c>
      <c r="D248" t="s">
        <v>139</v>
      </c>
      <c r="E248" t="s">
        <v>28</v>
      </c>
      <c r="F248" t="s">
        <v>29</v>
      </c>
      <c r="G248" t="s">
        <v>35</v>
      </c>
      <c r="H248" s="17" t="s">
        <v>997</v>
      </c>
      <c r="J248" t="s">
        <v>39</v>
      </c>
      <c r="K248" t="s">
        <v>1325</v>
      </c>
      <c r="L248" t="s">
        <v>51</v>
      </c>
      <c r="M248" t="s">
        <v>495</v>
      </c>
      <c r="N248" t="s">
        <v>260</v>
      </c>
      <c r="O248" t="s">
        <v>1327</v>
      </c>
      <c r="P248" t="s">
        <v>759</v>
      </c>
      <c r="Q248">
        <v>7</v>
      </c>
      <c r="R248" t="s">
        <v>832</v>
      </c>
      <c r="T248">
        <f>132-48</f>
        <v>84</v>
      </c>
      <c r="U248">
        <v>30</v>
      </c>
      <c r="V248">
        <v>22.5</v>
      </c>
      <c r="W248">
        <v>43.9</v>
      </c>
      <c r="X248" t="s">
        <v>32</v>
      </c>
      <c r="Y248" t="s">
        <v>64</v>
      </c>
    </row>
    <row r="249" spans="1:26" x14ac:dyDescent="0.2">
      <c r="A249" s="3">
        <v>42589</v>
      </c>
      <c r="B249">
        <v>402</v>
      </c>
      <c r="C249">
        <v>9</v>
      </c>
      <c r="D249" t="s">
        <v>142</v>
      </c>
      <c r="E249" t="s">
        <v>34</v>
      </c>
      <c r="F249" t="s">
        <v>29</v>
      </c>
      <c r="G249" t="s">
        <v>30</v>
      </c>
      <c r="H249" s="17" t="s">
        <v>1326</v>
      </c>
      <c r="J249" t="s">
        <v>31</v>
      </c>
      <c r="L249" t="s">
        <v>51</v>
      </c>
      <c r="M249" t="s">
        <v>495</v>
      </c>
      <c r="N249" t="s">
        <v>260</v>
      </c>
      <c r="O249" t="s">
        <v>1329</v>
      </c>
      <c r="P249" t="s">
        <v>759</v>
      </c>
      <c r="Q249" t="s">
        <v>1228</v>
      </c>
      <c r="R249" t="s">
        <v>759</v>
      </c>
      <c r="T249">
        <f>32-14</f>
        <v>18</v>
      </c>
      <c r="U249">
        <v>30</v>
      </c>
      <c r="V249">
        <v>12.5</v>
      </c>
      <c r="W249">
        <v>23</v>
      </c>
      <c r="X249" t="s">
        <v>32</v>
      </c>
      <c r="Y249" t="s">
        <v>64</v>
      </c>
    </row>
    <row r="250" spans="1:26" x14ac:dyDescent="0.2">
      <c r="A250" s="3">
        <v>42589</v>
      </c>
      <c r="B250">
        <v>112</v>
      </c>
      <c r="C250">
        <v>8</v>
      </c>
      <c r="D250" t="s">
        <v>27</v>
      </c>
      <c r="E250" t="s">
        <v>28</v>
      </c>
      <c r="F250" t="s">
        <v>29</v>
      </c>
      <c r="G250" t="s">
        <v>30</v>
      </c>
      <c r="H250" s="17" t="s">
        <v>973</v>
      </c>
      <c r="I250" s="17" t="s">
        <v>974</v>
      </c>
      <c r="J250" t="s">
        <v>31</v>
      </c>
      <c r="L250" t="s">
        <v>51</v>
      </c>
      <c r="M250" t="s">
        <v>493</v>
      </c>
      <c r="N250" t="s">
        <v>260</v>
      </c>
      <c r="Q250">
        <v>1</v>
      </c>
      <c r="R250" t="s">
        <v>759</v>
      </c>
      <c r="T250">
        <f>33-14.5</f>
        <v>18.5</v>
      </c>
      <c r="U250">
        <v>19</v>
      </c>
      <c r="V250">
        <v>13.4</v>
      </c>
      <c r="W250">
        <v>27</v>
      </c>
    </row>
    <row r="251" spans="1:26" x14ac:dyDescent="0.2">
      <c r="A251" s="3">
        <v>42589</v>
      </c>
      <c r="B251">
        <v>402</v>
      </c>
      <c r="C251">
        <v>1</v>
      </c>
      <c r="D251" t="s">
        <v>27</v>
      </c>
      <c r="E251" t="s">
        <v>28</v>
      </c>
      <c r="F251" t="s">
        <v>29</v>
      </c>
      <c r="G251" t="s">
        <v>35</v>
      </c>
      <c r="H251" s="17" t="s">
        <v>1082</v>
      </c>
      <c r="J251" t="s">
        <v>39</v>
      </c>
      <c r="K251" t="s">
        <v>1083</v>
      </c>
      <c r="L251" t="s">
        <v>51</v>
      </c>
      <c r="M251" t="s">
        <v>495</v>
      </c>
      <c r="N251" t="s">
        <v>260</v>
      </c>
      <c r="O251" t="s">
        <v>844</v>
      </c>
      <c r="P251" t="s">
        <v>832</v>
      </c>
      <c r="Q251" t="s">
        <v>844</v>
      </c>
      <c r="R251" t="s">
        <v>832</v>
      </c>
      <c r="T251">
        <f>36-14.5</f>
        <v>21.5</v>
      </c>
      <c r="U251">
        <v>15</v>
      </c>
      <c r="V251">
        <v>12.7</v>
      </c>
      <c r="W251">
        <v>22.7</v>
      </c>
      <c r="X251" t="s">
        <v>145</v>
      </c>
    </row>
    <row r="252" spans="1:26" x14ac:dyDescent="0.2">
      <c r="A252" s="3">
        <v>42589</v>
      </c>
      <c r="B252">
        <v>402</v>
      </c>
      <c r="C252">
        <v>5</v>
      </c>
      <c r="D252" t="s">
        <v>142</v>
      </c>
      <c r="E252" t="s">
        <v>34</v>
      </c>
      <c r="F252" t="s">
        <v>29</v>
      </c>
      <c r="G252" t="s">
        <v>35</v>
      </c>
      <c r="H252" s="17" t="s">
        <v>1084</v>
      </c>
      <c r="J252" t="s">
        <v>39</v>
      </c>
      <c r="K252" t="s">
        <v>1085</v>
      </c>
      <c r="L252" t="s">
        <v>51</v>
      </c>
      <c r="M252" t="s">
        <v>495</v>
      </c>
      <c r="N252" t="s">
        <v>260</v>
      </c>
      <c r="O252" t="s">
        <v>844</v>
      </c>
      <c r="P252" t="s">
        <v>832</v>
      </c>
      <c r="Q252" t="s">
        <v>844</v>
      </c>
      <c r="R252" t="s">
        <v>832</v>
      </c>
      <c r="T252">
        <f>36.5-14.5</f>
        <v>22</v>
      </c>
      <c r="U252">
        <v>29</v>
      </c>
      <c r="V252">
        <v>12.8</v>
      </c>
      <c r="W252">
        <v>25</v>
      </c>
      <c r="X252" t="s">
        <v>145</v>
      </c>
    </row>
    <row r="253" spans="1:26" x14ac:dyDescent="0.2">
      <c r="A253" s="3">
        <v>42589</v>
      </c>
      <c r="B253">
        <v>402</v>
      </c>
      <c r="C253">
        <v>7</v>
      </c>
      <c r="D253" t="s">
        <v>142</v>
      </c>
      <c r="E253" t="s">
        <v>28</v>
      </c>
      <c r="F253" t="s">
        <v>29</v>
      </c>
      <c r="G253" t="s">
        <v>35</v>
      </c>
      <c r="H253" s="17" t="s">
        <v>1323</v>
      </c>
      <c r="J253" t="s">
        <v>39</v>
      </c>
      <c r="L253" t="s">
        <v>51</v>
      </c>
      <c r="M253" t="s">
        <v>495</v>
      </c>
      <c r="N253" t="s">
        <v>260</v>
      </c>
      <c r="O253">
        <v>1</v>
      </c>
      <c r="P253" t="s">
        <v>759</v>
      </c>
      <c r="Q253" t="s">
        <v>1324</v>
      </c>
      <c r="R253" t="s">
        <v>759</v>
      </c>
      <c r="T253">
        <f>36-17</f>
        <v>19</v>
      </c>
      <c r="U253">
        <v>29</v>
      </c>
      <c r="V253">
        <v>12.5</v>
      </c>
      <c r="W253">
        <v>24.5</v>
      </c>
      <c r="X253" t="s">
        <v>145</v>
      </c>
    </row>
    <row r="254" spans="1:26" x14ac:dyDescent="0.2">
      <c r="A254" s="3">
        <v>42591</v>
      </c>
      <c r="B254">
        <v>703</v>
      </c>
      <c r="C254">
        <v>1</v>
      </c>
      <c r="D254" t="s">
        <v>52</v>
      </c>
      <c r="E254" t="s">
        <v>28</v>
      </c>
      <c r="F254" t="s">
        <v>29</v>
      </c>
      <c r="G254" t="s">
        <v>35</v>
      </c>
      <c r="H254" s="17" t="s">
        <v>1333</v>
      </c>
      <c r="J254" t="s">
        <v>39</v>
      </c>
      <c r="L254" t="s">
        <v>51</v>
      </c>
      <c r="M254" t="s">
        <v>495</v>
      </c>
      <c r="N254" t="s">
        <v>260</v>
      </c>
      <c r="O254" t="s">
        <v>1334</v>
      </c>
      <c r="P254" t="s">
        <v>832</v>
      </c>
      <c r="Q254" t="s">
        <v>1335</v>
      </c>
      <c r="R254" t="s">
        <v>832</v>
      </c>
      <c r="T254">
        <f>35.5-15.5</f>
        <v>20</v>
      </c>
      <c r="U254">
        <v>18</v>
      </c>
      <c r="V254">
        <v>13</v>
      </c>
      <c r="W254">
        <v>26.8</v>
      </c>
      <c r="X254" t="s">
        <v>32</v>
      </c>
      <c r="Y254" t="s">
        <v>64</v>
      </c>
      <c r="Z254" t="s">
        <v>1336</v>
      </c>
    </row>
    <row r="255" spans="1:26" x14ac:dyDescent="0.2">
      <c r="A255" s="3">
        <v>42591</v>
      </c>
      <c r="B255">
        <v>703</v>
      </c>
      <c r="C255">
        <v>2</v>
      </c>
      <c r="D255" t="s">
        <v>27</v>
      </c>
      <c r="E255" t="s">
        <v>28</v>
      </c>
      <c r="F255" t="s">
        <v>29</v>
      </c>
      <c r="G255" t="s">
        <v>35</v>
      </c>
      <c r="H255" s="17" t="s">
        <v>1337</v>
      </c>
      <c r="I255" s="17" t="s">
        <v>1338</v>
      </c>
      <c r="J255" t="s">
        <v>39</v>
      </c>
      <c r="L255" t="s">
        <v>51</v>
      </c>
      <c r="M255" t="s">
        <v>495</v>
      </c>
      <c r="N255" t="s">
        <v>260</v>
      </c>
      <c r="O255">
        <v>6</v>
      </c>
      <c r="P255" t="s">
        <v>759</v>
      </c>
      <c r="Q255">
        <v>6</v>
      </c>
      <c r="R255" t="s">
        <v>759</v>
      </c>
      <c r="T255">
        <f>38-15</f>
        <v>23</v>
      </c>
      <c r="U255">
        <v>20</v>
      </c>
      <c r="V255">
        <v>13.4</v>
      </c>
      <c r="W255">
        <v>27.3</v>
      </c>
      <c r="X255" t="s">
        <v>32</v>
      </c>
      <c r="Y255" t="s">
        <v>64</v>
      </c>
    </row>
    <row r="256" spans="1:26" x14ac:dyDescent="0.2">
      <c r="A256" s="3">
        <v>42591</v>
      </c>
      <c r="B256">
        <v>703</v>
      </c>
      <c r="C256">
        <v>3</v>
      </c>
      <c r="D256" t="s">
        <v>27</v>
      </c>
      <c r="E256" t="s">
        <v>28</v>
      </c>
      <c r="F256" t="s">
        <v>123</v>
      </c>
      <c r="G256" t="s">
        <v>30</v>
      </c>
      <c r="H256" s="17" t="s">
        <v>1339</v>
      </c>
      <c r="I256" s="17" t="s">
        <v>1340</v>
      </c>
      <c r="J256" t="s">
        <v>31</v>
      </c>
      <c r="L256" t="s">
        <v>51</v>
      </c>
      <c r="M256" t="s">
        <v>495</v>
      </c>
      <c r="N256" t="s">
        <v>260</v>
      </c>
      <c r="O256">
        <v>6</v>
      </c>
      <c r="P256" t="s">
        <v>759</v>
      </c>
      <c r="Q256">
        <v>6</v>
      </c>
      <c r="R256" t="s">
        <v>759</v>
      </c>
      <c r="T256">
        <f>36-20.5</f>
        <v>15.5</v>
      </c>
      <c r="U256">
        <v>19</v>
      </c>
      <c r="V256">
        <v>12.9</v>
      </c>
      <c r="W256">
        <v>27</v>
      </c>
      <c r="X256" t="s">
        <v>32</v>
      </c>
      <c r="Y256" t="s">
        <v>64</v>
      </c>
    </row>
    <row r="257" spans="1:26" x14ac:dyDescent="0.2">
      <c r="A257" s="3">
        <v>42591</v>
      </c>
      <c r="B257">
        <v>703</v>
      </c>
      <c r="C257">
        <v>3</v>
      </c>
      <c r="D257" t="s">
        <v>27</v>
      </c>
      <c r="E257" t="s">
        <v>28</v>
      </c>
      <c r="F257" t="s">
        <v>123</v>
      </c>
      <c r="G257" t="s">
        <v>30</v>
      </c>
      <c r="H257" s="17" t="s">
        <v>1341</v>
      </c>
      <c r="I257" s="17" t="s">
        <v>1342</v>
      </c>
      <c r="J257" t="s">
        <v>31</v>
      </c>
      <c r="L257" t="s">
        <v>51</v>
      </c>
      <c r="M257" t="s">
        <v>494</v>
      </c>
      <c r="N257" t="s">
        <v>260</v>
      </c>
      <c r="O257">
        <v>5</v>
      </c>
      <c r="P257" t="s">
        <v>759</v>
      </c>
      <c r="T257">
        <f>31-16</f>
        <v>15</v>
      </c>
      <c r="U257">
        <v>18</v>
      </c>
      <c r="V257">
        <v>13</v>
      </c>
      <c r="W257">
        <v>27.3</v>
      </c>
      <c r="X257" t="s">
        <v>32</v>
      </c>
      <c r="Y257" t="s">
        <v>64</v>
      </c>
    </row>
    <row r="258" spans="1:26" x14ac:dyDescent="0.2">
      <c r="A258" s="3">
        <v>42591</v>
      </c>
      <c r="B258">
        <v>703</v>
      </c>
      <c r="C258">
        <v>6</v>
      </c>
      <c r="D258" t="s">
        <v>52</v>
      </c>
      <c r="E258" t="s">
        <v>34</v>
      </c>
      <c r="F258" t="s">
        <v>188</v>
      </c>
      <c r="G258" t="s">
        <v>35</v>
      </c>
      <c r="H258" s="17" t="s">
        <v>1343</v>
      </c>
      <c r="J258" t="s">
        <v>63</v>
      </c>
      <c r="K258" t="s">
        <v>1344</v>
      </c>
      <c r="L258" t="s">
        <v>51</v>
      </c>
      <c r="M258" t="s">
        <v>495</v>
      </c>
      <c r="N258" t="s">
        <v>260</v>
      </c>
      <c r="O258">
        <v>2</v>
      </c>
      <c r="P258" t="s">
        <v>832</v>
      </c>
      <c r="Q258">
        <v>2</v>
      </c>
      <c r="R258" t="s">
        <v>832</v>
      </c>
      <c r="T258">
        <f>32-13</f>
        <v>19</v>
      </c>
      <c r="U258">
        <v>16</v>
      </c>
      <c r="V258">
        <v>13.3</v>
      </c>
      <c r="W258">
        <v>26.8</v>
      </c>
      <c r="X258" t="s">
        <v>145</v>
      </c>
      <c r="Y258" t="s">
        <v>64</v>
      </c>
    </row>
    <row r="259" spans="1:26" x14ac:dyDescent="0.2">
      <c r="A259" s="3">
        <v>42591</v>
      </c>
      <c r="B259">
        <v>703</v>
      </c>
      <c r="C259">
        <v>8</v>
      </c>
      <c r="D259" t="s">
        <v>27</v>
      </c>
      <c r="E259" t="s">
        <v>28</v>
      </c>
      <c r="F259" t="s">
        <v>188</v>
      </c>
      <c r="G259" t="s">
        <v>35</v>
      </c>
      <c r="H259" s="17" t="s">
        <v>1347</v>
      </c>
      <c r="I259" s="17" t="s">
        <v>1348</v>
      </c>
      <c r="J259" t="s">
        <v>63</v>
      </c>
      <c r="L259" t="s">
        <v>51</v>
      </c>
      <c r="M259" t="s">
        <v>495</v>
      </c>
      <c r="N259" t="s">
        <v>260</v>
      </c>
      <c r="O259">
        <v>1</v>
      </c>
      <c r="P259" t="s">
        <v>759</v>
      </c>
      <c r="Q259" t="s">
        <v>923</v>
      </c>
      <c r="R259" t="s">
        <v>759</v>
      </c>
      <c r="T259">
        <f>32-14</f>
        <v>18</v>
      </c>
      <c r="U259">
        <v>19</v>
      </c>
      <c r="V259">
        <v>13.2</v>
      </c>
      <c r="W259">
        <v>28</v>
      </c>
      <c r="X259" t="s">
        <v>32</v>
      </c>
      <c r="Y259" t="s">
        <v>64</v>
      </c>
    </row>
    <row r="260" spans="1:26" x14ac:dyDescent="0.2">
      <c r="A260" s="3">
        <v>42591</v>
      </c>
      <c r="B260">
        <v>703</v>
      </c>
      <c r="C260">
        <v>9</v>
      </c>
      <c r="D260" t="s">
        <v>27</v>
      </c>
      <c r="E260" t="s">
        <v>28</v>
      </c>
      <c r="F260" t="s">
        <v>188</v>
      </c>
      <c r="G260" t="s">
        <v>30</v>
      </c>
      <c r="H260" s="17" t="s">
        <v>1349</v>
      </c>
      <c r="I260" s="17" t="s">
        <v>1351</v>
      </c>
      <c r="J260" t="s">
        <v>31</v>
      </c>
      <c r="L260" t="s">
        <v>51</v>
      </c>
      <c r="M260" t="s">
        <v>494</v>
      </c>
      <c r="N260" t="s">
        <v>260</v>
      </c>
      <c r="O260">
        <v>1</v>
      </c>
      <c r="P260" t="s">
        <v>759</v>
      </c>
      <c r="T260">
        <f>31-15</f>
        <v>16</v>
      </c>
      <c r="U260">
        <v>19</v>
      </c>
      <c r="V260">
        <v>13.1</v>
      </c>
      <c r="W260">
        <v>27.9</v>
      </c>
      <c r="X260" t="s">
        <v>32</v>
      </c>
      <c r="Y260" t="s">
        <v>64</v>
      </c>
    </row>
    <row r="261" spans="1:26" x14ac:dyDescent="0.2">
      <c r="A261" s="3">
        <v>42591</v>
      </c>
      <c r="B261">
        <v>703</v>
      </c>
      <c r="C261">
        <v>9</v>
      </c>
      <c r="D261" t="s">
        <v>62</v>
      </c>
      <c r="E261" t="s">
        <v>28</v>
      </c>
      <c r="F261" t="s">
        <v>29</v>
      </c>
      <c r="G261" t="s">
        <v>30</v>
      </c>
      <c r="H261" s="17" t="s">
        <v>1352</v>
      </c>
      <c r="J261" t="s">
        <v>75</v>
      </c>
      <c r="K261" t="s">
        <v>1353</v>
      </c>
      <c r="L261" t="s">
        <v>909</v>
      </c>
      <c r="M261" t="s">
        <v>495</v>
      </c>
      <c r="N261" t="s">
        <v>260</v>
      </c>
      <c r="O261" t="s">
        <v>1156</v>
      </c>
      <c r="P261" t="s">
        <v>759</v>
      </c>
      <c r="Q261">
        <v>2</v>
      </c>
      <c r="R261" t="s">
        <v>759</v>
      </c>
      <c r="S261" t="s">
        <v>759</v>
      </c>
      <c r="T261">
        <f>210-48</f>
        <v>162</v>
      </c>
      <c r="U261">
        <v>44</v>
      </c>
      <c r="V261">
        <v>27.5</v>
      </c>
      <c r="W261">
        <v>46.2</v>
      </c>
      <c r="X261" t="s">
        <v>32</v>
      </c>
      <c r="Y261" t="s">
        <v>64</v>
      </c>
    </row>
    <row r="262" spans="1:26" x14ac:dyDescent="0.2">
      <c r="A262" s="3">
        <v>42591</v>
      </c>
      <c r="B262">
        <v>701</v>
      </c>
      <c r="C262">
        <v>1</v>
      </c>
      <c r="D262" t="s">
        <v>27</v>
      </c>
      <c r="E262" t="s">
        <v>28</v>
      </c>
      <c r="F262" t="s">
        <v>188</v>
      </c>
      <c r="G262" t="s">
        <v>35</v>
      </c>
      <c r="H262" s="17" t="s">
        <v>1354</v>
      </c>
      <c r="I262" s="17" t="s">
        <v>1355</v>
      </c>
      <c r="J262" t="s">
        <v>63</v>
      </c>
      <c r="L262" t="s">
        <v>51</v>
      </c>
      <c r="M262" t="s">
        <v>495</v>
      </c>
      <c r="N262" t="s">
        <v>260</v>
      </c>
      <c r="O262">
        <v>6</v>
      </c>
      <c r="P262" t="s">
        <v>759</v>
      </c>
      <c r="Q262" t="s">
        <v>1357</v>
      </c>
      <c r="R262" t="s">
        <v>759</v>
      </c>
      <c r="T262">
        <f>32-14.5</f>
        <v>17.5</v>
      </c>
      <c r="U262">
        <v>18.5</v>
      </c>
      <c r="V262">
        <v>13</v>
      </c>
      <c r="W262">
        <v>28.2</v>
      </c>
      <c r="X262" t="s">
        <v>32</v>
      </c>
      <c r="Y262" t="s">
        <v>64</v>
      </c>
    </row>
    <row r="263" spans="1:26" x14ac:dyDescent="0.2">
      <c r="A263" s="3">
        <v>42591</v>
      </c>
      <c r="B263">
        <v>701</v>
      </c>
      <c r="C263">
        <v>1</v>
      </c>
      <c r="D263" t="s">
        <v>27</v>
      </c>
      <c r="E263" t="s">
        <v>28</v>
      </c>
      <c r="F263" t="s">
        <v>188</v>
      </c>
      <c r="G263" t="s">
        <v>35</v>
      </c>
      <c r="H263" s="17" t="s">
        <v>1358</v>
      </c>
      <c r="I263" s="17" t="s">
        <v>1359</v>
      </c>
      <c r="J263" t="s">
        <v>63</v>
      </c>
      <c r="K263" t="s">
        <v>1360</v>
      </c>
      <c r="L263" t="s">
        <v>51</v>
      </c>
      <c r="M263" t="s">
        <v>495</v>
      </c>
      <c r="N263" t="s">
        <v>260</v>
      </c>
      <c r="O263">
        <v>1</v>
      </c>
      <c r="P263" t="s">
        <v>759</v>
      </c>
      <c r="Q263" t="s">
        <v>1361</v>
      </c>
      <c r="R263" t="s">
        <v>759</v>
      </c>
      <c r="T263">
        <f>33-15</f>
        <v>18</v>
      </c>
      <c r="U263">
        <v>16</v>
      </c>
      <c r="V263">
        <v>13</v>
      </c>
      <c r="W263">
        <v>28.2</v>
      </c>
      <c r="X263" t="s">
        <v>32</v>
      </c>
      <c r="Y263" t="s">
        <v>64</v>
      </c>
      <c r="Z263" t="s">
        <v>1362</v>
      </c>
    </row>
    <row r="264" spans="1:26" x14ac:dyDescent="0.2">
      <c r="A264" s="3">
        <v>42591</v>
      </c>
      <c r="B264">
        <v>701</v>
      </c>
      <c r="C264">
        <v>3</v>
      </c>
      <c r="D264" t="s">
        <v>27</v>
      </c>
      <c r="E264" t="s">
        <v>28</v>
      </c>
      <c r="F264" t="s">
        <v>123</v>
      </c>
      <c r="G264" t="s">
        <v>30</v>
      </c>
      <c r="H264" s="17" t="s">
        <v>1363</v>
      </c>
      <c r="I264" s="17" t="s">
        <v>1364</v>
      </c>
      <c r="J264" t="s">
        <v>31</v>
      </c>
      <c r="L264" t="s">
        <v>51</v>
      </c>
      <c r="M264" t="s">
        <v>495</v>
      </c>
      <c r="N264" t="s">
        <v>260</v>
      </c>
      <c r="O264" t="s">
        <v>923</v>
      </c>
      <c r="P264" t="s">
        <v>759</v>
      </c>
      <c r="Q264" t="s">
        <v>928</v>
      </c>
      <c r="R264" t="s">
        <v>759</v>
      </c>
      <c r="T264">
        <f>32-17</f>
        <v>15</v>
      </c>
      <c r="U264">
        <v>18</v>
      </c>
      <c r="V264">
        <v>13.2</v>
      </c>
      <c r="W264">
        <v>29.6</v>
      </c>
      <c r="X264" t="s">
        <v>32</v>
      </c>
      <c r="Y264" t="s">
        <v>64</v>
      </c>
    </row>
    <row r="265" spans="1:26" x14ac:dyDescent="0.2">
      <c r="A265" s="3">
        <v>42591</v>
      </c>
      <c r="B265">
        <v>701</v>
      </c>
      <c r="C265">
        <v>4</v>
      </c>
      <c r="D265" t="s">
        <v>27</v>
      </c>
      <c r="E265" t="s">
        <v>28</v>
      </c>
      <c r="F265" t="s">
        <v>188</v>
      </c>
      <c r="G265" t="s">
        <v>35</v>
      </c>
      <c r="H265" s="17" t="s">
        <v>1365</v>
      </c>
      <c r="I265" s="17" t="s">
        <v>1366</v>
      </c>
      <c r="J265" t="s">
        <v>63</v>
      </c>
      <c r="L265" t="s">
        <v>51</v>
      </c>
      <c r="M265" t="s">
        <v>495</v>
      </c>
      <c r="N265" t="s">
        <v>260</v>
      </c>
      <c r="O265" t="s">
        <v>923</v>
      </c>
      <c r="P265" t="s">
        <v>759</v>
      </c>
      <c r="Q265">
        <v>6</v>
      </c>
      <c r="R265" t="s">
        <v>759</v>
      </c>
      <c r="T265">
        <f>31-14</f>
        <v>17</v>
      </c>
      <c r="U265">
        <v>18</v>
      </c>
      <c r="V265">
        <v>13.2</v>
      </c>
      <c r="W265">
        <v>28</v>
      </c>
      <c r="X265" t="s">
        <v>32</v>
      </c>
      <c r="Y265" t="s">
        <v>64</v>
      </c>
    </row>
    <row r="266" spans="1:26" x14ac:dyDescent="0.2">
      <c r="A266" s="3">
        <v>42591</v>
      </c>
      <c r="B266">
        <v>701</v>
      </c>
      <c r="C266">
        <v>5</v>
      </c>
      <c r="D266" t="s">
        <v>52</v>
      </c>
      <c r="E266" t="s">
        <v>28</v>
      </c>
      <c r="F266" t="s">
        <v>29</v>
      </c>
      <c r="G266" t="s">
        <v>30</v>
      </c>
      <c r="H266" s="17" t="s">
        <v>1367</v>
      </c>
      <c r="J266" t="s">
        <v>75</v>
      </c>
      <c r="K266" t="s">
        <v>1368</v>
      </c>
      <c r="L266" t="s">
        <v>51</v>
      </c>
      <c r="M266" t="s">
        <v>495</v>
      </c>
      <c r="N266" t="s">
        <v>260</v>
      </c>
      <c r="O266" t="s">
        <v>1335</v>
      </c>
      <c r="P266" t="s">
        <v>832</v>
      </c>
      <c r="Q266">
        <v>2</v>
      </c>
      <c r="R266" t="s">
        <v>832</v>
      </c>
      <c r="T266">
        <f>38.5-14</f>
        <v>24.5</v>
      </c>
      <c r="U266">
        <v>19</v>
      </c>
      <c r="V266">
        <v>13.3</v>
      </c>
      <c r="W266">
        <v>28</v>
      </c>
      <c r="X266" t="s">
        <v>32</v>
      </c>
      <c r="Y266" t="s">
        <v>64</v>
      </c>
    </row>
    <row r="267" spans="1:26" x14ac:dyDescent="0.2">
      <c r="A267" s="3">
        <v>42591</v>
      </c>
      <c r="B267">
        <v>701</v>
      </c>
      <c r="C267">
        <v>9</v>
      </c>
      <c r="D267" t="s">
        <v>142</v>
      </c>
      <c r="E267" t="s">
        <v>34</v>
      </c>
      <c r="F267" t="s">
        <v>188</v>
      </c>
      <c r="G267" t="s">
        <v>35</v>
      </c>
      <c r="H267" s="17" t="s">
        <v>1371</v>
      </c>
      <c r="J267" t="s">
        <v>39</v>
      </c>
      <c r="L267" t="s">
        <v>51</v>
      </c>
      <c r="M267" t="s">
        <v>495</v>
      </c>
      <c r="N267" t="s">
        <v>260</v>
      </c>
      <c r="O267" t="s">
        <v>1194</v>
      </c>
      <c r="P267" t="s">
        <v>759</v>
      </c>
      <c r="Q267" t="s">
        <v>1228</v>
      </c>
      <c r="R267" t="s">
        <v>832</v>
      </c>
      <c r="T267">
        <f>31-13</f>
        <v>18</v>
      </c>
      <c r="U267">
        <v>28</v>
      </c>
      <c r="V267">
        <v>12.7</v>
      </c>
      <c r="W267">
        <v>25.9</v>
      </c>
      <c r="X267" t="s">
        <v>32</v>
      </c>
      <c r="Y267" t="s">
        <v>64</v>
      </c>
    </row>
    <row r="268" spans="1:26" x14ac:dyDescent="0.2">
      <c r="A268" s="3">
        <v>42591</v>
      </c>
      <c r="B268">
        <v>801</v>
      </c>
      <c r="C268">
        <v>5</v>
      </c>
      <c r="D268" t="s">
        <v>52</v>
      </c>
      <c r="E268" t="s">
        <v>28</v>
      </c>
      <c r="F268" t="s">
        <v>188</v>
      </c>
      <c r="G268" t="s">
        <v>35</v>
      </c>
      <c r="H268" s="17" t="s">
        <v>1372</v>
      </c>
      <c r="J268" t="s">
        <v>63</v>
      </c>
      <c r="L268" t="s">
        <v>51</v>
      </c>
      <c r="M268" t="s">
        <v>495</v>
      </c>
      <c r="N268" t="s">
        <v>260</v>
      </c>
      <c r="O268">
        <v>2</v>
      </c>
      <c r="P268" t="s">
        <v>759</v>
      </c>
      <c r="Q268">
        <v>2</v>
      </c>
      <c r="R268" t="s">
        <v>759</v>
      </c>
      <c r="T268">
        <f>36-18.5</f>
        <v>17.5</v>
      </c>
      <c r="U268">
        <v>17</v>
      </c>
      <c r="V268">
        <v>13.2</v>
      </c>
      <c r="W268">
        <v>28</v>
      </c>
      <c r="X268" t="s">
        <v>32</v>
      </c>
      <c r="Y268" t="s">
        <v>64</v>
      </c>
    </row>
    <row r="269" spans="1:26" x14ac:dyDescent="0.2">
      <c r="A269" s="3">
        <v>42591</v>
      </c>
      <c r="B269">
        <v>801</v>
      </c>
      <c r="C269">
        <v>9</v>
      </c>
      <c r="D269" t="s">
        <v>52</v>
      </c>
      <c r="E269" t="s">
        <v>28</v>
      </c>
      <c r="F269" t="s">
        <v>29</v>
      </c>
      <c r="G269" t="s">
        <v>30</v>
      </c>
      <c r="H269" s="17" t="s">
        <v>1373</v>
      </c>
      <c r="J269" t="s">
        <v>279</v>
      </c>
      <c r="L269" t="s">
        <v>51</v>
      </c>
      <c r="M269" t="s">
        <v>495</v>
      </c>
      <c r="N269" t="s">
        <v>260</v>
      </c>
      <c r="O269" t="s">
        <v>835</v>
      </c>
      <c r="P269" t="s">
        <v>759</v>
      </c>
      <c r="Q269">
        <v>1</v>
      </c>
      <c r="R269" t="s">
        <v>759</v>
      </c>
      <c r="T269">
        <f>49.5-16</f>
        <v>33.5</v>
      </c>
      <c r="X269" t="s">
        <v>32</v>
      </c>
      <c r="Y269" t="s">
        <v>64</v>
      </c>
      <c r="Z269" t="s">
        <v>1375</v>
      </c>
    </row>
    <row r="270" spans="1:26" x14ac:dyDescent="0.2">
      <c r="A270" s="3">
        <v>42591</v>
      </c>
      <c r="B270">
        <v>801</v>
      </c>
      <c r="C270">
        <v>10</v>
      </c>
      <c r="D270" t="s">
        <v>27</v>
      </c>
      <c r="E270" t="s">
        <v>28</v>
      </c>
      <c r="F270" t="s">
        <v>29</v>
      </c>
      <c r="G270" t="s">
        <v>30</v>
      </c>
      <c r="H270" s="17" t="s">
        <v>1376</v>
      </c>
      <c r="I270" s="17" t="s">
        <v>1377</v>
      </c>
      <c r="J270" t="s">
        <v>279</v>
      </c>
      <c r="L270" t="s">
        <v>51</v>
      </c>
      <c r="M270" t="s">
        <v>495</v>
      </c>
      <c r="N270" t="s">
        <v>260</v>
      </c>
      <c r="O270">
        <v>6</v>
      </c>
      <c r="P270" t="s">
        <v>759</v>
      </c>
      <c r="Q270">
        <v>6</v>
      </c>
      <c r="R270" t="s">
        <v>759</v>
      </c>
      <c r="T270">
        <f>39-15</f>
        <v>24</v>
      </c>
      <c r="U270">
        <v>16</v>
      </c>
      <c r="V270">
        <v>98</v>
      </c>
      <c r="W270">
        <v>16</v>
      </c>
      <c r="X270" t="s">
        <v>32</v>
      </c>
      <c r="Y270" t="s">
        <v>64</v>
      </c>
    </row>
    <row r="271" spans="1:26" x14ac:dyDescent="0.2">
      <c r="A271" s="3">
        <v>42591</v>
      </c>
      <c r="B271">
        <v>801</v>
      </c>
      <c r="C271">
        <v>10</v>
      </c>
      <c r="D271" t="s">
        <v>139</v>
      </c>
      <c r="E271" t="s">
        <v>28</v>
      </c>
      <c r="F271" t="s">
        <v>29</v>
      </c>
      <c r="G271" t="s">
        <v>35</v>
      </c>
      <c r="I271" s="17" t="s">
        <v>1378</v>
      </c>
      <c r="J271" t="s">
        <v>39</v>
      </c>
      <c r="L271" t="s">
        <v>633</v>
      </c>
      <c r="M271" t="s">
        <v>260</v>
      </c>
      <c r="S271" t="s">
        <v>759</v>
      </c>
      <c r="T271">
        <f>148-50</f>
        <v>98</v>
      </c>
      <c r="U271">
        <v>30</v>
      </c>
      <c r="V271">
        <v>22.5</v>
      </c>
      <c r="W271">
        <v>42.9</v>
      </c>
      <c r="X271" t="s">
        <v>32</v>
      </c>
      <c r="Y271" t="s">
        <v>64</v>
      </c>
      <c r="Z271" t="s">
        <v>1379</v>
      </c>
    </row>
    <row r="272" spans="1:26" x14ac:dyDescent="0.2">
      <c r="A272" s="3">
        <v>42591</v>
      </c>
      <c r="B272">
        <v>803</v>
      </c>
      <c r="C272">
        <v>3</v>
      </c>
      <c r="D272" t="s">
        <v>142</v>
      </c>
      <c r="E272" t="s">
        <v>28</v>
      </c>
      <c r="F272" t="s">
        <v>29</v>
      </c>
      <c r="G272" t="s">
        <v>30</v>
      </c>
      <c r="I272" s="17" t="s">
        <v>1380</v>
      </c>
      <c r="J272" t="s">
        <v>279</v>
      </c>
      <c r="L272" t="s">
        <v>51</v>
      </c>
      <c r="M272" t="s">
        <v>495</v>
      </c>
      <c r="N272" t="s">
        <v>260</v>
      </c>
      <c r="O272" t="s">
        <v>1381</v>
      </c>
      <c r="P272" t="s">
        <v>759</v>
      </c>
      <c r="Q272">
        <v>4</v>
      </c>
      <c r="R272" t="s">
        <v>759</v>
      </c>
      <c r="T272">
        <f>38-17.5</f>
        <v>20.5</v>
      </c>
      <c r="U272">
        <v>28.5</v>
      </c>
      <c r="V272">
        <v>13.1</v>
      </c>
      <c r="W272">
        <v>26.1</v>
      </c>
      <c r="X272" t="s">
        <v>32</v>
      </c>
      <c r="Y272" t="s">
        <v>64</v>
      </c>
      <c r="Z272" t="s">
        <v>1382</v>
      </c>
    </row>
    <row r="273" spans="1:30" x14ac:dyDescent="0.2">
      <c r="A273" s="3">
        <v>42591</v>
      </c>
      <c r="B273">
        <v>803</v>
      </c>
      <c r="C273">
        <v>2</v>
      </c>
      <c r="D273" t="s">
        <v>27</v>
      </c>
      <c r="E273" t="s">
        <v>34</v>
      </c>
      <c r="F273" t="s">
        <v>123</v>
      </c>
      <c r="G273" t="s">
        <v>30</v>
      </c>
      <c r="H273" s="17" t="s">
        <v>1384</v>
      </c>
      <c r="I273" s="17" t="s">
        <v>1385</v>
      </c>
      <c r="J273" t="s">
        <v>31</v>
      </c>
      <c r="L273" t="s">
        <v>51</v>
      </c>
      <c r="M273" t="s">
        <v>493</v>
      </c>
      <c r="N273" t="s">
        <v>260</v>
      </c>
      <c r="Q273">
        <v>1</v>
      </c>
      <c r="R273" t="s">
        <v>759</v>
      </c>
      <c r="T273">
        <f>28-15</f>
        <v>13</v>
      </c>
      <c r="U273">
        <v>19</v>
      </c>
      <c r="V273">
        <v>12.5</v>
      </c>
      <c r="W273">
        <v>26.8</v>
      </c>
      <c r="X273" t="s">
        <v>32</v>
      </c>
      <c r="Y273" t="s">
        <v>64</v>
      </c>
    </row>
    <row r="274" spans="1:30" x14ac:dyDescent="0.2">
      <c r="A274" s="3">
        <v>42591</v>
      </c>
      <c r="B274">
        <v>901</v>
      </c>
      <c r="C274">
        <v>1</v>
      </c>
      <c r="D274" t="s">
        <v>27</v>
      </c>
      <c r="E274" t="s">
        <v>28</v>
      </c>
      <c r="F274" t="s">
        <v>29</v>
      </c>
      <c r="G274" t="s">
        <v>30</v>
      </c>
      <c r="H274" s="17" t="s">
        <v>150</v>
      </c>
      <c r="I274" s="17" t="s">
        <v>339</v>
      </c>
      <c r="J274" t="s">
        <v>75</v>
      </c>
      <c r="L274" t="s">
        <v>51</v>
      </c>
      <c r="M274" t="s">
        <v>494</v>
      </c>
      <c r="N274" t="s">
        <v>260</v>
      </c>
      <c r="O274" t="s">
        <v>1357</v>
      </c>
      <c r="P274" t="s">
        <v>759</v>
      </c>
      <c r="T274">
        <f>34.5-14</f>
        <v>20.5</v>
      </c>
      <c r="U274">
        <v>18</v>
      </c>
      <c r="V274">
        <v>13.2</v>
      </c>
      <c r="W274">
        <v>27.2</v>
      </c>
      <c r="X274" t="s">
        <v>32</v>
      </c>
      <c r="Y274" t="s">
        <v>64</v>
      </c>
    </row>
    <row r="275" spans="1:30" x14ac:dyDescent="0.2">
      <c r="A275" s="3">
        <v>42592</v>
      </c>
      <c r="B275">
        <v>703</v>
      </c>
      <c r="C275">
        <v>1</v>
      </c>
      <c r="D275" t="s">
        <v>27</v>
      </c>
      <c r="E275" t="s">
        <v>28</v>
      </c>
      <c r="F275" t="s">
        <v>123</v>
      </c>
      <c r="G275" t="s">
        <v>30</v>
      </c>
      <c r="H275" s="17" t="s">
        <v>1388</v>
      </c>
      <c r="I275" s="17" t="s">
        <v>1389</v>
      </c>
      <c r="J275" t="s">
        <v>31</v>
      </c>
      <c r="L275" t="s">
        <v>51</v>
      </c>
      <c r="M275" t="s">
        <v>494</v>
      </c>
      <c r="N275" t="s">
        <v>260</v>
      </c>
      <c r="O275">
        <v>6</v>
      </c>
      <c r="P275" t="s">
        <v>759</v>
      </c>
      <c r="T275">
        <f>29.5-16.5</f>
        <v>13</v>
      </c>
      <c r="U275">
        <v>18</v>
      </c>
      <c r="V275">
        <v>12.6</v>
      </c>
      <c r="W275">
        <v>27.2</v>
      </c>
      <c r="X275" t="s">
        <v>32</v>
      </c>
      <c r="Y275" t="s">
        <v>64</v>
      </c>
    </row>
    <row r="276" spans="1:30" x14ac:dyDescent="0.2">
      <c r="A276" s="3">
        <v>42592</v>
      </c>
      <c r="B276">
        <v>703</v>
      </c>
      <c r="C276">
        <v>3</v>
      </c>
      <c r="D276" t="s">
        <v>27</v>
      </c>
      <c r="E276" t="s">
        <v>28</v>
      </c>
      <c r="F276" t="s">
        <v>188</v>
      </c>
      <c r="G276" t="s">
        <v>30</v>
      </c>
      <c r="H276" s="17" t="s">
        <v>1390</v>
      </c>
      <c r="I276" s="17" t="s">
        <v>1391</v>
      </c>
      <c r="J276" t="s">
        <v>31</v>
      </c>
      <c r="L276" t="s">
        <v>51</v>
      </c>
      <c r="M276" t="s">
        <v>495</v>
      </c>
      <c r="N276" t="s">
        <v>260</v>
      </c>
      <c r="O276">
        <v>6</v>
      </c>
      <c r="P276" t="s">
        <v>759</v>
      </c>
      <c r="Q276">
        <v>6</v>
      </c>
      <c r="R276" t="s">
        <v>759</v>
      </c>
      <c r="T276">
        <f>33-18.5</f>
        <v>14.5</v>
      </c>
      <c r="U276">
        <v>18</v>
      </c>
      <c r="V276">
        <v>12.9</v>
      </c>
      <c r="W276">
        <v>27.5</v>
      </c>
      <c r="X276" t="s">
        <v>32</v>
      </c>
      <c r="Y276" t="s">
        <v>64</v>
      </c>
    </row>
    <row r="277" spans="1:30" x14ac:dyDescent="0.2">
      <c r="A277" s="3">
        <v>42592</v>
      </c>
      <c r="B277">
        <v>703</v>
      </c>
      <c r="C277">
        <v>5</v>
      </c>
      <c r="D277" t="s">
        <v>52</v>
      </c>
      <c r="E277" t="s">
        <v>28</v>
      </c>
      <c r="F277" t="s">
        <v>188</v>
      </c>
      <c r="G277" t="s">
        <v>35</v>
      </c>
      <c r="I277" s="17" t="s">
        <v>1393</v>
      </c>
      <c r="J277" t="s">
        <v>39</v>
      </c>
      <c r="L277" t="s">
        <v>51</v>
      </c>
      <c r="M277" t="s">
        <v>495</v>
      </c>
      <c r="N277" t="s">
        <v>260</v>
      </c>
      <c r="O277">
        <v>2</v>
      </c>
      <c r="P277" t="s">
        <v>832</v>
      </c>
      <c r="Q277" t="s">
        <v>1156</v>
      </c>
      <c r="R277" t="s">
        <v>832</v>
      </c>
      <c r="T277">
        <f>33-15.5</f>
        <v>17.5</v>
      </c>
      <c r="U277">
        <v>16</v>
      </c>
      <c r="X277" t="s">
        <v>32</v>
      </c>
      <c r="Y277" t="s">
        <v>64</v>
      </c>
    </row>
    <row r="278" spans="1:30" x14ac:dyDescent="0.2">
      <c r="A278" s="3">
        <v>42592</v>
      </c>
      <c r="B278">
        <v>703</v>
      </c>
      <c r="C278">
        <v>7</v>
      </c>
      <c r="D278" t="s">
        <v>27</v>
      </c>
      <c r="E278" t="s">
        <v>28</v>
      </c>
      <c r="F278" t="s">
        <v>123</v>
      </c>
      <c r="G278" t="s">
        <v>30</v>
      </c>
      <c r="H278" s="17" t="s">
        <v>1339</v>
      </c>
      <c r="I278" s="17" t="s">
        <v>1340</v>
      </c>
      <c r="J278" t="s">
        <v>31</v>
      </c>
      <c r="L278" t="s">
        <v>51</v>
      </c>
      <c r="M278" t="s">
        <v>495</v>
      </c>
      <c r="N278" t="s">
        <v>260</v>
      </c>
      <c r="O278">
        <v>6</v>
      </c>
      <c r="P278" t="s">
        <v>759</v>
      </c>
      <c r="Q278">
        <v>6</v>
      </c>
      <c r="R278" t="s">
        <v>759</v>
      </c>
      <c r="T278">
        <f>30-16</f>
        <v>14</v>
      </c>
      <c r="U278">
        <v>19</v>
      </c>
      <c r="V278">
        <v>12.8</v>
      </c>
      <c r="W278">
        <v>27.2</v>
      </c>
      <c r="X278" t="s">
        <v>32</v>
      </c>
      <c r="Y278" t="s">
        <v>64</v>
      </c>
    </row>
    <row r="279" spans="1:30" x14ac:dyDescent="0.2">
      <c r="A279" s="3">
        <v>42592</v>
      </c>
      <c r="B279">
        <v>703</v>
      </c>
      <c r="C279">
        <v>8</v>
      </c>
      <c r="D279" t="s">
        <v>52</v>
      </c>
      <c r="E279" t="s">
        <v>34</v>
      </c>
      <c r="F279" t="s">
        <v>188</v>
      </c>
      <c r="G279" t="s">
        <v>123</v>
      </c>
      <c r="H279" s="17" t="s">
        <v>1396</v>
      </c>
      <c r="J279" t="s">
        <v>31</v>
      </c>
      <c r="L279" t="s">
        <v>51</v>
      </c>
      <c r="M279" t="s">
        <v>495</v>
      </c>
      <c r="N279" t="s">
        <v>260</v>
      </c>
      <c r="O279">
        <v>2</v>
      </c>
      <c r="P279" t="s">
        <v>832</v>
      </c>
      <c r="Q279">
        <v>2</v>
      </c>
      <c r="R279" t="s">
        <v>832</v>
      </c>
      <c r="T279">
        <f>30-13</f>
        <v>17</v>
      </c>
      <c r="U279">
        <v>18.5</v>
      </c>
      <c r="V279">
        <v>12.6</v>
      </c>
      <c r="W279">
        <v>26.6</v>
      </c>
      <c r="X279" t="s">
        <v>145</v>
      </c>
      <c r="Y279" t="s">
        <v>64</v>
      </c>
    </row>
    <row r="280" spans="1:30" x14ac:dyDescent="0.2">
      <c r="A280" s="3">
        <v>42592</v>
      </c>
      <c r="B280">
        <v>703</v>
      </c>
      <c r="C280">
        <v>9</v>
      </c>
      <c r="D280" t="s">
        <v>27</v>
      </c>
      <c r="E280" t="s">
        <v>28</v>
      </c>
      <c r="F280" t="s">
        <v>123</v>
      </c>
      <c r="G280" t="s">
        <v>30</v>
      </c>
      <c r="H280" s="17" t="s">
        <v>1349</v>
      </c>
      <c r="I280" s="17" t="s">
        <v>1350</v>
      </c>
      <c r="J280" t="s">
        <v>31</v>
      </c>
      <c r="L280" t="s">
        <v>51</v>
      </c>
      <c r="M280" t="s">
        <v>495</v>
      </c>
      <c r="N280" t="s">
        <v>260</v>
      </c>
      <c r="O280">
        <v>6</v>
      </c>
      <c r="P280" t="s">
        <v>759</v>
      </c>
      <c r="Q280">
        <v>6</v>
      </c>
      <c r="R280" t="s">
        <v>759</v>
      </c>
      <c r="T280">
        <f>29-15</f>
        <v>14</v>
      </c>
      <c r="U280">
        <v>19</v>
      </c>
      <c r="V280">
        <v>12.8</v>
      </c>
      <c r="W280">
        <v>27.3</v>
      </c>
      <c r="X280" t="s">
        <v>32</v>
      </c>
      <c r="Y280" t="s">
        <v>64</v>
      </c>
    </row>
    <row r="281" spans="1:30" x14ac:dyDescent="0.2">
      <c r="A281" s="3">
        <v>42592</v>
      </c>
      <c r="B281">
        <v>703</v>
      </c>
      <c r="C281">
        <v>10</v>
      </c>
      <c r="D281" t="s">
        <v>27</v>
      </c>
      <c r="E281" t="s">
        <v>28</v>
      </c>
      <c r="F281" t="s">
        <v>29</v>
      </c>
      <c r="G281" t="s">
        <v>35</v>
      </c>
      <c r="H281" s="17" t="s">
        <v>1337</v>
      </c>
      <c r="I281" s="17" t="s">
        <v>1338</v>
      </c>
      <c r="J281" t="s">
        <v>63</v>
      </c>
      <c r="L281" t="s">
        <v>51</v>
      </c>
      <c r="M281" t="s">
        <v>493</v>
      </c>
      <c r="N281" t="s">
        <v>260</v>
      </c>
      <c r="Q281">
        <v>6</v>
      </c>
      <c r="R281" t="s">
        <v>759</v>
      </c>
      <c r="T281">
        <f>36-16</f>
        <v>20</v>
      </c>
      <c r="U281">
        <v>20</v>
      </c>
      <c r="V281">
        <v>13</v>
      </c>
      <c r="W281">
        <v>26.9</v>
      </c>
      <c r="X281" t="s">
        <v>32</v>
      </c>
      <c r="Y281" t="s">
        <v>64</v>
      </c>
    </row>
    <row r="282" spans="1:30" x14ac:dyDescent="0.2">
      <c r="A282" s="3">
        <v>42592</v>
      </c>
      <c r="B282">
        <v>701</v>
      </c>
      <c r="C282">
        <v>1</v>
      </c>
      <c r="D282" t="s">
        <v>27</v>
      </c>
      <c r="E282" t="s">
        <v>28</v>
      </c>
      <c r="F282" t="s">
        <v>29</v>
      </c>
      <c r="G282" t="s">
        <v>30</v>
      </c>
      <c r="H282" s="17" t="s">
        <v>1363</v>
      </c>
      <c r="I282" s="17" t="s">
        <v>1364</v>
      </c>
      <c r="J282" t="s">
        <v>31</v>
      </c>
      <c r="L282" t="s">
        <v>51</v>
      </c>
      <c r="M282" t="s">
        <v>495</v>
      </c>
      <c r="N282" t="s">
        <v>260</v>
      </c>
      <c r="O282" t="s">
        <v>923</v>
      </c>
      <c r="P282" t="s">
        <v>759</v>
      </c>
      <c r="Q282" t="s">
        <v>923</v>
      </c>
      <c r="R282" t="s">
        <v>759</v>
      </c>
      <c r="T282">
        <f>36-17</f>
        <v>19</v>
      </c>
      <c r="U282">
        <v>18</v>
      </c>
      <c r="V282">
        <v>13.1</v>
      </c>
      <c r="W282">
        <v>28</v>
      </c>
      <c r="X282" t="s">
        <v>32</v>
      </c>
      <c r="Y282" t="s">
        <v>64</v>
      </c>
    </row>
    <row r="283" spans="1:30" x14ac:dyDescent="0.2">
      <c r="A283" s="3">
        <v>42592</v>
      </c>
      <c r="B283">
        <v>701</v>
      </c>
      <c r="C283">
        <v>2</v>
      </c>
      <c r="D283" t="s">
        <v>27</v>
      </c>
      <c r="E283" t="s">
        <v>28</v>
      </c>
      <c r="F283" t="s">
        <v>188</v>
      </c>
      <c r="G283" t="s">
        <v>35</v>
      </c>
      <c r="H283" s="17" t="s">
        <v>1358</v>
      </c>
      <c r="I283" s="17" t="s">
        <v>1359</v>
      </c>
      <c r="J283" t="s">
        <v>63</v>
      </c>
      <c r="L283" t="s">
        <v>51</v>
      </c>
      <c r="M283" t="s">
        <v>495</v>
      </c>
      <c r="N283" t="s">
        <v>260</v>
      </c>
      <c r="O283">
        <v>6</v>
      </c>
      <c r="P283" t="s">
        <v>759</v>
      </c>
      <c r="Q283">
        <v>6</v>
      </c>
      <c r="R283" t="s">
        <v>759</v>
      </c>
      <c r="T283">
        <f>36-19</f>
        <v>17</v>
      </c>
      <c r="U283">
        <v>20</v>
      </c>
      <c r="V283">
        <v>12.9</v>
      </c>
      <c r="W283">
        <v>27</v>
      </c>
      <c r="X283" t="s">
        <v>32</v>
      </c>
      <c r="Y283" t="s">
        <v>64</v>
      </c>
    </row>
    <row r="284" spans="1:30" x14ac:dyDescent="0.2">
      <c r="A284" s="3">
        <v>42592</v>
      </c>
      <c r="B284">
        <v>701</v>
      </c>
      <c r="C284">
        <v>3</v>
      </c>
      <c r="D284" t="s">
        <v>27</v>
      </c>
      <c r="E284" t="s">
        <v>28</v>
      </c>
      <c r="F284" t="s">
        <v>188</v>
      </c>
      <c r="G284" t="s">
        <v>35</v>
      </c>
      <c r="H284" s="17" t="s">
        <v>1365</v>
      </c>
      <c r="I284" s="17" t="s">
        <v>1366</v>
      </c>
      <c r="J284" t="s">
        <v>63</v>
      </c>
      <c r="L284" t="s">
        <v>51</v>
      </c>
      <c r="M284" t="s">
        <v>495</v>
      </c>
      <c r="N284" t="s">
        <v>260</v>
      </c>
      <c r="O284" t="s">
        <v>923</v>
      </c>
      <c r="P284" t="s">
        <v>759</v>
      </c>
      <c r="Q284" t="s">
        <v>923</v>
      </c>
      <c r="R284" t="s">
        <v>759</v>
      </c>
      <c r="T284">
        <f>29-13</f>
        <v>16</v>
      </c>
      <c r="U284">
        <v>20</v>
      </c>
      <c r="V284">
        <v>12.9</v>
      </c>
      <c r="W284">
        <v>28.1</v>
      </c>
      <c r="X284" t="s">
        <v>145</v>
      </c>
      <c r="Y284" t="s">
        <v>64</v>
      </c>
      <c r="Z284" t="s">
        <v>1417</v>
      </c>
    </row>
    <row r="285" spans="1:30" x14ac:dyDescent="0.2">
      <c r="A285" s="3">
        <v>42592</v>
      </c>
      <c r="B285">
        <v>701</v>
      </c>
      <c r="C285">
        <v>4</v>
      </c>
      <c r="D285" t="s">
        <v>27</v>
      </c>
      <c r="E285" t="s">
        <v>28</v>
      </c>
      <c r="F285" t="s">
        <v>188</v>
      </c>
      <c r="G285" t="s">
        <v>35</v>
      </c>
      <c r="H285" s="17" t="s">
        <v>1354</v>
      </c>
      <c r="I285" s="17" t="s">
        <v>1355</v>
      </c>
      <c r="J285" t="s">
        <v>63</v>
      </c>
      <c r="L285" t="s">
        <v>51</v>
      </c>
      <c r="M285" t="s">
        <v>495</v>
      </c>
      <c r="N285" t="s">
        <v>260</v>
      </c>
      <c r="O285">
        <v>6</v>
      </c>
      <c r="P285" t="s">
        <v>759</v>
      </c>
      <c r="Q285" t="s">
        <v>923</v>
      </c>
      <c r="R285" t="s">
        <v>759</v>
      </c>
      <c r="T285">
        <f>29-13</f>
        <v>16</v>
      </c>
      <c r="U285">
        <v>19</v>
      </c>
      <c r="V285">
        <v>12.9</v>
      </c>
      <c r="W285">
        <v>27.5</v>
      </c>
      <c r="X285" t="s">
        <v>32</v>
      </c>
      <c r="Y285" t="s">
        <v>64</v>
      </c>
    </row>
    <row r="286" spans="1:30" x14ac:dyDescent="0.2">
      <c r="A286" s="3">
        <v>42592</v>
      </c>
      <c r="B286">
        <v>701</v>
      </c>
      <c r="C286">
        <v>5</v>
      </c>
      <c r="D286" t="s">
        <v>27</v>
      </c>
      <c r="E286" t="s">
        <v>28</v>
      </c>
      <c r="F286" t="s">
        <v>29</v>
      </c>
      <c r="G286" t="s">
        <v>30</v>
      </c>
      <c r="H286" s="17" t="s">
        <v>1421</v>
      </c>
      <c r="I286" s="17" t="s">
        <v>1422</v>
      </c>
      <c r="J286" t="s">
        <v>31</v>
      </c>
      <c r="L286" t="s">
        <v>51</v>
      </c>
      <c r="M286" t="s">
        <v>495</v>
      </c>
      <c r="N286" t="s">
        <v>260</v>
      </c>
      <c r="O286" t="s">
        <v>923</v>
      </c>
      <c r="P286" t="s">
        <v>759</v>
      </c>
      <c r="Q286">
        <v>6</v>
      </c>
      <c r="R286" t="s">
        <v>832</v>
      </c>
      <c r="T286">
        <f>31-13</f>
        <v>18</v>
      </c>
      <c r="U286">
        <v>18</v>
      </c>
      <c r="V286">
        <v>12.9</v>
      </c>
      <c r="W286">
        <v>28.4</v>
      </c>
      <c r="X286" t="s">
        <v>145</v>
      </c>
      <c r="Y286" t="s">
        <v>64</v>
      </c>
      <c r="Z286" t="s">
        <v>833</v>
      </c>
    </row>
    <row r="287" spans="1:30" x14ac:dyDescent="0.2">
      <c r="A287" s="3">
        <v>42592</v>
      </c>
      <c r="B287">
        <v>701</v>
      </c>
      <c r="C287">
        <v>6</v>
      </c>
      <c r="D287" t="s">
        <v>27</v>
      </c>
      <c r="E287" t="s">
        <v>28</v>
      </c>
      <c r="F287" t="s">
        <v>29</v>
      </c>
      <c r="G287" t="s">
        <v>35</v>
      </c>
      <c r="H287" s="17" t="s">
        <v>1369</v>
      </c>
      <c r="I287" s="17" t="s">
        <v>1370</v>
      </c>
      <c r="J287" t="s">
        <v>63</v>
      </c>
      <c r="L287" t="s">
        <v>51</v>
      </c>
      <c r="M287" t="s">
        <v>493</v>
      </c>
      <c r="N287" t="s">
        <v>260</v>
      </c>
      <c r="Q287">
        <v>1</v>
      </c>
      <c r="R287" t="s">
        <v>759</v>
      </c>
      <c r="T287">
        <f>34-15</f>
        <v>19</v>
      </c>
      <c r="U287">
        <v>19</v>
      </c>
      <c r="V287">
        <v>12.8</v>
      </c>
      <c r="W287">
        <v>27.7</v>
      </c>
      <c r="X287" t="s">
        <v>32</v>
      </c>
      <c r="Y287" t="s">
        <v>64</v>
      </c>
    </row>
    <row r="288" spans="1:30" x14ac:dyDescent="0.2">
      <c r="A288" s="3">
        <v>42592</v>
      </c>
      <c r="B288">
        <v>701</v>
      </c>
      <c r="C288">
        <v>10</v>
      </c>
      <c r="D288" t="s">
        <v>139</v>
      </c>
      <c r="E288" t="s">
        <v>28</v>
      </c>
      <c r="F288" t="s">
        <v>29</v>
      </c>
      <c r="G288" t="s">
        <v>30</v>
      </c>
      <c r="I288" s="17" t="s">
        <v>140</v>
      </c>
      <c r="J288" t="s">
        <v>75</v>
      </c>
      <c r="L288" t="s">
        <v>909</v>
      </c>
      <c r="M288" t="s">
        <v>494</v>
      </c>
      <c r="N288" t="s">
        <v>32</v>
      </c>
      <c r="O288" t="s">
        <v>1427</v>
      </c>
      <c r="P288" t="s">
        <v>759</v>
      </c>
      <c r="S288" t="s">
        <v>1193</v>
      </c>
      <c r="T288">
        <f>142-50</f>
        <v>92</v>
      </c>
      <c r="U288">
        <v>29</v>
      </c>
      <c r="V288">
        <v>22.2</v>
      </c>
      <c r="W288">
        <v>42.8</v>
      </c>
      <c r="X288" t="s">
        <v>32</v>
      </c>
      <c r="Y288" t="s">
        <v>64</v>
      </c>
      <c r="Z288" t="s">
        <v>1428</v>
      </c>
      <c r="AD288" t="s">
        <v>1429</v>
      </c>
    </row>
    <row r="289" spans="1:26" x14ac:dyDescent="0.2">
      <c r="A289" s="3">
        <v>42592</v>
      </c>
      <c r="B289">
        <v>801</v>
      </c>
      <c r="C289">
        <v>4</v>
      </c>
      <c r="D289" t="s">
        <v>142</v>
      </c>
      <c r="E289" t="s">
        <v>34</v>
      </c>
      <c r="F289" t="s">
        <v>29</v>
      </c>
      <c r="G289" t="s">
        <v>35</v>
      </c>
      <c r="H289" s="17" t="s">
        <v>1431</v>
      </c>
      <c r="J289" t="s">
        <v>39</v>
      </c>
      <c r="K289" t="s">
        <v>1433</v>
      </c>
      <c r="L289" t="s">
        <v>51</v>
      </c>
      <c r="M289" t="s">
        <v>495</v>
      </c>
      <c r="N289" t="s">
        <v>260</v>
      </c>
      <c r="O289">
        <v>1</v>
      </c>
      <c r="P289" t="s">
        <v>832</v>
      </c>
      <c r="Q289">
        <v>1</v>
      </c>
      <c r="R289" t="s">
        <v>832</v>
      </c>
      <c r="T289">
        <f>34.5-13</f>
        <v>21.5</v>
      </c>
      <c r="U289">
        <v>30</v>
      </c>
      <c r="V289">
        <v>12.9</v>
      </c>
      <c r="W289">
        <v>26.2</v>
      </c>
      <c r="X289" t="s">
        <v>145</v>
      </c>
      <c r="Y289" t="s">
        <v>64</v>
      </c>
    </row>
    <row r="290" spans="1:26" x14ac:dyDescent="0.2">
      <c r="A290" s="3">
        <v>42592</v>
      </c>
      <c r="B290">
        <v>801</v>
      </c>
      <c r="C290">
        <v>5</v>
      </c>
      <c r="D290" t="s">
        <v>52</v>
      </c>
      <c r="E290" t="s">
        <v>28</v>
      </c>
      <c r="F290" t="s">
        <v>29</v>
      </c>
      <c r="G290" t="s">
        <v>30</v>
      </c>
      <c r="H290" s="17" t="s">
        <v>1373</v>
      </c>
      <c r="J290" t="s">
        <v>273</v>
      </c>
      <c r="L290" t="s">
        <v>51</v>
      </c>
      <c r="M290" t="s">
        <v>495</v>
      </c>
      <c r="N290" t="s">
        <v>260</v>
      </c>
      <c r="O290" t="s">
        <v>835</v>
      </c>
      <c r="P290" t="s">
        <v>759</v>
      </c>
      <c r="Q290">
        <v>1</v>
      </c>
      <c r="R290" t="s">
        <v>759</v>
      </c>
      <c r="T290">
        <f>49.5-16</f>
        <v>33.5</v>
      </c>
      <c r="U290">
        <v>18.5</v>
      </c>
      <c r="V290">
        <v>13</v>
      </c>
      <c r="W290">
        <v>27.8</v>
      </c>
      <c r="X290" t="s">
        <v>32</v>
      </c>
      <c r="Y290" t="s">
        <v>64</v>
      </c>
      <c r="Z290" t="s">
        <v>1435</v>
      </c>
    </row>
    <row r="291" spans="1:26" x14ac:dyDescent="0.2">
      <c r="A291" s="3">
        <v>42592</v>
      </c>
      <c r="B291">
        <v>801</v>
      </c>
      <c r="C291">
        <v>6</v>
      </c>
      <c r="D291" t="s">
        <v>142</v>
      </c>
      <c r="E291" t="s">
        <v>34</v>
      </c>
      <c r="F291" t="s">
        <v>29</v>
      </c>
      <c r="G291" t="s">
        <v>35</v>
      </c>
      <c r="H291" s="17" t="s">
        <v>1446</v>
      </c>
      <c r="J291" t="s">
        <v>39</v>
      </c>
      <c r="K291" t="s">
        <v>1447</v>
      </c>
      <c r="L291" t="s">
        <v>51</v>
      </c>
      <c r="M291" t="s">
        <v>495</v>
      </c>
      <c r="N291" t="s">
        <v>260</v>
      </c>
      <c r="O291">
        <v>1</v>
      </c>
      <c r="P291" t="s">
        <v>832</v>
      </c>
      <c r="Q291">
        <v>1</v>
      </c>
      <c r="R291" t="s">
        <v>832</v>
      </c>
      <c r="U291">
        <v>28.5</v>
      </c>
      <c r="V291">
        <v>12.9</v>
      </c>
      <c r="W291">
        <v>28.4</v>
      </c>
      <c r="X291" t="s">
        <v>32</v>
      </c>
      <c r="Y291" t="s">
        <v>64</v>
      </c>
    </row>
    <row r="292" spans="1:26" x14ac:dyDescent="0.2">
      <c r="A292" s="3">
        <v>42592</v>
      </c>
      <c r="B292">
        <v>801</v>
      </c>
      <c r="C292">
        <v>7</v>
      </c>
      <c r="D292" t="s">
        <v>142</v>
      </c>
      <c r="E292" t="s">
        <v>34</v>
      </c>
      <c r="F292" t="s">
        <v>29</v>
      </c>
      <c r="G292" t="s">
        <v>30</v>
      </c>
      <c r="H292" s="17" t="s">
        <v>1448</v>
      </c>
      <c r="J292" t="s">
        <v>31</v>
      </c>
      <c r="K292" t="s">
        <v>1449</v>
      </c>
      <c r="L292" t="s">
        <v>51</v>
      </c>
      <c r="M292" t="s">
        <v>495</v>
      </c>
      <c r="N292" t="s">
        <v>260</v>
      </c>
      <c r="O292">
        <v>1</v>
      </c>
      <c r="P292" t="s">
        <v>832</v>
      </c>
      <c r="Q292">
        <v>2</v>
      </c>
      <c r="R292" t="s">
        <v>832</v>
      </c>
      <c r="T292">
        <f>35-18</f>
        <v>17</v>
      </c>
      <c r="U292">
        <v>28.5</v>
      </c>
      <c r="V292">
        <v>12.9</v>
      </c>
      <c r="W292">
        <v>26</v>
      </c>
      <c r="X292" t="s">
        <v>145</v>
      </c>
      <c r="Y292" t="s">
        <v>64</v>
      </c>
    </row>
    <row r="293" spans="1:26" x14ac:dyDescent="0.2">
      <c r="A293" s="3">
        <v>42592</v>
      </c>
      <c r="B293">
        <v>801</v>
      </c>
      <c r="C293">
        <v>7</v>
      </c>
      <c r="D293" t="s">
        <v>139</v>
      </c>
      <c r="E293" t="s">
        <v>28</v>
      </c>
      <c r="F293" t="s">
        <v>29</v>
      </c>
      <c r="G293" t="s">
        <v>35</v>
      </c>
      <c r="I293" s="17" t="s">
        <v>1378</v>
      </c>
      <c r="J293" t="s">
        <v>63</v>
      </c>
      <c r="L293" t="s">
        <v>633</v>
      </c>
      <c r="M293" t="s">
        <v>260</v>
      </c>
      <c r="S293" t="s">
        <v>759</v>
      </c>
      <c r="T293">
        <f>142-46</f>
        <v>96</v>
      </c>
      <c r="U293">
        <v>33</v>
      </c>
      <c r="V293">
        <v>22</v>
      </c>
      <c r="W293">
        <v>41.8</v>
      </c>
      <c r="X293" t="s">
        <v>32</v>
      </c>
      <c r="Y293" t="s">
        <v>64</v>
      </c>
      <c r="Z293" t="s">
        <v>1451</v>
      </c>
    </row>
    <row r="294" spans="1:26" x14ac:dyDescent="0.2">
      <c r="A294" s="3">
        <v>42592</v>
      </c>
      <c r="B294">
        <v>801</v>
      </c>
      <c r="C294">
        <v>9</v>
      </c>
      <c r="D294" t="s">
        <v>142</v>
      </c>
      <c r="E294" t="s">
        <v>28</v>
      </c>
      <c r="F294" t="s">
        <v>29</v>
      </c>
      <c r="G294" t="s">
        <v>35</v>
      </c>
      <c r="H294" s="17" t="s">
        <v>1452</v>
      </c>
      <c r="J294" t="s">
        <v>39</v>
      </c>
      <c r="L294" t="s">
        <v>51</v>
      </c>
      <c r="M294" t="s">
        <v>493</v>
      </c>
      <c r="N294" t="s">
        <v>32</v>
      </c>
      <c r="Q294">
        <v>1</v>
      </c>
      <c r="R294" t="s">
        <v>759</v>
      </c>
      <c r="T294">
        <f>37-15</f>
        <v>22</v>
      </c>
      <c r="U294">
        <v>29</v>
      </c>
      <c r="V294">
        <v>12.9</v>
      </c>
      <c r="W294">
        <v>25.7</v>
      </c>
      <c r="X294" t="s">
        <v>32</v>
      </c>
      <c r="Y294" t="s">
        <v>64</v>
      </c>
    </row>
    <row r="295" spans="1:26" x14ac:dyDescent="0.2">
      <c r="A295" s="3">
        <v>42592</v>
      </c>
      <c r="B295">
        <v>801</v>
      </c>
      <c r="C295">
        <v>10</v>
      </c>
      <c r="D295" t="s">
        <v>139</v>
      </c>
      <c r="E295" t="s">
        <v>28</v>
      </c>
      <c r="F295" t="s">
        <v>29</v>
      </c>
      <c r="G295" t="s">
        <v>35</v>
      </c>
      <c r="H295" s="17" t="s">
        <v>1453</v>
      </c>
      <c r="J295" t="s">
        <v>63</v>
      </c>
      <c r="L295" t="s">
        <v>51</v>
      </c>
      <c r="M295" t="s">
        <v>494</v>
      </c>
      <c r="N295" t="s">
        <v>145</v>
      </c>
      <c r="O295">
        <v>6</v>
      </c>
      <c r="P295" t="s">
        <v>759</v>
      </c>
      <c r="T295">
        <f>136-46</f>
        <v>90</v>
      </c>
      <c r="U295">
        <v>30</v>
      </c>
      <c r="V295">
        <v>21.5</v>
      </c>
      <c r="W295">
        <v>41</v>
      </c>
      <c r="X295" t="s">
        <v>32</v>
      </c>
      <c r="Y295" t="s">
        <v>64</v>
      </c>
    </row>
    <row r="296" spans="1:26" x14ac:dyDescent="0.2">
      <c r="A296" s="3">
        <v>42592</v>
      </c>
      <c r="B296">
        <v>803</v>
      </c>
      <c r="C296">
        <v>10</v>
      </c>
      <c r="D296" t="s">
        <v>27</v>
      </c>
      <c r="E296" t="s">
        <v>34</v>
      </c>
      <c r="F296" t="s">
        <v>123</v>
      </c>
      <c r="G296" t="s">
        <v>35</v>
      </c>
      <c r="H296" s="17" t="s">
        <v>1455</v>
      </c>
      <c r="I296" s="17" t="s">
        <v>1456</v>
      </c>
      <c r="J296" t="s">
        <v>63</v>
      </c>
      <c r="L296" t="s">
        <v>51</v>
      </c>
      <c r="M296" t="s">
        <v>494</v>
      </c>
      <c r="N296" t="s">
        <v>260</v>
      </c>
      <c r="O296" t="s">
        <v>844</v>
      </c>
      <c r="P296" t="s">
        <v>759</v>
      </c>
      <c r="Q296">
        <v>2</v>
      </c>
      <c r="R296" t="s">
        <v>759</v>
      </c>
      <c r="T296">
        <f>24-14</f>
        <v>10</v>
      </c>
      <c r="U296">
        <v>18</v>
      </c>
      <c r="V296">
        <v>12.5</v>
      </c>
      <c r="W296">
        <v>24.1</v>
      </c>
      <c r="X296" t="s">
        <v>32</v>
      </c>
      <c r="Y296" t="s">
        <v>64</v>
      </c>
    </row>
    <row r="297" spans="1:26" x14ac:dyDescent="0.2">
      <c r="A297" s="3">
        <v>42592</v>
      </c>
      <c r="B297">
        <v>803</v>
      </c>
      <c r="C297">
        <v>9</v>
      </c>
      <c r="D297" t="s">
        <v>142</v>
      </c>
      <c r="E297" t="s">
        <v>28</v>
      </c>
      <c r="F297" t="s">
        <v>29</v>
      </c>
      <c r="G297" t="s">
        <v>30</v>
      </c>
      <c r="H297" s="17" t="s">
        <v>1460</v>
      </c>
      <c r="J297" t="s">
        <v>75</v>
      </c>
      <c r="L297" t="s">
        <v>51</v>
      </c>
      <c r="M297" t="s">
        <v>493</v>
      </c>
      <c r="N297" t="s">
        <v>32</v>
      </c>
      <c r="Q297" t="s">
        <v>1461</v>
      </c>
      <c r="R297" t="s">
        <v>759</v>
      </c>
      <c r="T297">
        <f>46-17</f>
        <v>29</v>
      </c>
      <c r="U297">
        <v>29</v>
      </c>
      <c r="V297">
        <v>12.5</v>
      </c>
      <c r="W297">
        <v>25.9</v>
      </c>
      <c r="X297" t="s">
        <v>32</v>
      </c>
      <c r="Y297" t="s">
        <v>64</v>
      </c>
      <c r="Z297" t="s">
        <v>1462</v>
      </c>
    </row>
    <row r="298" spans="1:26" x14ac:dyDescent="0.2">
      <c r="A298" s="3">
        <v>42592</v>
      </c>
      <c r="B298">
        <v>803</v>
      </c>
      <c r="C298">
        <v>7</v>
      </c>
      <c r="D298" t="s">
        <v>142</v>
      </c>
      <c r="E298" t="s">
        <v>34</v>
      </c>
      <c r="F298" t="s">
        <v>29</v>
      </c>
      <c r="G298" t="s">
        <v>35</v>
      </c>
      <c r="H298" s="17" t="s">
        <v>1463</v>
      </c>
      <c r="J298" t="s">
        <v>39</v>
      </c>
      <c r="L298" t="s">
        <v>51</v>
      </c>
      <c r="M298" t="s">
        <v>495</v>
      </c>
      <c r="N298" t="s">
        <v>260</v>
      </c>
      <c r="O298">
        <v>1</v>
      </c>
      <c r="P298" t="s">
        <v>832</v>
      </c>
      <c r="Q298">
        <v>1</v>
      </c>
      <c r="R298" t="s">
        <v>832</v>
      </c>
      <c r="T298">
        <f>41-15</f>
        <v>26</v>
      </c>
      <c r="U298">
        <v>30</v>
      </c>
      <c r="V298">
        <v>12.9</v>
      </c>
      <c r="W298">
        <v>26.5</v>
      </c>
      <c r="X298" t="s">
        <v>32</v>
      </c>
      <c r="Y298" t="s">
        <v>64</v>
      </c>
    </row>
    <row r="299" spans="1:26" x14ac:dyDescent="0.2">
      <c r="A299" s="3">
        <v>42592</v>
      </c>
      <c r="B299">
        <v>803</v>
      </c>
      <c r="C299">
        <v>6</v>
      </c>
      <c r="D299" t="s">
        <v>52</v>
      </c>
      <c r="E299" t="s">
        <v>34</v>
      </c>
      <c r="F299" t="s">
        <v>188</v>
      </c>
      <c r="G299" t="s">
        <v>35</v>
      </c>
      <c r="H299" s="17" t="s">
        <v>1465</v>
      </c>
      <c r="J299" t="s">
        <v>39</v>
      </c>
      <c r="L299" t="s">
        <v>51</v>
      </c>
      <c r="M299" t="s">
        <v>495</v>
      </c>
      <c r="N299" t="s">
        <v>260</v>
      </c>
      <c r="O299">
        <v>2</v>
      </c>
      <c r="P299" t="s">
        <v>759</v>
      </c>
      <c r="Q299">
        <v>2</v>
      </c>
      <c r="R299" t="s">
        <v>759</v>
      </c>
      <c r="T299">
        <f>34-16</f>
        <v>18</v>
      </c>
      <c r="U299">
        <v>17</v>
      </c>
      <c r="V299">
        <v>12.5</v>
      </c>
      <c r="W299">
        <v>26.6</v>
      </c>
      <c r="X299" t="s">
        <v>32</v>
      </c>
      <c r="Y299" t="s">
        <v>64</v>
      </c>
    </row>
    <row r="300" spans="1:26" x14ac:dyDescent="0.2">
      <c r="A300" s="3">
        <v>42592</v>
      </c>
      <c r="B300">
        <v>803</v>
      </c>
      <c r="C300">
        <v>5</v>
      </c>
      <c r="D300" t="s">
        <v>142</v>
      </c>
      <c r="E300" t="s">
        <v>34</v>
      </c>
      <c r="F300" t="s">
        <v>29</v>
      </c>
      <c r="G300" t="s">
        <v>30</v>
      </c>
      <c r="H300" s="17" t="s">
        <v>1466</v>
      </c>
      <c r="J300" t="s">
        <v>75</v>
      </c>
      <c r="L300" t="s">
        <v>51</v>
      </c>
      <c r="M300" t="s">
        <v>493</v>
      </c>
      <c r="N300" t="s">
        <v>32</v>
      </c>
      <c r="Q300">
        <v>1</v>
      </c>
      <c r="R300" t="s">
        <v>759</v>
      </c>
      <c r="T300">
        <f>39-17</f>
        <v>22</v>
      </c>
      <c r="U300">
        <v>28</v>
      </c>
      <c r="V300">
        <v>12.9</v>
      </c>
      <c r="W300">
        <v>26.1</v>
      </c>
      <c r="X300" t="s">
        <v>32</v>
      </c>
      <c r="Y300" t="s">
        <v>64</v>
      </c>
    </row>
    <row r="301" spans="1:26" x14ac:dyDescent="0.2">
      <c r="A301" s="3">
        <v>42592</v>
      </c>
      <c r="B301">
        <v>803</v>
      </c>
      <c r="C301">
        <v>4</v>
      </c>
      <c r="D301" t="s">
        <v>142</v>
      </c>
      <c r="E301" t="s">
        <v>34</v>
      </c>
      <c r="F301" t="s">
        <v>188</v>
      </c>
      <c r="G301" t="s">
        <v>35</v>
      </c>
      <c r="H301" s="17" t="s">
        <v>1468</v>
      </c>
      <c r="J301" t="s">
        <v>39</v>
      </c>
      <c r="L301" t="s">
        <v>51</v>
      </c>
      <c r="M301" t="s">
        <v>495</v>
      </c>
      <c r="N301" t="s">
        <v>260</v>
      </c>
      <c r="O301" t="s">
        <v>1228</v>
      </c>
      <c r="P301" t="s">
        <v>759</v>
      </c>
      <c r="Q301">
        <v>7</v>
      </c>
      <c r="R301" t="s">
        <v>759</v>
      </c>
      <c r="T301">
        <f>32-15</f>
        <v>17</v>
      </c>
      <c r="U301">
        <v>30</v>
      </c>
      <c r="V301">
        <v>12.8</v>
      </c>
      <c r="W301">
        <v>25.4</v>
      </c>
      <c r="X301" t="s">
        <v>145</v>
      </c>
      <c r="Y301" t="s">
        <v>64</v>
      </c>
      <c r="Z301" t="s">
        <v>1469</v>
      </c>
    </row>
    <row r="302" spans="1:26" x14ac:dyDescent="0.2">
      <c r="A302" s="3">
        <v>42592</v>
      </c>
      <c r="B302">
        <v>803</v>
      </c>
      <c r="C302">
        <v>3</v>
      </c>
      <c r="D302" t="s">
        <v>27</v>
      </c>
      <c r="E302" t="s">
        <v>28</v>
      </c>
      <c r="F302" t="s">
        <v>123</v>
      </c>
      <c r="G302" t="s">
        <v>30</v>
      </c>
      <c r="H302" s="17" t="s">
        <v>1384</v>
      </c>
      <c r="I302" s="17" t="s">
        <v>1385</v>
      </c>
      <c r="J302" t="s">
        <v>31</v>
      </c>
      <c r="L302" t="s">
        <v>51</v>
      </c>
      <c r="M302" t="s">
        <v>493</v>
      </c>
      <c r="N302" t="s">
        <v>260</v>
      </c>
      <c r="Q302">
        <v>1</v>
      </c>
      <c r="R302" t="s">
        <v>759</v>
      </c>
      <c r="T302">
        <f>28-16</f>
        <v>12</v>
      </c>
      <c r="X302" t="s">
        <v>32</v>
      </c>
      <c r="Y302" t="s">
        <v>64</v>
      </c>
    </row>
    <row r="303" spans="1:26" x14ac:dyDescent="0.2">
      <c r="A303" s="3">
        <v>42593</v>
      </c>
      <c r="B303">
        <v>703</v>
      </c>
      <c r="C303">
        <v>1</v>
      </c>
      <c r="D303" t="s">
        <v>27</v>
      </c>
      <c r="E303" t="s">
        <v>28</v>
      </c>
      <c r="F303" t="s">
        <v>188</v>
      </c>
      <c r="G303" t="s">
        <v>35</v>
      </c>
      <c r="H303" s="17" t="s">
        <v>1347</v>
      </c>
      <c r="I303" s="17" t="s">
        <v>1348</v>
      </c>
      <c r="J303" t="s">
        <v>63</v>
      </c>
      <c r="L303" t="s">
        <v>51</v>
      </c>
      <c r="M303" t="s">
        <v>495</v>
      </c>
      <c r="N303" t="s">
        <v>260</v>
      </c>
      <c r="O303">
        <v>1</v>
      </c>
      <c r="P303" t="s">
        <v>759</v>
      </c>
      <c r="Q303" t="s">
        <v>923</v>
      </c>
      <c r="R303" t="s">
        <v>759</v>
      </c>
      <c r="T303">
        <f>31.5-14</f>
        <v>17.5</v>
      </c>
      <c r="U303">
        <v>20</v>
      </c>
      <c r="V303">
        <v>12.8</v>
      </c>
      <c r="W303">
        <v>27.7</v>
      </c>
      <c r="X303" t="s">
        <v>32</v>
      </c>
      <c r="Y303" t="s">
        <v>64</v>
      </c>
    </row>
    <row r="304" spans="1:26" x14ac:dyDescent="0.2">
      <c r="A304" s="3">
        <v>42593</v>
      </c>
      <c r="B304">
        <v>703</v>
      </c>
      <c r="C304">
        <v>1</v>
      </c>
      <c r="D304" t="s">
        <v>52</v>
      </c>
      <c r="E304" t="s">
        <v>34</v>
      </c>
      <c r="F304" t="s">
        <v>29</v>
      </c>
      <c r="G304" t="s">
        <v>30</v>
      </c>
      <c r="H304" s="17" t="s">
        <v>1473</v>
      </c>
      <c r="J304" t="s">
        <v>31</v>
      </c>
      <c r="L304" t="s">
        <v>51</v>
      </c>
      <c r="M304" t="s">
        <v>495</v>
      </c>
      <c r="N304" t="s">
        <v>260</v>
      </c>
      <c r="O304">
        <v>2</v>
      </c>
      <c r="P304" t="s">
        <v>832</v>
      </c>
      <c r="Q304">
        <v>2</v>
      </c>
      <c r="R304" t="s">
        <v>832</v>
      </c>
      <c r="T304">
        <f>37-16</f>
        <v>21</v>
      </c>
      <c r="U304">
        <v>18</v>
      </c>
      <c r="V304">
        <v>12.7</v>
      </c>
      <c r="W304">
        <v>26.8</v>
      </c>
      <c r="X304" t="s">
        <v>32</v>
      </c>
      <c r="Y304" t="s">
        <v>64</v>
      </c>
    </row>
    <row r="305" spans="1:26" x14ac:dyDescent="0.2">
      <c r="A305" s="3">
        <v>42593</v>
      </c>
      <c r="B305">
        <v>703</v>
      </c>
      <c r="C305">
        <v>4</v>
      </c>
      <c r="D305" t="s">
        <v>27</v>
      </c>
      <c r="E305" t="s">
        <v>28</v>
      </c>
      <c r="F305" t="s">
        <v>123</v>
      </c>
      <c r="G305" t="s">
        <v>30</v>
      </c>
      <c r="H305" s="17" t="s">
        <v>1349</v>
      </c>
      <c r="I305" s="17" t="s">
        <v>1350</v>
      </c>
      <c r="J305" t="s">
        <v>31</v>
      </c>
      <c r="L305" t="s">
        <v>51</v>
      </c>
      <c r="M305" t="s">
        <v>494</v>
      </c>
      <c r="N305" t="s">
        <v>260</v>
      </c>
      <c r="O305">
        <v>6</v>
      </c>
      <c r="P305" t="s">
        <v>759</v>
      </c>
      <c r="T305">
        <f>32-17</f>
        <v>15</v>
      </c>
      <c r="U305">
        <v>19</v>
      </c>
      <c r="V305">
        <v>12.8</v>
      </c>
      <c r="W305">
        <v>26.9</v>
      </c>
      <c r="X305" t="s">
        <v>32</v>
      </c>
      <c r="Y305" t="s">
        <v>64</v>
      </c>
    </row>
    <row r="306" spans="1:26" x14ac:dyDescent="0.2">
      <c r="A306" s="3">
        <v>42593</v>
      </c>
      <c r="B306">
        <v>703</v>
      </c>
      <c r="C306">
        <v>5</v>
      </c>
      <c r="D306" t="s">
        <v>52</v>
      </c>
      <c r="E306" t="s">
        <v>28</v>
      </c>
      <c r="F306" t="s">
        <v>188</v>
      </c>
      <c r="G306" t="s">
        <v>30</v>
      </c>
      <c r="H306" s="17" t="s">
        <v>1343</v>
      </c>
      <c r="J306" t="s">
        <v>31</v>
      </c>
      <c r="L306" t="s">
        <v>51</v>
      </c>
      <c r="M306" t="s">
        <v>495</v>
      </c>
      <c r="N306" t="s">
        <v>260</v>
      </c>
      <c r="O306" t="s">
        <v>841</v>
      </c>
      <c r="P306" t="s">
        <v>759</v>
      </c>
      <c r="Q306" t="s">
        <v>844</v>
      </c>
      <c r="R306" t="s">
        <v>832</v>
      </c>
      <c r="T306">
        <f>32-13</f>
        <v>19</v>
      </c>
      <c r="U306">
        <v>17.5</v>
      </c>
      <c r="V306">
        <v>12.8</v>
      </c>
      <c r="W306">
        <v>26.6</v>
      </c>
      <c r="X306" t="s">
        <v>32</v>
      </c>
      <c r="Y306" t="s">
        <v>64</v>
      </c>
    </row>
    <row r="307" spans="1:26" x14ac:dyDescent="0.2">
      <c r="A307" s="3">
        <v>42593</v>
      </c>
      <c r="B307">
        <v>703</v>
      </c>
      <c r="C307">
        <v>7</v>
      </c>
      <c r="D307" t="s">
        <v>27</v>
      </c>
      <c r="E307" t="s">
        <v>28</v>
      </c>
      <c r="F307" t="s">
        <v>123</v>
      </c>
      <c r="G307" t="s">
        <v>30</v>
      </c>
      <c r="H307" s="17" t="s">
        <v>1339</v>
      </c>
      <c r="I307" s="17" t="s">
        <v>1340</v>
      </c>
      <c r="J307" t="s">
        <v>31</v>
      </c>
      <c r="L307" t="s">
        <v>51</v>
      </c>
      <c r="M307" t="s">
        <v>495</v>
      </c>
      <c r="N307" t="s">
        <v>260</v>
      </c>
      <c r="O307">
        <v>1</v>
      </c>
      <c r="P307" t="s">
        <v>759</v>
      </c>
      <c r="Q307">
        <v>1</v>
      </c>
      <c r="R307" t="s">
        <v>759</v>
      </c>
      <c r="T307">
        <f>27-13</f>
        <v>14</v>
      </c>
      <c r="U307">
        <v>18</v>
      </c>
      <c r="V307">
        <v>12.6</v>
      </c>
      <c r="W307">
        <v>25.9</v>
      </c>
      <c r="X307" t="s">
        <v>32</v>
      </c>
      <c r="Y307" t="s">
        <v>64</v>
      </c>
    </row>
    <row r="308" spans="1:26" x14ac:dyDescent="0.2">
      <c r="A308" s="3">
        <v>42593</v>
      </c>
      <c r="B308">
        <v>703</v>
      </c>
      <c r="C308">
        <v>8</v>
      </c>
      <c r="D308" t="s">
        <v>52</v>
      </c>
      <c r="E308" t="s">
        <v>34</v>
      </c>
      <c r="F308" t="s">
        <v>29</v>
      </c>
      <c r="G308" t="s">
        <v>30</v>
      </c>
      <c r="H308" s="17" t="s">
        <v>1474</v>
      </c>
      <c r="J308" t="s">
        <v>75</v>
      </c>
      <c r="L308" t="s">
        <v>51</v>
      </c>
      <c r="M308" t="s">
        <v>495</v>
      </c>
      <c r="N308" t="s">
        <v>260</v>
      </c>
      <c r="O308" t="s">
        <v>1476</v>
      </c>
      <c r="P308" t="s">
        <v>832</v>
      </c>
      <c r="Q308">
        <v>2</v>
      </c>
      <c r="R308" t="s">
        <v>832</v>
      </c>
      <c r="T308">
        <f>34-14.5</f>
        <v>19.5</v>
      </c>
      <c r="U308">
        <v>17</v>
      </c>
      <c r="V308">
        <v>12.7</v>
      </c>
      <c r="W308">
        <v>27.4</v>
      </c>
      <c r="X308" t="s">
        <v>145</v>
      </c>
      <c r="Y308" t="s">
        <v>64</v>
      </c>
      <c r="Z308" t="s">
        <v>1192</v>
      </c>
    </row>
    <row r="309" spans="1:26" x14ac:dyDescent="0.2">
      <c r="A309" s="3">
        <v>42593</v>
      </c>
      <c r="B309">
        <v>703</v>
      </c>
      <c r="C309">
        <v>10</v>
      </c>
      <c r="D309" t="s">
        <v>139</v>
      </c>
      <c r="E309" t="s">
        <v>28</v>
      </c>
      <c r="F309" t="s">
        <v>29</v>
      </c>
      <c r="G309" t="s">
        <v>30</v>
      </c>
      <c r="I309" s="17" t="s">
        <v>140</v>
      </c>
      <c r="J309" t="s">
        <v>75</v>
      </c>
      <c r="L309" t="s">
        <v>909</v>
      </c>
      <c r="M309" t="s">
        <v>494</v>
      </c>
      <c r="N309" t="s">
        <v>32</v>
      </c>
      <c r="O309">
        <v>2</v>
      </c>
      <c r="P309" t="s">
        <v>759</v>
      </c>
      <c r="S309" t="s">
        <v>1193</v>
      </c>
      <c r="T309">
        <f>147-46</f>
        <v>101</v>
      </c>
      <c r="U309">
        <v>30</v>
      </c>
      <c r="V309">
        <v>21.6</v>
      </c>
      <c r="W309">
        <v>40.799999999999997</v>
      </c>
      <c r="X309" t="s">
        <v>32</v>
      </c>
      <c r="Y309" t="s">
        <v>64</v>
      </c>
      <c r="Z309" t="s">
        <v>1479</v>
      </c>
    </row>
    <row r="310" spans="1:26" x14ac:dyDescent="0.2">
      <c r="A310" s="3">
        <v>42593</v>
      </c>
      <c r="B310">
        <v>701</v>
      </c>
      <c r="C310">
        <v>1</v>
      </c>
      <c r="D310" t="s">
        <v>27</v>
      </c>
      <c r="E310" t="s">
        <v>28</v>
      </c>
      <c r="F310" t="s">
        <v>188</v>
      </c>
      <c r="G310" t="s">
        <v>35</v>
      </c>
      <c r="H310" s="17" t="s">
        <v>1354</v>
      </c>
      <c r="I310" s="17" t="s">
        <v>1355</v>
      </c>
      <c r="J310" t="s">
        <v>63</v>
      </c>
      <c r="L310" t="s">
        <v>51</v>
      </c>
      <c r="M310" t="s">
        <v>495</v>
      </c>
      <c r="N310" t="s">
        <v>260</v>
      </c>
      <c r="O310">
        <v>6</v>
      </c>
      <c r="P310" t="s">
        <v>759</v>
      </c>
      <c r="Q310">
        <v>6</v>
      </c>
      <c r="R310" t="s">
        <v>759</v>
      </c>
      <c r="T310">
        <f>31.5-16</f>
        <v>15.5</v>
      </c>
      <c r="U310">
        <v>20</v>
      </c>
      <c r="V310">
        <v>12.7</v>
      </c>
      <c r="W310">
        <v>26.4</v>
      </c>
      <c r="X310" t="s">
        <v>32</v>
      </c>
      <c r="Y310" t="s">
        <v>64</v>
      </c>
    </row>
    <row r="311" spans="1:26" x14ac:dyDescent="0.2">
      <c r="A311" s="3">
        <v>42593</v>
      </c>
      <c r="B311">
        <v>701</v>
      </c>
      <c r="C311">
        <v>2</v>
      </c>
      <c r="D311" t="s">
        <v>27</v>
      </c>
      <c r="E311" t="s">
        <v>28</v>
      </c>
      <c r="F311" t="s">
        <v>188</v>
      </c>
      <c r="G311" t="s">
        <v>35</v>
      </c>
      <c r="H311" s="17" t="s">
        <v>1358</v>
      </c>
      <c r="I311" s="17" t="s">
        <v>1359</v>
      </c>
      <c r="J311" t="s">
        <v>63</v>
      </c>
      <c r="L311" t="s">
        <v>51</v>
      </c>
      <c r="M311" t="s">
        <v>495</v>
      </c>
      <c r="N311" t="s">
        <v>260</v>
      </c>
      <c r="O311">
        <v>6</v>
      </c>
      <c r="P311" t="s">
        <v>759</v>
      </c>
      <c r="Q311" t="s">
        <v>1335</v>
      </c>
      <c r="R311" t="s">
        <v>759</v>
      </c>
      <c r="T311">
        <f>29.5-14</f>
        <v>15.5</v>
      </c>
      <c r="U311">
        <v>19</v>
      </c>
      <c r="V311">
        <v>12.8</v>
      </c>
      <c r="W311">
        <v>27.4</v>
      </c>
      <c r="X311" t="s">
        <v>32</v>
      </c>
      <c r="Y311" t="s">
        <v>64</v>
      </c>
    </row>
    <row r="312" spans="1:26" x14ac:dyDescent="0.2">
      <c r="A312" s="3">
        <v>42593</v>
      </c>
      <c r="B312">
        <v>701</v>
      </c>
      <c r="C312">
        <v>3</v>
      </c>
      <c r="D312" t="s">
        <v>27</v>
      </c>
      <c r="E312" t="s">
        <v>28</v>
      </c>
      <c r="F312" t="s">
        <v>188</v>
      </c>
      <c r="G312" t="s">
        <v>30</v>
      </c>
      <c r="H312" s="17" t="s">
        <v>1363</v>
      </c>
      <c r="I312" s="17" t="s">
        <v>1364</v>
      </c>
      <c r="J312" t="s">
        <v>31</v>
      </c>
      <c r="L312" t="s">
        <v>51</v>
      </c>
      <c r="M312" t="s">
        <v>495</v>
      </c>
      <c r="N312" t="s">
        <v>260</v>
      </c>
      <c r="O312" t="s">
        <v>923</v>
      </c>
      <c r="P312" t="s">
        <v>759</v>
      </c>
      <c r="Q312" t="s">
        <v>923</v>
      </c>
      <c r="R312" t="s">
        <v>759</v>
      </c>
      <c r="T312">
        <f>33-15</f>
        <v>18</v>
      </c>
      <c r="U312">
        <v>19</v>
      </c>
      <c r="V312">
        <v>12.7</v>
      </c>
      <c r="W312">
        <v>27.6</v>
      </c>
      <c r="X312" t="s">
        <v>32</v>
      </c>
      <c r="Y312" t="s">
        <v>64</v>
      </c>
    </row>
    <row r="313" spans="1:26" x14ac:dyDescent="0.2">
      <c r="A313" s="3">
        <v>42593</v>
      </c>
      <c r="B313">
        <v>701</v>
      </c>
      <c r="C313">
        <v>4</v>
      </c>
      <c r="D313" t="s">
        <v>27</v>
      </c>
      <c r="E313" t="s">
        <v>28</v>
      </c>
      <c r="F313" t="s">
        <v>188</v>
      </c>
      <c r="G313" t="s">
        <v>35</v>
      </c>
      <c r="H313" s="17" t="s">
        <v>1369</v>
      </c>
      <c r="I313" s="17" t="s">
        <v>1370</v>
      </c>
      <c r="J313" t="s">
        <v>63</v>
      </c>
      <c r="L313" t="s">
        <v>51</v>
      </c>
      <c r="M313" t="s">
        <v>493</v>
      </c>
      <c r="N313" t="s">
        <v>260</v>
      </c>
      <c r="Q313">
        <v>1</v>
      </c>
      <c r="R313" t="s">
        <v>759</v>
      </c>
      <c r="T313">
        <f>35-19</f>
        <v>16</v>
      </c>
      <c r="U313">
        <v>19.5</v>
      </c>
      <c r="V313">
        <v>12.7</v>
      </c>
      <c r="W313">
        <v>27.9</v>
      </c>
      <c r="X313" t="s">
        <v>32</v>
      </c>
      <c r="Y313" t="s">
        <v>64</v>
      </c>
      <c r="Z313" t="s">
        <v>1483</v>
      </c>
    </row>
    <row r="314" spans="1:26" x14ac:dyDescent="0.2">
      <c r="A314" s="3">
        <v>42593</v>
      </c>
      <c r="B314">
        <v>701</v>
      </c>
      <c r="C314">
        <v>5</v>
      </c>
      <c r="D314" t="s">
        <v>27</v>
      </c>
      <c r="E314" t="s">
        <v>28</v>
      </c>
      <c r="F314" t="s">
        <v>123</v>
      </c>
      <c r="G314" t="s">
        <v>35</v>
      </c>
      <c r="H314" s="17" t="s">
        <v>1365</v>
      </c>
      <c r="I314" s="17" t="s">
        <v>1366</v>
      </c>
      <c r="J314" t="s">
        <v>63</v>
      </c>
      <c r="L314" t="s">
        <v>51</v>
      </c>
      <c r="M314" t="s">
        <v>495</v>
      </c>
      <c r="N314" t="s">
        <v>260</v>
      </c>
      <c r="O314" t="s">
        <v>923</v>
      </c>
      <c r="P314" t="s">
        <v>759</v>
      </c>
      <c r="Q314">
        <v>6</v>
      </c>
      <c r="R314" t="s">
        <v>759</v>
      </c>
      <c r="T314">
        <f>31-16</f>
        <v>15</v>
      </c>
      <c r="U314">
        <v>20</v>
      </c>
      <c r="V314">
        <v>12.7</v>
      </c>
      <c r="W314">
        <v>27.8</v>
      </c>
      <c r="X314" t="s">
        <v>32</v>
      </c>
      <c r="Y314" t="s">
        <v>64</v>
      </c>
    </row>
    <row r="315" spans="1:26" x14ac:dyDescent="0.2">
      <c r="A315" s="3">
        <v>42593</v>
      </c>
      <c r="B315">
        <v>701</v>
      </c>
      <c r="C315">
        <v>6</v>
      </c>
      <c r="D315" t="s">
        <v>27</v>
      </c>
      <c r="E315" t="s">
        <v>34</v>
      </c>
      <c r="F315" t="s">
        <v>123</v>
      </c>
      <c r="G315" t="s">
        <v>35</v>
      </c>
      <c r="H315" s="17" t="s">
        <v>1485</v>
      </c>
      <c r="I315" s="17" t="s">
        <v>1486</v>
      </c>
      <c r="J315" t="s">
        <v>63</v>
      </c>
      <c r="L315" t="s">
        <v>260</v>
      </c>
      <c r="T315">
        <f>29-14</f>
        <v>15</v>
      </c>
      <c r="U315">
        <v>19</v>
      </c>
      <c r="V315">
        <v>12.8</v>
      </c>
      <c r="W315">
        <v>27.9</v>
      </c>
      <c r="X315" t="s">
        <v>32</v>
      </c>
      <c r="Y315" t="s">
        <v>64</v>
      </c>
      <c r="Z315" t="s">
        <v>1488</v>
      </c>
    </row>
    <row r="316" spans="1:26" x14ac:dyDescent="0.2">
      <c r="A316" s="3">
        <v>42593</v>
      </c>
      <c r="B316">
        <v>701</v>
      </c>
      <c r="C316">
        <v>10</v>
      </c>
      <c r="D316" t="s">
        <v>27</v>
      </c>
      <c r="E316" t="s">
        <v>28</v>
      </c>
      <c r="F316" t="s">
        <v>123</v>
      </c>
      <c r="G316" t="s">
        <v>30</v>
      </c>
      <c r="H316" s="17" t="s">
        <v>1341</v>
      </c>
      <c r="I316" s="17" t="s">
        <v>1342</v>
      </c>
      <c r="J316" t="s">
        <v>31</v>
      </c>
      <c r="L316" t="s">
        <v>51</v>
      </c>
      <c r="M316" t="s">
        <v>493</v>
      </c>
      <c r="N316" t="s">
        <v>260</v>
      </c>
      <c r="Q316">
        <v>6</v>
      </c>
      <c r="R316" t="s">
        <v>759</v>
      </c>
      <c r="T316">
        <v>15</v>
      </c>
      <c r="U316">
        <v>17</v>
      </c>
      <c r="V316">
        <v>12.7</v>
      </c>
      <c r="W316">
        <v>26.6</v>
      </c>
      <c r="X316" t="s">
        <v>32</v>
      </c>
      <c r="Y316" t="s">
        <v>64</v>
      </c>
    </row>
    <row r="317" spans="1:26" x14ac:dyDescent="0.2">
      <c r="A317" s="3">
        <v>42593</v>
      </c>
      <c r="B317">
        <v>801</v>
      </c>
      <c r="C317">
        <v>1</v>
      </c>
      <c r="D317" t="s">
        <v>139</v>
      </c>
      <c r="E317" t="s">
        <v>28</v>
      </c>
      <c r="F317" t="s">
        <v>29</v>
      </c>
      <c r="G317" t="s">
        <v>35</v>
      </c>
      <c r="I317" s="17" t="s">
        <v>1499</v>
      </c>
      <c r="J317" t="s">
        <v>63</v>
      </c>
      <c r="L317" t="s">
        <v>51</v>
      </c>
      <c r="M317" t="s">
        <v>493</v>
      </c>
      <c r="N317" t="s">
        <v>145</v>
      </c>
      <c r="Q317">
        <v>6</v>
      </c>
      <c r="R317" t="s">
        <v>759</v>
      </c>
      <c r="T317">
        <f>144-46</f>
        <v>98</v>
      </c>
      <c r="U317">
        <v>30</v>
      </c>
      <c r="X317" t="s">
        <v>32</v>
      </c>
      <c r="Y317" t="s">
        <v>64</v>
      </c>
    </row>
    <row r="318" spans="1:26" x14ac:dyDescent="0.2">
      <c r="A318" s="3">
        <v>42593</v>
      </c>
      <c r="B318">
        <v>801</v>
      </c>
      <c r="C318">
        <v>2</v>
      </c>
      <c r="D318" t="s">
        <v>27</v>
      </c>
      <c r="E318" t="s">
        <v>28</v>
      </c>
      <c r="F318" t="s">
        <v>188</v>
      </c>
      <c r="G318" t="s">
        <v>30</v>
      </c>
      <c r="H318" s="17" t="s">
        <v>1500</v>
      </c>
      <c r="I318" s="17" t="s">
        <v>1501</v>
      </c>
      <c r="J318" t="s">
        <v>31</v>
      </c>
      <c r="L318" t="s">
        <v>51</v>
      </c>
      <c r="M318" t="s">
        <v>493</v>
      </c>
      <c r="N318" t="s">
        <v>260</v>
      </c>
      <c r="Q318">
        <v>6</v>
      </c>
      <c r="R318" t="s">
        <v>759</v>
      </c>
      <c r="T318">
        <f>31-15</f>
        <v>16</v>
      </c>
      <c r="U318">
        <v>20</v>
      </c>
      <c r="V318">
        <v>12.6</v>
      </c>
      <c r="W318">
        <v>27.5</v>
      </c>
      <c r="X318" t="s">
        <v>32</v>
      </c>
      <c r="Y318" t="s">
        <v>64</v>
      </c>
    </row>
    <row r="319" spans="1:26" x14ac:dyDescent="0.2">
      <c r="A319" s="3">
        <v>42593</v>
      </c>
      <c r="B319">
        <v>801</v>
      </c>
      <c r="C319">
        <v>2</v>
      </c>
      <c r="D319" t="s">
        <v>139</v>
      </c>
      <c r="E319" t="s">
        <v>28</v>
      </c>
      <c r="F319" t="s">
        <v>188</v>
      </c>
      <c r="G319" t="s">
        <v>35</v>
      </c>
      <c r="H319" s="17" t="s">
        <v>1453</v>
      </c>
      <c r="J319" t="s">
        <v>63</v>
      </c>
      <c r="L319" t="s">
        <v>51</v>
      </c>
      <c r="M319" t="s">
        <v>494</v>
      </c>
      <c r="N319" t="s">
        <v>145</v>
      </c>
      <c r="O319">
        <v>6</v>
      </c>
      <c r="P319" t="s">
        <v>759</v>
      </c>
      <c r="T319">
        <f>130-48</f>
        <v>82</v>
      </c>
      <c r="U319">
        <v>32.5</v>
      </c>
      <c r="V319">
        <v>22.2</v>
      </c>
      <c r="W319">
        <v>41.1</v>
      </c>
      <c r="X319" t="s">
        <v>32</v>
      </c>
      <c r="Y319" t="s">
        <v>64</v>
      </c>
      <c r="Z319" t="s">
        <v>1504</v>
      </c>
    </row>
    <row r="320" spans="1:26" x14ac:dyDescent="0.2">
      <c r="A320" s="3">
        <v>42593</v>
      </c>
      <c r="B320">
        <v>801</v>
      </c>
      <c r="C320">
        <v>3</v>
      </c>
      <c r="D320" t="s">
        <v>134</v>
      </c>
      <c r="E320" t="s">
        <v>34</v>
      </c>
      <c r="F320" t="s">
        <v>188</v>
      </c>
      <c r="G320" t="s">
        <v>35</v>
      </c>
      <c r="H320" s="17" t="s">
        <v>1505</v>
      </c>
      <c r="J320" t="s">
        <v>39</v>
      </c>
      <c r="L320" t="s">
        <v>51</v>
      </c>
      <c r="M320" t="s">
        <v>495</v>
      </c>
      <c r="N320" t="s">
        <v>260</v>
      </c>
      <c r="O320">
        <v>1</v>
      </c>
      <c r="P320" t="s">
        <v>759</v>
      </c>
      <c r="Q320">
        <v>1</v>
      </c>
      <c r="R320" t="s">
        <v>759</v>
      </c>
      <c r="T320">
        <f>27-12</f>
        <v>15</v>
      </c>
      <c r="U320">
        <v>28</v>
      </c>
      <c r="V320">
        <v>12.5</v>
      </c>
      <c r="W320">
        <v>24.9</v>
      </c>
      <c r="X320" t="s">
        <v>32</v>
      </c>
      <c r="Y320" t="s">
        <v>64</v>
      </c>
    </row>
    <row r="321" spans="1:31" x14ac:dyDescent="0.2">
      <c r="A321" s="3">
        <v>42593</v>
      </c>
      <c r="B321">
        <v>801</v>
      </c>
      <c r="C321">
        <v>4</v>
      </c>
      <c r="D321" t="s">
        <v>52</v>
      </c>
      <c r="E321" t="s">
        <v>34</v>
      </c>
      <c r="F321" t="s">
        <v>29</v>
      </c>
      <c r="G321" t="s">
        <v>35</v>
      </c>
      <c r="H321" s="17" t="s">
        <v>1506</v>
      </c>
      <c r="J321" t="s">
        <v>39</v>
      </c>
      <c r="L321" t="s">
        <v>51</v>
      </c>
      <c r="M321" t="s">
        <v>495</v>
      </c>
      <c r="N321" t="s">
        <v>260</v>
      </c>
      <c r="O321" t="s">
        <v>1507</v>
      </c>
      <c r="P321" t="s">
        <v>832</v>
      </c>
      <c r="Q321">
        <v>2</v>
      </c>
      <c r="R321" t="s">
        <v>759</v>
      </c>
      <c r="T321">
        <f>39-12</f>
        <v>27</v>
      </c>
      <c r="U321">
        <v>18.5</v>
      </c>
      <c r="V321">
        <v>12.9</v>
      </c>
      <c r="W321">
        <v>27.6</v>
      </c>
      <c r="X321" t="s">
        <v>32</v>
      </c>
      <c r="Y321" t="s">
        <v>64</v>
      </c>
      <c r="Z321" t="s">
        <v>1508</v>
      </c>
    </row>
    <row r="322" spans="1:31" x14ac:dyDescent="0.2">
      <c r="A322" s="3">
        <v>42593</v>
      </c>
      <c r="B322">
        <v>801</v>
      </c>
      <c r="C322">
        <v>5</v>
      </c>
      <c r="D322" t="s">
        <v>142</v>
      </c>
      <c r="E322" t="s">
        <v>28</v>
      </c>
      <c r="F322" t="s">
        <v>29</v>
      </c>
      <c r="G322" t="s">
        <v>35</v>
      </c>
      <c r="H322" s="17" t="s">
        <v>1446</v>
      </c>
      <c r="J322" t="s">
        <v>39</v>
      </c>
      <c r="L322" t="s">
        <v>51</v>
      </c>
      <c r="M322" t="s">
        <v>495</v>
      </c>
      <c r="N322" t="s">
        <v>260</v>
      </c>
      <c r="O322">
        <v>1</v>
      </c>
      <c r="P322" t="s">
        <v>832</v>
      </c>
      <c r="Q322">
        <v>1</v>
      </c>
      <c r="R322" t="s">
        <v>759</v>
      </c>
      <c r="T322">
        <f>41-18</f>
        <v>23</v>
      </c>
      <c r="U322">
        <v>30</v>
      </c>
      <c r="V322">
        <v>13.1</v>
      </c>
      <c r="W322">
        <v>25.9</v>
      </c>
      <c r="X322" t="s">
        <v>32</v>
      </c>
      <c r="Y322" t="s">
        <v>64</v>
      </c>
    </row>
    <row r="323" spans="1:31" x14ac:dyDescent="0.2">
      <c r="A323" s="3">
        <v>42593</v>
      </c>
      <c r="B323">
        <v>801</v>
      </c>
      <c r="C323">
        <v>8</v>
      </c>
      <c r="D323" t="s">
        <v>27</v>
      </c>
      <c r="E323" t="s">
        <v>28</v>
      </c>
      <c r="F323" t="s">
        <v>123</v>
      </c>
      <c r="G323" t="s">
        <v>30</v>
      </c>
      <c r="H323" s="17" t="s">
        <v>1517</v>
      </c>
      <c r="I323" s="17" t="s">
        <v>1518</v>
      </c>
      <c r="J323" t="s">
        <v>31</v>
      </c>
      <c r="L323" t="s">
        <v>51</v>
      </c>
      <c r="M323" t="s">
        <v>493</v>
      </c>
      <c r="N323" t="s">
        <v>260</v>
      </c>
      <c r="Q323">
        <v>6</v>
      </c>
      <c r="R323" t="s">
        <v>759</v>
      </c>
      <c r="T323">
        <f>31-16</f>
        <v>15</v>
      </c>
      <c r="U323">
        <v>21</v>
      </c>
      <c r="V323">
        <v>12.4</v>
      </c>
      <c r="W323">
        <v>27</v>
      </c>
      <c r="X323" t="s">
        <v>32</v>
      </c>
      <c r="Y323" t="s">
        <v>64</v>
      </c>
    </row>
    <row r="324" spans="1:31" x14ac:dyDescent="0.2">
      <c r="A324" s="3">
        <v>42593</v>
      </c>
      <c r="B324">
        <v>801</v>
      </c>
      <c r="C324">
        <v>8</v>
      </c>
      <c r="D324" t="s">
        <v>139</v>
      </c>
      <c r="E324" t="s">
        <v>28</v>
      </c>
      <c r="F324" t="s">
        <v>29</v>
      </c>
      <c r="G324" t="s">
        <v>30</v>
      </c>
      <c r="H324" s="17" t="s">
        <v>1520</v>
      </c>
      <c r="J324" t="s">
        <v>251</v>
      </c>
      <c r="L324" t="s">
        <v>51</v>
      </c>
      <c r="M324" t="s">
        <v>494</v>
      </c>
      <c r="N324" t="s">
        <v>145</v>
      </c>
      <c r="O324">
        <v>6</v>
      </c>
      <c r="P324" t="s">
        <v>759</v>
      </c>
      <c r="T324">
        <f>146-50</f>
        <v>96</v>
      </c>
      <c r="U324">
        <v>33</v>
      </c>
      <c r="V324">
        <v>21.9</v>
      </c>
      <c r="W324">
        <v>42.2</v>
      </c>
      <c r="X324" t="s">
        <v>32</v>
      </c>
      <c r="Y324" t="s">
        <v>64</v>
      </c>
      <c r="Z324" t="s">
        <v>1522</v>
      </c>
    </row>
    <row r="325" spans="1:31" x14ac:dyDescent="0.2">
      <c r="A325" s="3">
        <v>42593</v>
      </c>
      <c r="B325">
        <v>802</v>
      </c>
      <c r="C325">
        <v>10</v>
      </c>
      <c r="D325" t="s">
        <v>139</v>
      </c>
      <c r="E325" t="s">
        <v>28</v>
      </c>
      <c r="F325" t="s">
        <v>29</v>
      </c>
      <c r="G325" t="s">
        <v>35</v>
      </c>
      <c r="H325" s="17" t="s">
        <v>1471</v>
      </c>
      <c r="J325" t="s">
        <v>63</v>
      </c>
      <c r="L325" t="s">
        <v>909</v>
      </c>
      <c r="M325" t="s">
        <v>494</v>
      </c>
      <c r="N325" t="s">
        <v>145</v>
      </c>
      <c r="O325">
        <v>6</v>
      </c>
      <c r="P325" t="s">
        <v>759</v>
      </c>
      <c r="S325" t="s">
        <v>759</v>
      </c>
      <c r="T325">
        <f>149-49</f>
        <v>100</v>
      </c>
      <c r="U325">
        <v>32</v>
      </c>
      <c r="V325">
        <v>21.1</v>
      </c>
      <c r="W325">
        <v>40.9</v>
      </c>
      <c r="X325" t="s">
        <v>32</v>
      </c>
      <c r="Y325" t="s">
        <v>64</v>
      </c>
      <c r="Z325" t="s">
        <v>1379</v>
      </c>
      <c r="AA325" t="s">
        <v>1524</v>
      </c>
    </row>
    <row r="326" spans="1:31" x14ac:dyDescent="0.2">
      <c r="A326" s="3">
        <v>42593</v>
      </c>
      <c r="B326">
        <v>802</v>
      </c>
      <c r="C326">
        <v>7</v>
      </c>
      <c r="D326" t="s">
        <v>142</v>
      </c>
      <c r="E326" t="s">
        <v>28</v>
      </c>
      <c r="F326" t="s">
        <v>188</v>
      </c>
      <c r="G326" t="s">
        <v>35</v>
      </c>
      <c r="H326" s="17" t="s">
        <v>1468</v>
      </c>
      <c r="J326" t="s">
        <v>39</v>
      </c>
      <c r="L326" t="s">
        <v>51</v>
      </c>
      <c r="M326" t="s">
        <v>495</v>
      </c>
      <c r="N326" t="s">
        <v>260</v>
      </c>
      <c r="O326">
        <v>7</v>
      </c>
      <c r="P326" t="s">
        <v>759</v>
      </c>
      <c r="Q326">
        <v>7</v>
      </c>
      <c r="R326" t="s">
        <v>759</v>
      </c>
      <c r="T326">
        <f>31-13</f>
        <v>18</v>
      </c>
      <c r="X326" t="s">
        <v>32</v>
      </c>
      <c r="Y326" t="s">
        <v>64</v>
      </c>
    </row>
    <row r="327" spans="1:31" x14ac:dyDescent="0.2">
      <c r="A327" s="3">
        <v>42593</v>
      </c>
      <c r="B327">
        <v>802</v>
      </c>
      <c r="C327">
        <v>6</v>
      </c>
      <c r="D327" t="s">
        <v>142</v>
      </c>
      <c r="E327" t="s">
        <v>28</v>
      </c>
      <c r="F327" t="s">
        <v>29</v>
      </c>
      <c r="G327" t="s">
        <v>30</v>
      </c>
      <c r="I327" s="17" t="s">
        <v>1380</v>
      </c>
      <c r="J327" t="s">
        <v>75</v>
      </c>
      <c r="L327" t="s">
        <v>51</v>
      </c>
      <c r="M327" t="s">
        <v>495</v>
      </c>
      <c r="N327" t="s">
        <v>260</v>
      </c>
      <c r="O327" t="s">
        <v>1528</v>
      </c>
      <c r="P327" t="s">
        <v>759</v>
      </c>
      <c r="Q327">
        <v>4</v>
      </c>
      <c r="R327" t="s">
        <v>759</v>
      </c>
      <c r="T327">
        <f>36-15</f>
        <v>21</v>
      </c>
      <c r="X327" t="s">
        <v>32</v>
      </c>
      <c r="Y327" t="s">
        <v>64</v>
      </c>
      <c r="Z327" t="s">
        <v>1529</v>
      </c>
    </row>
    <row r="328" spans="1:31" x14ac:dyDescent="0.2">
      <c r="A328" s="3">
        <v>42598</v>
      </c>
      <c r="B328">
        <v>201</v>
      </c>
      <c r="C328">
        <v>3</v>
      </c>
      <c r="D328" t="s">
        <v>52</v>
      </c>
      <c r="E328" t="s">
        <v>28</v>
      </c>
      <c r="F328" t="s">
        <v>29</v>
      </c>
      <c r="G328" t="s">
        <v>30</v>
      </c>
      <c r="H328" s="17" t="s">
        <v>1307</v>
      </c>
      <c r="J328" t="s">
        <v>75</v>
      </c>
      <c r="L328" t="s">
        <v>51</v>
      </c>
      <c r="M328" t="s">
        <v>495</v>
      </c>
      <c r="N328" t="s">
        <v>260</v>
      </c>
      <c r="O328" t="s">
        <v>1531</v>
      </c>
      <c r="P328" t="s">
        <v>832</v>
      </c>
      <c r="Q328">
        <v>2</v>
      </c>
      <c r="R328" t="s">
        <v>832</v>
      </c>
      <c r="T328">
        <f>41-13</f>
        <v>28</v>
      </c>
      <c r="U328">
        <v>18</v>
      </c>
      <c r="V328">
        <v>13.2</v>
      </c>
      <c r="W328">
        <v>26.3</v>
      </c>
      <c r="X328" t="s">
        <v>32</v>
      </c>
      <c r="Y328" t="s">
        <v>64</v>
      </c>
    </row>
    <row r="329" spans="1:31" x14ac:dyDescent="0.2">
      <c r="A329" s="3">
        <v>42598</v>
      </c>
      <c r="B329">
        <v>201</v>
      </c>
      <c r="C329">
        <v>4</v>
      </c>
      <c r="D329" t="s">
        <v>27</v>
      </c>
      <c r="E329" t="s">
        <v>28</v>
      </c>
      <c r="F329" t="s">
        <v>123</v>
      </c>
      <c r="G329" t="s">
        <v>35</v>
      </c>
      <c r="H329" s="17" t="s">
        <v>1532</v>
      </c>
      <c r="I329" s="17" t="s">
        <v>1533</v>
      </c>
      <c r="J329" t="s">
        <v>63</v>
      </c>
      <c r="L329" t="s">
        <v>51</v>
      </c>
      <c r="M329" t="s">
        <v>495</v>
      </c>
      <c r="N329" t="s">
        <v>260</v>
      </c>
      <c r="O329">
        <v>6</v>
      </c>
      <c r="P329" t="s">
        <v>759</v>
      </c>
      <c r="Q329">
        <v>6</v>
      </c>
      <c r="R329" t="s">
        <v>759</v>
      </c>
      <c r="T329">
        <f>28.5-14</f>
        <v>14.5</v>
      </c>
      <c r="U329">
        <v>18</v>
      </c>
      <c r="V329">
        <v>13</v>
      </c>
      <c r="W329">
        <v>26</v>
      </c>
      <c r="X329" t="s">
        <v>32</v>
      </c>
      <c r="Y329" t="s">
        <v>64</v>
      </c>
    </row>
    <row r="330" spans="1:31" x14ac:dyDescent="0.2">
      <c r="A330" s="3">
        <v>42598</v>
      </c>
      <c r="B330">
        <v>201</v>
      </c>
      <c r="C330">
        <v>4</v>
      </c>
      <c r="D330" t="s">
        <v>27</v>
      </c>
      <c r="E330" t="s">
        <v>28</v>
      </c>
      <c r="F330" t="s">
        <v>188</v>
      </c>
      <c r="G330" t="s">
        <v>35</v>
      </c>
      <c r="H330" s="17" t="s">
        <v>1319</v>
      </c>
      <c r="I330" s="17" t="s">
        <v>1320</v>
      </c>
      <c r="J330" t="s">
        <v>39</v>
      </c>
      <c r="L330" t="s">
        <v>51</v>
      </c>
      <c r="M330" t="s">
        <v>495</v>
      </c>
      <c r="N330" t="s">
        <v>260</v>
      </c>
      <c r="O330" t="s">
        <v>923</v>
      </c>
      <c r="P330" t="s">
        <v>759</v>
      </c>
      <c r="Q330">
        <v>6</v>
      </c>
      <c r="R330" t="s">
        <v>759</v>
      </c>
      <c r="T330">
        <f>32-14</f>
        <v>18</v>
      </c>
      <c r="U330">
        <v>18</v>
      </c>
      <c r="V330">
        <v>13</v>
      </c>
      <c r="W330">
        <v>27.2</v>
      </c>
      <c r="X330" t="s">
        <v>32</v>
      </c>
      <c r="Y330" t="s">
        <v>64</v>
      </c>
    </row>
    <row r="331" spans="1:31" x14ac:dyDescent="0.2">
      <c r="A331" s="3">
        <v>42598</v>
      </c>
      <c r="B331">
        <v>201</v>
      </c>
      <c r="C331">
        <v>6</v>
      </c>
      <c r="D331" t="s">
        <v>27</v>
      </c>
      <c r="E331" t="s">
        <v>28</v>
      </c>
      <c r="F331" t="s">
        <v>29</v>
      </c>
      <c r="G331" t="s">
        <v>30</v>
      </c>
      <c r="H331" s="17" t="s">
        <v>1310</v>
      </c>
      <c r="I331" s="17" t="s">
        <v>1311</v>
      </c>
      <c r="J331" t="s">
        <v>75</v>
      </c>
      <c r="L331" t="s">
        <v>51</v>
      </c>
      <c r="M331" t="s">
        <v>495</v>
      </c>
      <c r="N331" t="s">
        <v>260</v>
      </c>
      <c r="O331">
        <v>6</v>
      </c>
      <c r="P331" t="s">
        <v>759</v>
      </c>
      <c r="Q331">
        <v>6</v>
      </c>
      <c r="R331" t="s">
        <v>759</v>
      </c>
      <c r="T331">
        <f>33-14</f>
        <v>19</v>
      </c>
      <c r="U331">
        <v>19</v>
      </c>
      <c r="V331">
        <v>13.1</v>
      </c>
      <c r="W331">
        <v>29.2</v>
      </c>
      <c r="X331" t="s">
        <v>32</v>
      </c>
      <c r="Y331" t="s">
        <v>64</v>
      </c>
    </row>
    <row r="332" spans="1:31" x14ac:dyDescent="0.2">
      <c r="A332" s="3">
        <v>42598</v>
      </c>
      <c r="B332">
        <v>201</v>
      </c>
      <c r="C332">
        <v>6</v>
      </c>
      <c r="D332" t="s">
        <v>27</v>
      </c>
      <c r="E332" t="s">
        <v>28</v>
      </c>
      <c r="F332" t="s">
        <v>188</v>
      </c>
      <c r="G332" t="s">
        <v>35</v>
      </c>
      <c r="H332" s="17" t="s">
        <v>1142</v>
      </c>
      <c r="I332" s="17" t="s">
        <v>1143</v>
      </c>
      <c r="J332" t="s">
        <v>39</v>
      </c>
      <c r="L332" t="s">
        <v>51</v>
      </c>
      <c r="M332" t="s">
        <v>494</v>
      </c>
      <c r="N332" t="s">
        <v>260</v>
      </c>
      <c r="O332" t="s">
        <v>923</v>
      </c>
      <c r="P332" t="s">
        <v>759</v>
      </c>
      <c r="T332">
        <f>33-17.5</f>
        <v>15.5</v>
      </c>
      <c r="U332">
        <v>19</v>
      </c>
      <c r="V332">
        <v>13.1</v>
      </c>
      <c r="W332">
        <v>27.8</v>
      </c>
      <c r="X332" t="s">
        <v>32</v>
      </c>
      <c r="Y332" t="s">
        <v>64</v>
      </c>
    </row>
    <row r="333" spans="1:31" x14ac:dyDescent="0.2">
      <c r="A333" s="3">
        <v>42598</v>
      </c>
      <c r="B333">
        <v>201</v>
      </c>
      <c r="C333">
        <v>7</v>
      </c>
      <c r="D333" t="s">
        <v>52</v>
      </c>
      <c r="E333" t="s">
        <v>34</v>
      </c>
      <c r="F333" t="s">
        <v>29</v>
      </c>
      <c r="G333" t="s">
        <v>30</v>
      </c>
      <c r="H333" s="17" t="s">
        <v>1541</v>
      </c>
      <c r="J333" t="s">
        <v>75</v>
      </c>
      <c r="L333" t="s">
        <v>51</v>
      </c>
      <c r="M333" t="s">
        <v>495</v>
      </c>
      <c r="N333" t="s">
        <v>260</v>
      </c>
      <c r="O333" t="s">
        <v>1185</v>
      </c>
      <c r="P333" t="s">
        <v>832</v>
      </c>
      <c r="Q333" t="s">
        <v>932</v>
      </c>
      <c r="R333" t="s">
        <v>832</v>
      </c>
      <c r="T333">
        <f>38-14</f>
        <v>24</v>
      </c>
      <c r="U333">
        <v>17</v>
      </c>
      <c r="V333">
        <v>13.2</v>
      </c>
      <c r="W333">
        <v>28.2</v>
      </c>
      <c r="X333" t="s">
        <v>32</v>
      </c>
      <c r="Y333" t="s">
        <v>64</v>
      </c>
      <c r="Z333" t="s">
        <v>1543</v>
      </c>
    </row>
    <row r="334" spans="1:31" x14ac:dyDescent="0.2">
      <c r="A334" s="3">
        <v>42598</v>
      </c>
      <c r="B334">
        <v>201</v>
      </c>
      <c r="C334">
        <v>10</v>
      </c>
      <c r="D334" t="s">
        <v>27</v>
      </c>
      <c r="E334" t="s">
        <v>45</v>
      </c>
      <c r="F334" t="s">
        <v>123</v>
      </c>
      <c r="G334" t="s">
        <v>30</v>
      </c>
      <c r="H334" s="17" t="s">
        <v>1544</v>
      </c>
      <c r="I334" s="17" t="s">
        <v>1545</v>
      </c>
      <c r="J334" t="s">
        <v>31</v>
      </c>
      <c r="L334" t="s">
        <v>51</v>
      </c>
      <c r="M334" t="s">
        <v>494</v>
      </c>
      <c r="N334" t="s">
        <v>260</v>
      </c>
      <c r="O334">
        <v>6</v>
      </c>
      <c r="P334" t="s">
        <v>759</v>
      </c>
      <c r="T334">
        <f>29.5-16</f>
        <v>13.5</v>
      </c>
      <c r="U334">
        <v>17.5</v>
      </c>
      <c r="V334">
        <v>12.9</v>
      </c>
      <c r="W334">
        <v>26.1</v>
      </c>
      <c r="X334" t="s">
        <v>32</v>
      </c>
      <c r="Y334" t="s">
        <v>64</v>
      </c>
      <c r="Z334" t="s">
        <v>1547</v>
      </c>
      <c r="AA334" t="s">
        <v>1548</v>
      </c>
      <c r="AE334" t="s">
        <v>1549</v>
      </c>
    </row>
    <row r="335" spans="1:31" x14ac:dyDescent="0.2">
      <c r="A335" s="3">
        <v>42598</v>
      </c>
      <c r="B335">
        <v>203</v>
      </c>
      <c r="C335">
        <v>2</v>
      </c>
      <c r="D335" t="s">
        <v>27</v>
      </c>
      <c r="E335" t="s">
        <v>28</v>
      </c>
      <c r="F335" t="s">
        <v>123</v>
      </c>
      <c r="G335" t="s">
        <v>30</v>
      </c>
      <c r="H335" s="17" t="s">
        <v>1145</v>
      </c>
      <c r="I335" s="17" t="s">
        <v>1146</v>
      </c>
      <c r="J335" t="s">
        <v>31</v>
      </c>
      <c r="L335" t="s">
        <v>51</v>
      </c>
      <c r="M335" t="s">
        <v>493</v>
      </c>
      <c r="N335" t="s">
        <v>260</v>
      </c>
      <c r="Q335">
        <v>6</v>
      </c>
      <c r="R335" t="s">
        <v>759</v>
      </c>
      <c r="T335">
        <f>32-16.5</f>
        <v>15.5</v>
      </c>
      <c r="U335">
        <v>18</v>
      </c>
      <c r="V335">
        <v>13.3</v>
      </c>
      <c r="W335">
        <v>27.2</v>
      </c>
      <c r="X335" t="s">
        <v>32</v>
      </c>
      <c r="Y335" t="s">
        <v>64</v>
      </c>
      <c r="Z335" t="s">
        <v>1550</v>
      </c>
    </row>
    <row r="336" spans="1:31" x14ac:dyDescent="0.2">
      <c r="A336" s="3">
        <v>42598</v>
      </c>
      <c r="B336">
        <v>203</v>
      </c>
      <c r="C336">
        <v>2</v>
      </c>
      <c r="D336" t="s">
        <v>27</v>
      </c>
      <c r="E336" t="s">
        <v>28</v>
      </c>
      <c r="F336" t="s">
        <v>188</v>
      </c>
      <c r="G336" t="s">
        <v>30</v>
      </c>
      <c r="H336" s="17" t="s">
        <v>1551</v>
      </c>
      <c r="I336" s="17" t="s">
        <v>1148</v>
      </c>
      <c r="J336" t="s">
        <v>31</v>
      </c>
      <c r="L336" t="s">
        <v>51</v>
      </c>
      <c r="M336" t="s">
        <v>494</v>
      </c>
      <c r="N336" t="s">
        <v>260</v>
      </c>
      <c r="O336">
        <v>6</v>
      </c>
      <c r="P336" t="s">
        <v>759</v>
      </c>
      <c r="T336">
        <f>31.5-15.5</f>
        <v>16</v>
      </c>
      <c r="U336">
        <v>18</v>
      </c>
      <c r="V336">
        <v>13.1</v>
      </c>
      <c r="W336">
        <v>27.4</v>
      </c>
      <c r="X336" t="s">
        <v>32</v>
      </c>
      <c r="Y336" t="s">
        <v>64</v>
      </c>
    </row>
    <row r="337" spans="1:30" x14ac:dyDescent="0.2">
      <c r="A337" s="3">
        <v>42598</v>
      </c>
      <c r="B337">
        <v>203</v>
      </c>
      <c r="C337">
        <v>3</v>
      </c>
      <c r="D337" t="s">
        <v>142</v>
      </c>
      <c r="E337" t="s">
        <v>28</v>
      </c>
      <c r="F337" t="s">
        <v>29</v>
      </c>
      <c r="G337" t="s">
        <v>30</v>
      </c>
      <c r="I337" s="17" t="s">
        <v>1149</v>
      </c>
      <c r="J337" t="s">
        <v>75</v>
      </c>
      <c r="L337" t="s">
        <v>51</v>
      </c>
      <c r="M337" t="s">
        <v>495</v>
      </c>
      <c r="N337" t="s">
        <v>260</v>
      </c>
      <c r="O337">
        <v>6</v>
      </c>
      <c r="P337" t="s">
        <v>759</v>
      </c>
      <c r="Q337">
        <v>1</v>
      </c>
      <c r="R337" t="s">
        <v>832</v>
      </c>
      <c r="T337">
        <f>40-13.5</f>
        <v>26.5</v>
      </c>
      <c r="X337" t="s">
        <v>32</v>
      </c>
      <c r="Y337" t="s">
        <v>64</v>
      </c>
      <c r="Z337" t="s">
        <v>1553</v>
      </c>
    </row>
    <row r="338" spans="1:30" x14ac:dyDescent="0.2">
      <c r="A338" s="3">
        <v>42598</v>
      </c>
      <c r="B338">
        <v>203</v>
      </c>
      <c r="C338">
        <v>4</v>
      </c>
      <c r="D338" t="s">
        <v>142</v>
      </c>
      <c r="E338" t="s">
        <v>34</v>
      </c>
      <c r="F338" t="s">
        <v>188</v>
      </c>
      <c r="G338" t="s">
        <v>35</v>
      </c>
      <c r="H338" s="17" t="s">
        <v>1554</v>
      </c>
      <c r="J338" t="s">
        <v>63</v>
      </c>
      <c r="L338" t="s">
        <v>51</v>
      </c>
      <c r="M338" t="s">
        <v>495</v>
      </c>
      <c r="N338" t="s">
        <v>260</v>
      </c>
      <c r="O338" t="s">
        <v>1194</v>
      </c>
      <c r="P338" t="s">
        <v>759</v>
      </c>
      <c r="Q338">
        <v>2</v>
      </c>
      <c r="R338" t="s">
        <v>759</v>
      </c>
      <c r="T338">
        <f>29-13</f>
        <v>16</v>
      </c>
      <c r="U338">
        <v>28</v>
      </c>
      <c r="V338">
        <v>13</v>
      </c>
      <c r="W338">
        <v>24.8</v>
      </c>
      <c r="X338" t="s">
        <v>32</v>
      </c>
      <c r="Y338" t="s">
        <v>64</v>
      </c>
    </row>
    <row r="339" spans="1:30" x14ac:dyDescent="0.2">
      <c r="A339" s="3">
        <v>42598</v>
      </c>
      <c r="B339">
        <v>203</v>
      </c>
      <c r="C339">
        <v>5</v>
      </c>
      <c r="D339" t="s">
        <v>52</v>
      </c>
      <c r="E339" t="s">
        <v>34</v>
      </c>
      <c r="F339" t="s">
        <v>123</v>
      </c>
      <c r="G339" t="s">
        <v>30</v>
      </c>
      <c r="H339" s="17" t="s">
        <v>1555</v>
      </c>
      <c r="J339" t="s">
        <v>31</v>
      </c>
      <c r="L339" t="s">
        <v>51</v>
      </c>
      <c r="M339" t="s">
        <v>495</v>
      </c>
      <c r="N339" t="s">
        <v>260</v>
      </c>
      <c r="O339">
        <v>2</v>
      </c>
      <c r="P339" t="s">
        <v>759</v>
      </c>
      <c r="Q339">
        <v>2</v>
      </c>
      <c r="R339" t="s">
        <v>832</v>
      </c>
      <c r="T339">
        <f>27.5-13</f>
        <v>14.5</v>
      </c>
      <c r="X339" t="s">
        <v>32</v>
      </c>
      <c r="Y339" t="s">
        <v>64</v>
      </c>
    </row>
    <row r="340" spans="1:30" x14ac:dyDescent="0.2">
      <c r="A340" s="3">
        <v>42598</v>
      </c>
      <c r="B340">
        <v>203</v>
      </c>
      <c r="C340">
        <v>6</v>
      </c>
      <c r="D340" t="s">
        <v>27</v>
      </c>
      <c r="E340" t="s">
        <v>28</v>
      </c>
      <c r="F340" t="s">
        <v>29</v>
      </c>
      <c r="G340" t="s">
        <v>35</v>
      </c>
      <c r="H340" s="17" t="s">
        <v>1202</v>
      </c>
      <c r="I340" s="17" t="s">
        <v>1312</v>
      </c>
      <c r="J340" t="s">
        <v>63</v>
      </c>
      <c r="L340" t="s">
        <v>51</v>
      </c>
      <c r="M340" t="s">
        <v>495</v>
      </c>
      <c r="N340" t="s">
        <v>260</v>
      </c>
      <c r="O340">
        <v>1</v>
      </c>
      <c r="P340" t="s">
        <v>759</v>
      </c>
      <c r="Q340">
        <v>1</v>
      </c>
      <c r="R340" t="s">
        <v>759</v>
      </c>
      <c r="T340">
        <f>34-14</f>
        <v>20</v>
      </c>
      <c r="U340">
        <v>20</v>
      </c>
      <c r="V340">
        <v>13.2</v>
      </c>
      <c r="W340">
        <v>27.1</v>
      </c>
      <c r="X340" t="s">
        <v>32</v>
      </c>
      <c r="Y340" t="s">
        <v>64</v>
      </c>
    </row>
    <row r="341" spans="1:30" x14ac:dyDescent="0.2">
      <c r="A341" s="3">
        <v>42598</v>
      </c>
      <c r="B341">
        <v>203</v>
      </c>
      <c r="C341">
        <v>6</v>
      </c>
      <c r="D341" t="s">
        <v>52</v>
      </c>
      <c r="E341" t="s">
        <v>28</v>
      </c>
      <c r="F341" t="s">
        <v>29</v>
      </c>
      <c r="G341" t="s">
        <v>35</v>
      </c>
      <c r="H341" s="17" t="s">
        <v>1150</v>
      </c>
      <c r="J341" t="s">
        <v>63</v>
      </c>
      <c r="L341" t="s">
        <v>51</v>
      </c>
      <c r="M341" t="s">
        <v>495</v>
      </c>
      <c r="N341" t="s">
        <v>260</v>
      </c>
      <c r="O341" t="s">
        <v>1335</v>
      </c>
      <c r="P341" t="s">
        <v>832</v>
      </c>
      <c r="Q341">
        <v>2</v>
      </c>
      <c r="R341" t="s">
        <v>832</v>
      </c>
      <c r="T341">
        <f>36-13</f>
        <v>23</v>
      </c>
      <c r="U341">
        <v>17</v>
      </c>
      <c r="V341">
        <v>12.9</v>
      </c>
      <c r="W341">
        <v>26.4</v>
      </c>
      <c r="X341" t="s">
        <v>32</v>
      </c>
      <c r="Y341" t="s">
        <v>64</v>
      </c>
    </row>
    <row r="342" spans="1:30" x14ac:dyDescent="0.2">
      <c r="A342" s="3">
        <v>42598</v>
      </c>
      <c r="B342">
        <v>203</v>
      </c>
      <c r="C342">
        <v>8</v>
      </c>
      <c r="D342" t="s">
        <v>27</v>
      </c>
      <c r="E342" t="s">
        <v>28</v>
      </c>
      <c r="F342" t="s">
        <v>188</v>
      </c>
      <c r="G342" t="s">
        <v>35</v>
      </c>
      <c r="H342" s="17" t="s">
        <v>1558</v>
      </c>
      <c r="I342" s="17" t="s">
        <v>1559</v>
      </c>
      <c r="J342" t="s">
        <v>63</v>
      </c>
      <c r="L342" t="s">
        <v>51</v>
      </c>
      <c r="M342" t="s">
        <v>494</v>
      </c>
      <c r="N342" t="s">
        <v>260</v>
      </c>
      <c r="O342" t="s">
        <v>1335</v>
      </c>
      <c r="P342" t="s">
        <v>759</v>
      </c>
      <c r="T342">
        <f>31.5-14.5</f>
        <v>17</v>
      </c>
      <c r="U342">
        <v>19</v>
      </c>
      <c r="V342">
        <v>113</v>
      </c>
      <c r="W342">
        <v>27.5</v>
      </c>
      <c r="X342" t="s">
        <v>32</v>
      </c>
      <c r="Y342" t="s">
        <v>64</v>
      </c>
    </row>
    <row r="343" spans="1:30" x14ac:dyDescent="0.2">
      <c r="A343" s="3">
        <v>42598</v>
      </c>
      <c r="B343">
        <v>203</v>
      </c>
      <c r="C343">
        <v>9</v>
      </c>
      <c r="D343" t="s">
        <v>27</v>
      </c>
      <c r="E343" t="s">
        <v>34</v>
      </c>
      <c r="F343" t="s">
        <v>123</v>
      </c>
      <c r="G343" t="s">
        <v>30</v>
      </c>
      <c r="H343" s="17" t="s">
        <v>1561</v>
      </c>
      <c r="I343" s="17" t="s">
        <v>1560</v>
      </c>
      <c r="J343" t="s">
        <v>31</v>
      </c>
      <c r="L343" t="s">
        <v>51</v>
      </c>
      <c r="M343" t="s">
        <v>493</v>
      </c>
      <c r="N343" t="s">
        <v>260</v>
      </c>
      <c r="Q343">
        <v>5</v>
      </c>
      <c r="R343" t="s">
        <v>759</v>
      </c>
      <c r="T343">
        <f>23.5-13.5</f>
        <v>10</v>
      </c>
      <c r="U343">
        <v>18</v>
      </c>
      <c r="V343">
        <v>12.7</v>
      </c>
      <c r="W343">
        <v>25.1</v>
      </c>
      <c r="X343" t="s">
        <v>32</v>
      </c>
      <c r="Y343" t="s">
        <v>64</v>
      </c>
      <c r="Z343" t="s">
        <v>1563</v>
      </c>
    </row>
    <row r="344" spans="1:30" x14ac:dyDescent="0.2">
      <c r="A344" s="3">
        <v>42598</v>
      </c>
      <c r="B344">
        <v>203</v>
      </c>
      <c r="C344">
        <v>10</v>
      </c>
      <c r="D344" t="s">
        <v>27</v>
      </c>
      <c r="E344" t="s">
        <v>28</v>
      </c>
      <c r="F344" t="s">
        <v>29</v>
      </c>
      <c r="G344" t="s">
        <v>30</v>
      </c>
      <c r="H344" s="17" t="s">
        <v>1151</v>
      </c>
      <c r="I344" s="17" t="s">
        <v>1152</v>
      </c>
      <c r="J344" t="s">
        <v>75</v>
      </c>
      <c r="L344" t="s">
        <v>51</v>
      </c>
      <c r="M344" t="s">
        <v>495</v>
      </c>
      <c r="N344" t="s">
        <v>260</v>
      </c>
      <c r="O344">
        <v>1</v>
      </c>
      <c r="P344" t="s">
        <v>759</v>
      </c>
      <c r="Q344">
        <v>1</v>
      </c>
      <c r="R344" t="s">
        <v>759</v>
      </c>
      <c r="T344">
        <f>20</f>
        <v>20</v>
      </c>
      <c r="U344">
        <v>20</v>
      </c>
      <c r="V344">
        <v>13.1</v>
      </c>
      <c r="W344">
        <v>27.2</v>
      </c>
      <c r="X344" t="s">
        <v>32</v>
      </c>
      <c r="Y344" t="s">
        <v>64</v>
      </c>
    </row>
    <row r="345" spans="1:30" x14ac:dyDescent="0.2">
      <c r="A345" s="3">
        <v>42598</v>
      </c>
      <c r="B345">
        <v>203</v>
      </c>
      <c r="C345">
        <v>10</v>
      </c>
      <c r="D345" t="s">
        <v>27</v>
      </c>
      <c r="E345" t="s">
        <v>28</v>
      </c>
      <c r="F345" t="s">
        <v>188</v>
      </c>
      <c r="G345" t="s">
        <v>30</v>
      </c>
      <c r="H345" s="17" t="s">
        <v>1567</v>
      </c>
      <c r="I345" s="17" t="s">
        <v>1568</v>
      </c>
      <c r="J345" t="s">
        <v>31</v>
      </c>
      <c r="L345" t="s">
        <v>51</v>
      </c>
      <c r="M345" t="s">
        <v>495</v>
      </c>
      <c r="N345" t="s">
        <v>260</v>
      </c>
      <c r="O345">
        <v>6</v>
      </c>
      <c r="P345" t="s">
        <v>832</v>
      </c>
      <c r="Q345">
        <v>6</v>
      </c>
      <c r="R345" t="s">
        <v>759</v>
      </c>
      <c r="T345">
        <f>33-17</f>
        <v>16</v>
      </c>
      <c r="U345">
        <v>18.5</v>
      </c>
      <c r="V345">
        <v>13.1</v>
      </c>
      <c r="W345">
        <v>28.7</v>
      </c>
      <c r="X345" t="s">
        <v>32</v>
      </c>
      <c r="Y345" t="s">
        <v>64</v>
      </c>
    </row>
    <row r="346" spans="1:30" x14ac:dyDescent="0.2">
      <c r="A346" s="3">
        <v>42598</v>
      </c>
      <c r="B346">
        <v>202</v>
      </c>
      <c r="C346">
        <v>5</v>
      </c>
      <c r="D346" t="s">
        <v>27</v>
      </c>
      <c r="E346" t="s">
        <v>28</v>
      </c>
      <c r="F346" t="s">
        <v>188</v>
      </c>
      <c r="G346" t="s">
        <v>35</v>
      </c>
      <c r="H346" s="17" t="s">
        <v>1316</v>
      </c>
      <c r="I346" s="17" t="s">
        <v>1317</v>
      </c>
      <c r="J346" t="s">
        <v>63</v>
      </c>
      <c r="L346" t="s">
        <v>51</v>
      </c>
      <c r="M346" t="s">
        <v>495</v>
      </c>
      <c r="N346" t="s">
        <v>260</v>
      </c>
      <c r="O346" t="s">
        <v>923</v>
      </c>
      <c r="P346" t="s">
        <v>759</v>
      </c>
      <c r="Q346">
        <v>6</v>
      </c>
      <c r="R346" t="s">
        <v>759</v>
      </c>
      <c r="U346">
        <v>18</v>
      </c>
      <c r="V346">
        <v>12.9</v>
      </c>
      <c r="W346">
        <v>26.7</v>
      </c>
      <c r="X346" t="s">
        <v>32</v>
      </c>
      <c r="Y346" t="s">
        <v>64</v>
      </c>
      <c r="Z346" t="s">
        <v>1571</v>
      </c>
    </row>
    <row r="347" spans="1:30" x14ac:dyDescent="0.2">
      <c r="A347" s="3">
        <v>42598</v>
      </c>
      <c r="B347">
        <v>202</v>
      </c>
      <c r="C347">
        <v>5</v>
      </c>
      <c r="D347" t="s">
        <v>52</v>
      </c>
      <c r="E347" t="s">
        <v>28</v>
      </c>
      <c r="F347" t="s">
        <v>29</v>
      </c>
      <c r="G347" t="s">
        <v>30</v>
      </c>
      <c r="H347" s="17" t="s">
        <v>1315</v>
      </c>
      <c r="J347" t="s">
        <v>75</v>
      </c>
      <c r="K347" t="s">
        <v>1573</v>
      </c>
      <c r="L347" t="s">
        <v>51</v>
      </c>
      <c r="M347" t="s">
        <v>495</v>
      </c>
      <c r="N347" t="s">
        <v>260</v>
      </c>
      <c r="O347" t="s">
        <v>1574</v>
      </c>
      <c r="P347" t="s">
        <v>832</v>
      </c>
      <c r="Q347">
        <v>2</v>
      </c>
      <c r="R347" t="s">
        <v>832</v>
      </c>
      <c r="T347">
        <f>47-17</f>
        <v>30</v>
      </c>
      <c r="U347">
        <v>17.5</v>
      </c>
      <c r="V347">
        <v>13.1</v>
      </c>
      <c r="W347">
        <v>27.2</v>
      </c>
      <c r="X347" t="s">
        <v>32</v>
      </c>
      <c r="Y347" t="s">
        <v>64</v>
      </c>
      <c r="Z347" t="s">
        <v>1575</v>
      </c>
      <c r="AA347" t="s">
        <v>1576</v>
      </c>
      <c r="AD347" t="s">
        <v>1577</v>
      </c>
    </row>
    <row r="348" spans="1:30" x14ac:dyDescent="0.2">
      <c r="A348" s="3">
        <v>42598</v>
      </c>
      <c r="B348">
        <v>202</v>
      </c>
      <c r="C348">
        <v>6</v>
      </c>
      <c r="D348" t="s">
        <v>142</v>
      </c>
      <c r="E348" t="s">
        <v>34</v>
      </c>
      <c r="F348" t="s">
        <v>188</v>
      </c>
      <c r="G348" t="s">
        <v>30</v>
      </c>
      <c r="H348" s="17" t="s">
        <v>1578</v>
      </c>
      <c r="J348" t="s">
        <v>31</v>
      </c>
      <c r="L348" t="s">
        <v>51</v>
      </c>
      <c r="M348" t="s">
        <v>495</v>
      </c>
      <c r="N348" t="s">
        <v>260</v>
      </c>
      <c r="O348">
        <v>1</v>
      </c>
      <c r="P348" t="s">
        <v>759</v>
      </c>
      <c r="Q348">
        <v>2</v>
      </c>
      <c r="R348" t="s">
        <v>759</v>
      </c>
      <c r="T348">
        <f>33-16.5</f>
        <v>16.5</v>
      </c>
      <c r="U348">
        <v>29.5</v>
      </c>
      <c r="V348">
        <v>13</v>
      </c>
      <c r="W348">
        <v>24.9</v>
      </c>
      <c r="X348" t="s">
        <v>32</v>
      </c>
      <c r="Y348" t="s">
        <v>64</v>
      </c>
    </row>
    <row r="349" spans="1:30" x14ac:dyDescent="0.2">
      <c r="A349" s="3">
        <v>42598</v>
      </c>
      <c r="B349">
        <v>202</v>
      </c>
      <c r="C349">
        <v>8</v>
      </c>
      <c r="D349" t="s">
        <v>27</v>
      </c>
      <c r="E349" t="s">
        <v>28</v>
      </c>
      <c r="F349" t="s">
        <v>123</v>
      </c>
      <c r="G349" t="s">
        <v>35</v>
      </c>
      <c r="H349" s="17" t="s">
        <v>861</v>
      </c>
      <c r="I349" s="17" t="s">
        <v>862</v>
      </c>
      <c r="J349" t="s">
        <v>63</v>
      </c>
      <c r="L349" t="s">
        <v>51</v>
      </c>
      <c r="M349" t="s">
        <v>494</v>
      </c>
      <c r="N349" t="s">
        <v>260</v>
      </c>
      <c r="O349">
        <v>6</v>
      </c>
      <c r="P349" t="s">
        <v>759</v>
      </c>
      <c r="T349">
        <f>35-20</f>
        <v>15</v>
      </c>
      <c r="U349">
        <v>19</v>
      </c>
      <c r="V349">
        <v>13</v>
      </c>
      <c r="W349">
        <v>28.4</v>
      </c>
      <c r="X349" t="s">
        <v>32</v>
      </c>
      <c r="Y349" t="s">
        <v>64</v>
      </c>
    </row>
    <row r="350" spans="1:30" x14ac:dyDescent="0.2">
      <c r="A350" s="3">
        <v>42598</v>
      </c>
      <c r="B350">
        <v>202</v>
      </c>
      <c r="C350">
        <v>9</v>
      </c>
      <c r="D350" t="s">
        <v>52</v>
      </c>
      <c r="E350" t="s">
        <v>34</v>
      </c>
      <c r="F350" t="s">
        <v>188</v>
      </c>
      <c r="G350" t="s">
        <v>35</v>
      </c>
      <c r="H350" s="17" t="s">
        <v>1582</v>
      </c>
      <c r="J350" t="s">
        <v>63</v>
      </c>
      <c r="L350" t="s">
        <v>51</v>
      </c>
      <c r="M350" t="s">
        <v>495</v>
      </c>
      <c r="N350" t="s">
        <v>260</v>
      </c>
      <c r="O350" t="s">
        <v>1583</v>
      </c>
      <c r="P350" t="s">
        <v>759</v>
      </c>
      <c r="Q350" t="s">
        <v>1584</v>
      </c>
      <c r="R350" t="s">
        <v>759</v>
      </c>
      <c r="T350">
        <f>28-13</f>
        <v>15</v>
      </c>
      <c r="U350">
        <v>18</v>
      </c>
      <c r="V350">
        <v>12.8</v>
      </c>
      <c r="W350">
        <v>26.3</v>
      </c>
      <c r="X350" t="s">
        <v>32</v>
      </c>
      <c r="Y350" t="s">
        <v>64</v>
      </c>
      <c r="Z350" t="s">
        <v>1585</v>
      </c>
    </row>
    <row r="351" spans="1:30" x14ac:dyDescent="0.2">
      <c r="A351" s="3">
        <v>42598</v>
      </c>
      <c r="B351">
        <v>202</v>
      </c>
      <c r="C351">
        <v>9</v>
      </c>
      <c r="D351" t="s">
        <v>62</v>
      </c>
      <c r="E351" t="s">
        <v>34</v>
      </c>
      <c r="F351" t="s">
        <v>29</v>
      </c>
      <c r="G351" t="s">
        <v>35</v>
      </c>
      <c r="H351" s="17" t="s">
        <v>1586</v>
      </c>
      <c r="J351" t="s">
        <v>39</v>
      </c>
      <c r="L351" t="s">
        <v>51</v>
      </c>
      <c r="M351" t="s">
        <v>493</v>
      </c>
      <c r="N351" t="s">
        <v>32</v>
      </c>
      <c r="Q351">
        <v>7</v>
      </c>
      <c r="R351" t="s">
        <v>759</v>
      </c>
      <c r="T351">
        <f>200-48</f>
        <v>152</v>
      </c>
      <c r="U351">
        <v>41</v>
      </c>
      <c r="X351" t="s">
        <v>32</v>
      </c>
      <c r="Y351" t="s">
        <v>64</v>
      </c>
    </row>
    <row r="352" spans="1:30" x14ac:dyDescent="0.2">
      <c r="A352" s="3">
        <v>42598</v>
      </c>
      <c r="B352">
        <v>304</v>
      </c>
      <c r="C352">
        <v>10</v>
      </c>
      <c r="D352" t="s">
        <v>27</v>
      </c>
      <c r="E352" t="s">
        <v>28</v>
      </c>
      <c r="F352" t="s">
        <v>123</v>
      </c>
      <c r="G352" t="s">
        <v>30</v>
      </c>
      <c r="H352" s="17" t="s">
        <v>938</v>
      </c>
      <c r="I352" s="17" t="s">
        <v>939</v>
      </c>
      <c r="J352" t="s">
        <v>31</v>
      </c>
      <c r="L352" t="s">
        <v>51</v>
      </c>
      <c r="M352" t="s">
        <v>495</v>
      </c>
      <c r="N352" t="s">
        <v>260</v>
      </c>
      <c r="O352">
        <v>6</v>
      </c>
      <c r="P352" t="s">
        <v>759</v>
      </c>
      <c r="Q352">
        <v>6</v>
      </c>
      <c r="R352" t="s">
        <v>759</v>
      </c>
      <c r="T352">
        <f>33-21</f>
        <v>12</v>
      </c>
      <c r="U352">
        <v>20</v>
      </c>
      <c r="V352">
        <v>13.1</v>
      </c>
      <c r="W352">
        <v>27.8</v>
      </c>
      <c r="X352" t="s">
        <v>32</v>
      </c>
      <c r="Y352" t="s">
        <v>64</v>
      </c>
    </row>
    <row r="353" spans="1:30" x14ac:dyDescent="0.2">
      <c r="A353" s="3">
        <v>42598</v>
      </c>
      <c r="B353">
        <v>304</v>
      </c>
      <c r="C353">
        <v>6</v>
      </c>
      <c r="D353" t="s">
        <v>52</v>
      </c>
      <c r="E353" t="s">
        <v>28</v>
      </c>
      <c r="F353" t="s">
        <v>29</v>
      </c>
      <c r="G353" t="s">
        <v>30</v>
      </c>
      <c r="H353" s="17" t="s">
        <v>941</v>
      </c>
      <c r="J353" t="s">
        <v>251</v>
      </c>
      <c r="L353" t="s">
        <v>51</v>
      </c>
      <c r="M353" t="s">
        <v>495</v>
      </c>
      <c r="N353" t="s">
        <v>260</v>
      </c>
      <c r="O353" t="s">
        <v>1335</v>
      </c>
      <c r="P353" t="s">
        <v>837</v>
      </c>
      <c r="Q353" t="s">
        <v>841</v>
      </c>
      <c r="R353" t="s">
        <v>832</v>
      </c>
      <c r="T353">
        <f>46-21</f>
        <v>25</v>
      </c>
      <c r="U353">
        <v>18</v>
      </c>
      <c r="V353">
        <v>13</v>
      </c>
      <c r="W353">
        <v>28.2</v>
      </c>
      <c r="X353" t="s">
        <v>32</v>
      </c>
      <c r="Y353" t="s">
        <v>64</v>
      </c>
    </row>
    <row r="354" spans="1:30" x14ac:dyDescent="0.2">
      <c r="A354" s="3">
        <v>42598</v>
      </c>
      <c r="B354">
        <v>304</v>
      </c>
      <c r="C354">
        <v>5</v>
      </c>
      <c r="D354" t="s">
        <v>52</v>
      </c>
      <c r="E354" t="s">
        <v>28</v>
      </c>
      <c r="F354" t="s">
        <v>29</v>
      </c>
      <c r="G354" t="s">
        <v>35</v>
      </c>
      <c r="H354" s="17" t="s">
        <v>1158</v>
      </c>
      <c r="J354" t="s">
        <v>39</v>
      </c>
      <c r="L354" t="s">
        <v>51</v>
      </c>
      <c r="M354" t="s">
        <v>495</v>
      </c>
      <c r="N354" t="s">
        <v>260</v>
      </c>
      <c r="O354" t="s">
        <v>1335</v>
      </c>
      <c r="P354" t="s">
        <v>832</v>
      </c>
      <c r="Q354" t="s">
        <v>1590</v>
      </c>
      <c r="R354" t="s">
        <v>832</v>
      </c>
      <c r="T354">
        <f>47.5-18</f>
        <v>29.5</v>
      </c>
      <c r="X354" t="s">
        <v>32</v>
      </c>
      <c r="Y354" t="s">
        <v>64</v>
      </c>
      <c r="Z354" t="s">
        <v>1591</v>
      </c>
      <c r="AD354" t="s">
        <v>1592</v>
      </c>
    </row>
    <row r="355" spans="1:30" x14ac:dyDescent="0.2">
      <c r="A355" s="3">
        <v>42598</v>
      </c>
      <c r="B355">
        <v>304</v>
      </c>
      <c r="C355">
        <v>5</v>
      </c>
      <c r="D355" t="s">
        <v>52</v>
      </c>
      <c r="E355" t="s">
        <v>34</v>
      </c>
      <c r="F355" t="s">
        <v>29</v>
      </c>
      <c r="G355" t="s">
        <v>35</v>
      </c>
      <c r="H355" s="17" t="s">
        <v>1593</v>
      </c>
      <c r="J355" t="s">
        <v>39</v>
      </c>
      <c r="L355" t="s">
        <v>51</v>
      </c>
      <c r="M355" t="s">
        <v>495</v>
      </c>
      <c r="N355" t="s">
        <v>260</v>
      </c>
      <c r="O355">
        <v>2</v>
      </c>
      <c r="P355" t="s">
        <v>832</v>
      </c>
      <c r="Q355" t="s">
        <v>1584</v>
      </c>
      <c r="R355" t="s">
        <v>832</v>
      </c>
      <c r="T355">
        <f>46-21</f>
        <v>25</v>
      </c>
      <c r="X355" t="s">
        <v>32</v>
      </c>
      <c r="Y355" t="s">
        <v>64</v>
      </c>
      <c r="Z355" t="s">
        <v>1595</v>
      </c>
    </row>
    <row r="356" spans="1:30" x14ac:dyDescent="0.2">
      <c r="A356" s="3">
        <v>42598</v>
      </c>
      <c r="B356">
        <v>304</v>
      </c>
      <c r="C356">
        <v>2</v>
      </c>
      <c r="D356" t="s">
        <v>52</v>
      </c>
      <c r="E356" t="s">
        <v>28</v>
      </c>
      <c r="F356" t="s">
        <v>29</v>
      </c>
      <c r="G356" t="s">
        <v>30</v>
      </c>
      <c r="H356" s="17" t="s">
        <v>1157</v>
      </c>
      <c r="J356" t="s">
        <v>31</v>
      </c>
      <c r="L356" t="s">
        <v>51</v>
      </c>
      <c r="M356" t="s">
        <v>495</v>
      </c>
      <c r="N356" t="s">
        <v>260</v>
      </c>
      <c r="O356" t="s">
        <v>1335</v>
      </c>
      <c r="P356" t="s">
        <v>832</v>
      </c>
      <c r="Q356">
        <v>2</v>
      </c>
      <c r="R356" t="s">
        <v>832</v>
      </c>
      <c r="T356">
        <f>41-21.5</f>
        <v>19.5</v>
      </c>
      <c r="X356" t="s">
        <v>32</v>
      </c>
      <c r="Y356" t="s">
        <v>64</v>
      </c>
    </row>
    <row r="357" spans="1:30" x14ac:dyDescent="0.2">
      <c r="A357" s="3">
        <v>42598</v>
      </c>
      <c r="B357">
        <v>304</v>
      </c>
      <c r="C357">
        <v>1</v>
      </c>
      <c r="D357" t="s">
        <v>27</v>
      </c>
      <c r="E357" t="s">
        <v>28</v>
      </c>
      <c r="F357" t="s">
        <v>188</v>
      </c>
      <c r="G357" t="s">
        <v>35</v>
      </c>
      <c r="H357" s="17" t="s">
        <v>1006</v>
      </c>
      <c r="I357" s="17" t="s">
        <v>1007</v>
      </c>
      <c r="J357" t="s">
        <v>63</v>
      </c>
      <c r="L357" t="s">
        <v>51</v>
      </c>
      <c r="M357" t="s">
        <v>495</v>
      </c>
      <c r="N357" t="s">
        <v>260</v>
      </c>
      <c r="O357">
        <v>6</v>
      </c>
      <c r="P357" t="s">
        <v>759</v>
      </c>
      <c r="Q357" t="s">
        <v>923</v>
      </c>
      <c r="R357" t="s">
        <v>759</v>
      </c>
      <c r="X357" t="s">
        <v>32</v>
      </c>
      <c r="Y357" t="s">
        <v>64</v>
      </c>
    </row>
    <row r="358" spans="1:30" x14ac:dyDescent="0.2">
      <c r="A358" s="3">
        <v>42598</v>
      </c>
      <c r="B358">
        <v>111</v>
      </c>
      <c r="C358">
        <v>9</v>
      </c>
      <c r="D358" t="s">
        <v>27</v>
      </c>
      <c r="E358" t="s">
        <v>28</v>
      </c>
      <c r="F358" t="s">
        <v>188</v>
      </c>
      <c r="G358" t="s">
        <v>35</v>
      </c>
      <c r="H358" s="17" t="s">
        <v>1071</v>
      </c>
      <c r="I358" s="17" t="s">
        <v>1072</v>
      </c>
      <c r="J358" t="s">
        <v>63</v>
      </c>
      <c r="L358" t="s">
        <v>51</v>
      </c>
      <c r="M358" t="s">
        <v>493</v>
      </c>
      <c r="N358" t="s">
        <v>260</v>
      </c>
      <c r="Q358">
        <v>6</v>
      </c>
      <c r="R358" t="s">
        <v>759</v>
      </c>
      <c r="T358">
        <f>28.5-13</f>
        <v>15.5</v>
      </c>
      <c r="U358">
        <v>20</v>
      </c>
      <c r="V358">
        <v>13</v>
      </c>
      <c r="W358">
        <v>28</v>
      </c>
      <c r="X358" t="s">
        <v>32</v>
      </c>
      <c r="Y358" t="s">
        <v>24</v>
      </c>
    </row>
    <row r="359" spans="1:30" x14ac:dyDescent="0.2">
      <c r="A359" s="3">
        <v>42598</v>
      </c>
      <c r="B359">
        <v>112</v>
      </c>
      <c r="C359">
        <v>2</v>
      </c>
      <c r="D359" t="s">
        <v>27</v>
      </c>
      <c r="E359" t="s">
        <v>28</v>
      </c>
      <c r="F359" t="s">
        <v>29</v>
      </c>
      <c r="G359" t="s">
        <v>35</v>
      </c>
      <c r="H359" s="17" t="s">
        <v>1049</v>
      </c>
      <c r="I359" s="17" t="s">
        <v>1050</v>
      </c>
      <c r="J359" t="s">
        <v>39</v>
      </c>
      <c r="L359" t="s">
        <v>51</v>
      </c>
      <c r="M359" t="s">
        <v>494</v>
      </c>
      <c r="N359" t="s">
        <v>260</v>
      </c>
      <c r="O359">
        <v>6</v>
      </c>
      <c r="P359" t="s">
        <v>759</v>
      </c>
      <c r="T359">
        <f>38.5-18.5</f>
        <v>20</v>
      </c>
      <c r="U359">
        <v>19</v>
      </c>
      <c r="V359">
        <v>13.2</v>
      </c>
      <c r="W359">
        <v>26.7</v>
      </c>
      <c r="X359" t="s">
        <v>32</v>
      </c>
      <c r="Y359" t="s">
        <v>24</v>
      </c>
    </row>
    <row r="360" spans="1:30" x14ac:dyDescent="0.2">
      <c r="A360" s="3">
        <v>42598</v>
      </c>
      <c r="B360">
        <v>112</v>
      </c>
      <c r="C360">
        <v>4</v>
      </c>
      <c r="D360" t="s">
        <v>27</v>
      </c>
      <c r="E360" t="s">
        <v>28</v>
      </c>
      <c r="F360" t="s">
        <v>188</v>
      </c>
      <c r="G360" t="s">
        <v>35</v>
      </c>
      <c r="H360" s="17" t="s">
        <v>962</v>
      </c>
      <c r="I360" s="17" t="s">
        <v>1170</v>
      </c>
      <c r="J360" t="s">
        <v>63</v>
      </c>
      <c r="L360" t="s">
        <v>51</v>
      </c>
      <c r="M360" t="s">
        <v>494</v>
      </c>
      <c r="N360" t="s">
        <v>260</v>
      </c>
      <c r="O360">
        <v>6</v>
      </c>
      <c r="P360" t="s">
        <v>759</v>
      </c>
      <c r="T360">
        <f>36-17.5</f>
        <v>18.5</v>
      </c>
      <c r="U360">
        <v>18</v>
      </c>
      <c r="V360">
        <v>13</v>
      </c>
      <c r="W360">
        <v>26.3</v>
      </c>
      <c r="X360" t="s">
        <v>32</v>
      </c>
      <c r="Y360" t="s">
        <v>24</v>
      </c>
    </row>
    <row r="361" spans="1:30" x14ac:dyDescent="0.2">
      <c r="A361" s="3">
        <v>42598</v>
      </c>
      <c r="B361">
        <v>112</v>
      </c>
      <c r="C361">
        <v>6</v>
      </c>
      <c r="D361" t="s">
        <v>27</v>
      </c>
      <c r="E361" t="s">
        <v>34</v>
      </c>
      <c r="F361" t="s">
        <v>29</v>
      </c>
      <c r="G361" t="s">
        <v>30</v>
      </c>
      <c r="H361" s="17" t="s">
        <v>1795</v>
      </c>
      <c r="I361" s="17" t="s">
        <v>1796</v>
      </c>
      <c r="J361" t="s">
        <v>279</v>
      </c>
      <c r="L361" t="s">
        <v>51</v>
      </c>
      <c r="M361" t="s">
        <v>494</v>
      </c>
      <c r="N361" t="s">
        <v>260</v>
      </c>
      <c r="O361">
        <v>1</v>
      </c>
      <c r="P361" t="s">
        <v>759</v>
      </c>
      <c r="T361">
        <f>35-15</f>
        <v>20</v>
      </c>
      <c r="U361">
        <v>18</v>
      </c>
      <c r="V361">
        <v>12.7</v>
      </c>
      <c r="W361">
        <v>26.6</v>
      </c>
      <c r="X361" t="s">
        <v>145</v>
      </c>
      <c r="Y361" t="s">
        <v>24</v>
      </c>
    </row>
    <row r="362" spans="1:30" x14ac:dyDescent="0.2">
      <c r="A362" s="3">
        <v>42598</v>
      </c>
      <c r="B362">
        <v>112</v>
      </c>
      <c r="C362">
        <v>7</v>
      </c>
      <c r="D362" t="s">
        <v>142</v>
      </c>
      <c r="E362" t="s">
        <v>28</v>
      </c>
      <c r="F362" t="s">
        <v>29</v>
      </c>
      <c r="G362" t="s">
        <v>35</v>
      </c>
      <c r="H362" s="17" t="s">
        <v>922</v>
      </c>
      <c r="J362" t="s">
        <v>39</v>
      </c>
      <c r="L362" t="s">
        <v>51</v>
      </c>
      <c r="M362" t="s">
        <v>493</v>
      </c>
      <c r="N362" t="s">
        <v>32</v>
      </c>
      <c r="Q362">
        <v>1</v>
      </c>
      <c r="R362" t="s">
        <v>759</v>
      </c>
      <c r="T362">
        <v>28</v>
      </c>
      <c r="U362">
        <v>28</v>
      </c>
      <c r="V362">
        <v>12.9</v>
      </c>
      <c r="W362">
        <v>25.3</v>
      </c>
      <c r="X362" t="s">
        <v>32</v>
      </c>
      <c r="Y362" t="s">
        <v>24</v>
      </c>
    </row>
    <row r="363" spans="1:30" x14ac:dyDescent="0.2">
      <c r="A363" s="3">
        <v>42598</v>
      </c>
      <c r="B363">
        <v>113</v>
      </c>
      <c r="C363">
        <v>5</v>
      </c>
      <c r="D363" t="s">
        <v>1803</v>
      </c>
      <c r="E363" t="s">
        <v>34</v>
      </c>
      <c r="F363" t="s">
        <v>188</v>
      </c>
      <c r="G363" t="s">
        <v>30</v>
      </c>
      <c r="H363" s="17" t="s">
        <v>1804</v>
      </c>
      <c r="J363" t="s">
        <v>31</v>
      </c>
      <c r="L363" t="s">
        <v>51</v>
      </c>
      <c r="M363" t="s">
        <v>493</v>
      </c>
      <c r="N363" t="s">
        <v>260</v>
      </c>
      <c r="Q363">
        <v>3</v>
      </c>
      <c r="R363" t="s">
        <v>759</v>
      </c>
      <c r="T363">
        <f>30-13</f>
        <v>17</v>
      </c>
      <c r="U363">
        <v>17</v>
      </c>
      <c r="V363">
        <v>14.6</v>
      </c>
      <c r="W363">
        <v>26.4</v>
      </c>
      <c r="X363" t="s">
        <v>32</v>
      </c>
      <c r="Y363" t="s">
        <v>24</v>
      </c>
    </row>
    <row r="364" spans="1:30" x14ac:dyDescent="0.2">
      <c r="A364" s="3">
        <v>42598</v>
      </c>
      <c r="B364">
        <v>402</v>
      </c>
      <c r="C364">
        <v>1</v>
      </c>
      <c r="D364" t="s">
        <v>52</v>
      </c>
      <c r="E364" t="s">
        <v>34</v>
      </c>
      <c r="F364" t="s">
        <v>123</v>
      </c>
      <c r="G364" t="s">
        <v>35</v>
      </c>
      <c r="H364" s="17" t="s">
        <v>1805</v>
      </c>
      <c r="J364" t="s">
        <v>63</v>
      </c>
      <c r="L364" t="s">
        <v>51</v>
      </c>
      <c r="M364" t="s">
        <v>495</v>
      </c>
      <c r="N364" t="s">
        <v>260</v>
      </c>
      <c r="O364" t="s">
        <v>844</v>
      </c>
      <c r="P364" t="s">
        <v>759</v>
      </c>
      <c r="Q364" t="s">
        <v>844</v>
      </c>
      <c r="R364" t="s">
        <v>759</v>
      </c>
      <c r="T364">
        <f>32.5-15</f>
        <v>17.5</v>
      </c>
      <c r="U364">
        <v>17</v>
      </c>
      <c r="V364">
        <v>13.05</v>
      </c>
      <c r="W364">
        <v>25.4</v>
      </c>
      <c r="X364" t="s">
        <v>145</v>
      </c>
      <c r="Y364" t="s">
        <v>24</v>
      </c>
    </row>
    <row r="365" spans="1:30" x14ac:dyDescent="0.2">
      <c r="A365" s="3">
        <v>42598</v>
      </c>
      <c r="B365">
        <v>402</v>
      </c>
      <c r="C365">
        <v>2</v>
      </c>
      <c r="D365" t="s">
        <v>52</v>
      </c>
      <c r="E365" t="s">
        <v>28</v>
      </c>
      <c r="F365" t="s">
        <v>29</v>
      </c>
      <c r="G365" t="s">
        <v>35</v>
      </c>
      <c r="H365" s="17" t="s">
        <v>1807</v>
      </c>
      <c r="J365" t="s">
        <v>39</v>
      </c>
      <c r="K365" t="s">
        <v>1808</v>
      </c>
      <c r="L365" t="s">
        <v>51</v>
      </c>
      <c r="M365" t="s">
        <v>495</v>
      </c>
      <c r="N365" t="s">
        <v>260</v>
      </c>
      <c r="O365" t="s">
        <v>928</v>
      </c>
      <c r="P365" t="s">
        <v>837</v>
      </c>
      <c r="Q365" t="s">
        <v>844</v>
      </c>
      <c r="R365" t="s">
        <v>832</v>
      </c>
      <c r="T365">
        <f>42-15.5</f>
        <v>26.5</v>
      </c>
      <c r="U365">
        <v>15.5</v>
      </c>
      <c r="V365">
        <v>13.4</v>
      </c>
      <c r="W365">
        <v>25.8</v>
      </c>
      <c r="X365" t="s">
        <v>145</v>
      </c>
      <c r="Y365" t="s">
        <v>24</v>
      </c>
    </row>
    <row r="366" spans="1:30" x14ac:dyDescent="0.2">
      <c r="A366" s="3">
        <v>42598</v>
      </c>
      <c r="B366">
        <v>402</v>
      </c>
      <c r="C366">
        <v>2</v>
      </c>
      <c r="D366" t="s">
        <v>52</v>
      </c>
      <c r="E366" t="s">
        <v>34</v>
      </c>
      <c r="F366" t="s">
        <v>29</v>
      </c>
      <c r="G366" t="s">
        <v>30</v>
      </c>
      <c r="H366" s="17" t="s">
        <v>1809</v>
      </c>
      <c r="J366" t="s">
        <v>75</v>
      </c>
      <c r="L366" t="s">
        <v>51</v>
      </c>
      <c r="M366" t="s">
        <v>495</v>
      </c>
      <c r="N366" t="s">
        <v>260</v>
      </c>
      <c r="O366" t="s">
        <v>844</v>
      </c>
      <c r="P366" t="s">
        <v>832</v>
      </c>
      <c r="Q366" t="s">
        <v>844</v>
      </c>
      <c r="R366" t="s">
        <v>832</v>
      </c>
      <c r="T366">
        <f>47-21.5</f>
        <v>25.5</v>
      </c>
      <c r="U366">
        <v>17</v>
      </c>
      <c r="V366">
        <v>13.75</v>
      </c>
      <c r="W366">
        <v>29</v>
      </c>
      <c r="X366" t="s">
        <v>32</v>
      </c>
      <c r="Y366" t="s">
        <v>24</v>
      </c>
    </row>
    <row r="367" spans="1:30" x14ac:dyDescent="0.2">
      <c r="A367" s="3">
        <v>42598</v>
      </c>
      <c r="B367">
        <v>402</v>
      </c>
      <c r="C367">
        <v>7</v>
      </c>
      <c r="D367" t="s">
        <v>52</v>
      </c>
      <c r="E367" t="s">
        <v>34</v>
      </c>
      <c r="F367" t="s">
        <v>123</v>
      </c>
      <c r="G367" t="s">
        <v>35</v>
      </c>
      <c r="H367" s="17" t="s">
        <v>1810</v>
      </c>
      <c r="J367" t="s">
        <v>63</v>
      </c>
      <c r="L367" t="s">
        <v>51</v>
      </c>
      <c r="M367" t="s">
        <v>495</v>
      </c>
      <c r="N367" t="s">
        <v>260</v>
      </c>
      <c r="O367" t="s">
        <v>844</v>
      </c>
      <c r="P367" t="s">
        <v>832</v>
      </c>
      <c r="Q367" t="s">
        <v>844</v>
      </c>
      <c r="R367" t="s">
        <v>832</v>
      </c>
      <c r="T367">
        <f>35-18</f>
        <v>17</v>
      </c>
      <c r="U367">
        <v>17.5</v>
      </c>
      <c r="V367">
        <v>12.5</v>
      </c>
      <c r="W367">
        <v>25.8</v>
      </c>
      <c r="X367" t="s">
        <v>32</v>
      </c>
      <c r="Y367" t="s">
        <v>24</v>
      </c>
    </row>
    <row r="368" spans="1:30" x14ac:dyDescent="0.2">
      <c r="A368" s="3">
        <v>42598</v>
      </c>
      <c r="B368">
        <v>402</v>
      </c>
      <c r="C368">
        <v>8</v>
      </c>
      <c r="D368" t="s">
        <v>142</v>
      </c>
      <c r="E368" t="s">
        <v>34</v>
      </c>
      <c r="F368" t="s">
        <v>29</v>
      </c>
      <c r="G368" t="s">
        <v>35</v>
      </c>
      <c r="H368" s="17" t="s">
        <v>1811</v>
      </c>
      <c r="J368" t="s">
        <v>63</v>
      </c>
      <c r="L368" t="s">
        <v>51</v>
      </c>
      <c r="M368" t="s">
        <v>494</v>
      </c>
      <c r="N368" t="s">
        <v>260</v>
      </c>
      <c r="O368">
        <v>1</v>
      </c>
      <c r="P368" t="s">
        <v>759</v>
      </c>
      <c r="T368">
        <f>38-19</f>
        <v>19</v>
      </c>
      <c r="U368">
        <v>28</v>
      </c>
      <c r="V368">
        <v>12.8</v>
      </c>
      <c r="W368">
        <v>25.2</v>
      </c>
      <c r="X368" t="s">
        <v>32</v>
      </c>
      <c r="Y368" t="s">
        <v>24</v>
      </c>
    </row>
    <row r="369" spans="1:26" x14ac:dyDescent="0.2">
      <c r="A369" s="3">
        <v>42598</v>
      </c>
      <c r="B369">
        <v>402</v>
      </c>
      <c r="C369">
        <v>9</v>
      </c>
      <c r="D369" t="s">
        <v>52</v>
      </c>
      <c r="E369" t="s">
        <v>28</v>
      </c>
      <c r="F369" t="s">
        <v>29</v>
      </c>
      <c r="G369" t="s">
        <v>30</v>
      </c>
      <c r="H369" s="17" t="s">
        <v>934</v>
      </c>
      <c r="J369" t="s">
        <v>279</v>
      </c>
      <c r="L369" t="s">
        <v>51</v>
      </c>
      <c r="M369" t="s">
        <v>495</v>
      </c>
      <c r="N369" t="s">
        <v>260</v>
      </c>
      <c r="O369" t="s">
        <v>1813</v>
      </c>
      <c r="P369" t="s">
        <v>832</v>
      </c>
      <c r="Q369" t="s">
        <v>1814</v>
      </c>
      <c r="R369" t="s">
        <v>759</v>
      </c>
      <c r="X369" t="s">
        <v>32</v>
      </c>
      <c r="Y369" t="s">
        <v>24</v>
      </c>
    </row>
    <row r="370" spans="1:26" x14ac:dyDescent="0.2">
      <c r="A370" s="3">
        <v>42599</v>
      </c>
      <c r="B370">
        <v>111</v>
      </c>
      <c r="C370">
        <v>7</v>
      </c>
      <c r="D370" t="s">
        <v>27</v>
      </c>
      <c r="E370" t="s">
        <v>28</v>
      </c>
      <c r="F370" t="s">
        <v>29</v>
      </c>
      <c r="G370" t="s">
        <v>35</v>
      </c>
      <c r="H370" s="17" t="s">
        <v>952</v>
      </c>
      <c r="I370" s="17" t="s">
        <v>953</v>
      </c>
      <c r="J370" t="s">
        <v>39</v>
      </c>
      <c r="L370" t="s">
        <v>51</v>
      </c>
      <c r="M370" t="s">
        <v>495</v>
      </c>
      <c r="N370" t="s">
        <v>260</v>
      </c>
      <c r="O370">
        <v>1</v>
      </c>
      <c r="P370" t="s">
        <v>759</v>
      </c>
      <c r="Q370">
        <v>1</v>
      </c>
      <c r="R370" t="s">
        <v>759</v>
      </c>
      <c r="T370">
        <f>38.5-13</f>
        <v>25.5</v>
      </c>
      <c r="U370">
        <v>20</v>
      </c>
      <c r="V370">
        <v>13.3</v>
      </c>
      <c r="W370">
        <v>27</v>
      </c>
      <c r="X370" t="s">
        <v>32</v>
      </c>
      <c r="Y370" t="s">
        <v>24</v>
      </c>
    </row>
    <row r="371" spans="1:26" x14ac:dyDescent="0.2">
      <c r="A371" s="3">
        <v>42599</v>
      </c>
      <c r="B371">
        <v>112</v>
      </c>
      <c r="C371">
        <v>1</v>
      </c>
      <c r="D371" t="s">
        <v>142</v>
      </c>
      <c r="E371" t="s">
        <v>34</v>
      </c>
      <c r="F371" t="s">
        <v>29</v>
      </c>
      <c r="G371" t="s">
        <v>30</v>
      </c>
      <c r="H371" s="17" t="s">
        <v>1824</v>
      </c>
      <c r="J371" t="s">
        <v>31</v>
      </c>
      <c r="L371" t="s">
        <v>51</v>
      </c>
      <c r="M371" t="s">
        <v>495</v>
      </c>
      <c r="N371" t="s">
        <v>260</v>
      </c>
      <c r="O371">
        <v>1</v>
      </c>
      <c r="P371" t="s">
        <v>759</v>
      </c>
      <c r="Q371">
        <v>1</v>
      </c>
      <c r="R371" t="s">
        <v>759</v>
      </c>
      <c r="T371">
        <f>33-13</f>
        <v>20</v>
      </c>
      <c r="U371">
        <v>28</v>
      </c>
      <c r="V371">
        <v>12.7</v>
      </c>
      <c r="W371">
        <v>25.8</v>
      </c>
      <c r="X371" t="s">
        <v>32</v>
      </c>
      <c r="Y371" t="s">
        <v>24</v>
      </c>
    </row>
    <row r="372" spans="1:26" x14ac:dyDescent="0.2">
      <c r="A372" s="3">
        <v>42599</v>
      </c>
      <c r="B372">
        <v>112</v>
      </c>
      <c r="C372">
        <v>2</v>
      </c>
      <c r="D372" t="s">
        <v>27</v>
      </c>
      <c r="E372" t="s">
        <v>28</v>
      </c>
      <c r="F372" t="s">
        <v>29</v>
      </c>
      <c r="G372" t="s">
        <v>35</v>
      </c>
      <c r="H372" s="17" t="s">
        <v>1049</v>
      </c>
      <c r="I372" s="17" t="s">
        <v>1050</v>
      </c>
      <c r="J372" t="s">
        <v>39</v>
      </c>
      <c r="L372" t="s">
        <v>51</v>
      </c>
      <c r="M372" t="s">
        <v>495</v>
      </c>
      <c r="N372" t="s">
        <v>260</v>
      </c>
      <c r="O372">
        <v>6</v>
      </c>
      <c r="P372" t="s">
        <v>759</v>
      </c>
      <c r="Q372">
        <v>6</v>
      </c>
      <c r="R372" t="s">
        <v>759</v>
      </c>
      <c r="T372">
        <f>32-13.5</f>
        <v>18.5</v>
      </c>
      <c r="U372">
        <v>18</v>
      </c>
      <c r="V372">
        <v>13.1</v>
      </c>
      <c r="W372">
        <v>25.8</v>
      </c>
      <c r="X372" t="s">
        <v>32</v>
      </c>
      <c r="Y372" t="s">
        <v>24</v>
      </c>
    </row>
    <row r="373" spans="1:26" x14ac:dyDescent="0.2">
      <c r="A373" s="3">
        <v>42599</v>
      </c>
      <c r="B373">
        <v>112</v>
      </c>
      <c r="C373">
        <v>4</v>
      </c>
      <c r="D373" t="s">
        <v>27</v>
      </c>
      <c r="E373" t="s">
        <v>28</v>
      </c>
      <c r="F373" t="s">
        <v>188</v>
      </c>
      <c r="G373" t="s">
        <v>35</v>
      </c>
      <c r="H373" s="17" t="s">
        <v>962</v>
      </c>
      <c r="I373" s="17" t="s">
        <v>1170</v>
      </c>
      <c r="J373" t="s">
        <v>39</v>
      </c>
      <c r="L373" t="s">
        <v>51</v>
      </c>
      <c r="M373" t="s">
        <v>494</v>
      </c>
      <c r="N373" t="s">
        <v>260</v>
      </c>
      <c r="O373">
        <v>6</v>
      </c>
      <c r="P373" t="s">
        <v>759</v>
      </c>
      <c r="T373">
        <f>32-14</f>
        <v>18</v>
      </c>
      <c r="U373">
        <v>17</v>
      </c>
      <c r="V373">
        <v>13</v>
      </c>
      <c r="W373">
        <v>26.7</v>
      </c>
      <c r="X373" t="s">
        <v>32</v>
      </c>
      <c r="Y373" t="s">
        <v>24</v>
      </c>
    </row>
    <row r="374" spans="1:26" x14ac:dyDescent="0.2">
      <c r="A374" s="3">
        <v>42599</v>
      </c>
      <c r="B374">
        <v>113</v>
      </c>
      <c r="C374">
        <v>5</v>
      </c>
      <c r="D374" t="s">
        <v>142</v>
      </c>
      <c r="E374" t="s">
        <v>34</v>
      </c>
      <c r="F374" t="s">
        <v>123</v>
      </c>
      <c r="G374" t="s">
        <v>30</v>
      </c>
      <c r="H374" s="17" t="s">
        <v>1838</v>
      </c>
      <c r="J374" t="s">
        <v>31</v>
      </c>
      <c r="L374" t="s">
        <v>51</v>
      </c>
      <c r="M374" t="s">
        <v>494</v>
      </c>
      <c r="N374" t="s">
        <v>260</v>
      </c>
      <c r="O374">
        <v>1</v>
      </c>
      <c r="P374" t="s">
        <v>759</v>
      </c>
      <c r="T374">
        <f>28-14</f>
        <v>14</v>
      </c>
      <c r="U374">
        <v>27</v>
      </c>
      <c r="V374">
        <v>12.2</v>
      </c>
      <c r="W374">
        <v>24.15</v>
      </c>
      <c r="X374" t="s">
        <v>32</v>
      </c>
      <c r="Y374" t="s">
        <v>24</v>
      </c>
    </row>
    <row r="375" spans="1:26" x14ac:dyDescent="0.2">
      <c r="A375" s="3">
        <v>42599</v>
      </c>
      <c r="B375">
        <v>402</v>
      </c>
      <c r="C375">
        <v>1</v>
      </c>
      <c r="D375" t="s">
        <v>52</v>
      </c>
      <c r="E375" t="s">
        <v>28</v>
      </c>
      <c r="F375" t="s">
        <v>29</v>
      </c>
      <c r="G375" t="s">
        <v>35</v>
      </c>
      <c r="H375" s="17" t="s">
        <v>1183</v>
      </c>
      <c r="J375" t="s">
        <v>63</v>
      </c>
      <c r="L375" t="s">
        <v>51</v>
      </c>
      <c r="M375" t="s">
        <v>495</v>
      </c>
      <c r="N375" t="s">
        <v>260</v>
      </c>
      <c r="O375">
        <v>2</v>
      </c>
      <c r="P375" t="s">
        <v>832</v>
      </c>
      <c r="Q375">
        <v>2</v>
      </c>
      <c r="R375" t="s">
        <v>832</v>
      </c>
      <c r="T375">
        <f>34-13.5</f>
        <v>20.5</v>
      </c>
      <c r="U375">
        <v>17</v>
      </c>
      <c r="V375">
        <v>12.4</v>
      </c>
      <c r="W375">
        <v>26.2</v>
      </c>
      <c r="X375" t="s">
        <v>32</v>
      </c>
      <c r="Y375" t="s">
        <v>24</v>
      </c>
    </row>
    <row r="376" spans="1:26" x14ac:dyDescent="0.2">
      <c r="A376" s="3">
        <v>42599</v>
      </c>
      <c r="B376">
        <v>402</v>
      </c>
      <c r="C376">
        <v>5</v>
      </c>
      <c r="D376" t="s">
        <v>52</v>
      </c>
      <c r="E376" t="s">
        <v>28</v>
      </c>
      <c r="F376" t="s">
        <v>29</v>
      </c>
      <c r="G376" t="s">
        <v>35</v>
      </c>
      <c r="H376" s="17" t="s">
        <v>1189</v>
      </c>
      <c r="J376" t="s">
        <v>39</v>
      </c>
      <c r="L376" t="s">
        <v>51</v>
      </c>
      <c r="M376" t="s">
        <v>495</v>
      </c>
      <c r="N376" t="s">
        <v>260</v>
      </c>
      <c r="O376" t="s">
        <v>844</v>
      </c>
      <c r="P376" t="s">
        <v>832</v>
      </c>
      <c r="Q376" t="s">
        <v>1813</v>
      </c>
      <c r="R376" t="s">
        <v>832</v>
      </c>
      <c r="T376">
        <f>40-14</f>
        <v>26</v>
      </c>
      <c r="U376">
        <v>17</v>
      </c>
      <c r="V376">
        <v>13.5</v>
      </c>
      <c r="W376">
        <v>27</v>
      </c>
      <c r="X376" t="s">
        <v>32</v>
      </c>
      <c r="Y376" t="s">
        <v>24</v>
      </c>
    </row>
    <row r="377" spans="1:26" x14ac:dyDescent="0.2">
      <c r="A377" s="3">
        <v>42599</v>
      </c>
      <c r="B377">
        <v>402</v>
      </c>
      <c r="C377">
        <v>9</v>
      </c>
      <c r="D377" t="s">
        <v>139</v>
      </c>
      <c r="E377" t="s">
        <v>28</v>
      </c>
      <c r="F377" t="s">
        <v>123</v>
      </c>
      <c r="G377" t="s">
        <v>35</v>
      </c>
      <c r="H377" s="17" t="s">
        <v>997</v>
      </c>
      <c r="J377" t="s">
        <v>63</v>
      </c>
      <c r="L377" t="s">
        <v>633</v>
      </c>
      <c r="N377" t="s">
        <v>260</v>
      </c>
      <c r="S377" t="s">
        <v>759</v>
      </c>
      <c r="T377">
        <f>177-94</f>
        <v>83</v>
      </c>
      <c r="U377">
        <v>31.5</v>
      </c>
      <c r="V377">
        <v>21.4</v>
      </c>
      <c r="W377">
        <v>43</v>
      </c>
      <c r="X377" t="s">
        <v>32</v>
      </c>
      <c r="Y377" t="s">
        <v>24</v>
      </c>
    </row>
    <row r="378" spans="1:26" x14ac:dyDescent="0.2">
      <c r="A378" s="3">
        <v>42599</v>
      </c>
      <c r="B378">
        <v>201</v>
      </c>
      <c r="C378">
        <v>1</v>
      </c>
      <c r="D378" t="s">
        <v>27</v>
      </c>
      <c r="E378" t="s">
        <v>28</v>
      </c>
      <c r="F378" t="s">
        <v>188</v>
      </c>
      <c r="G378" t="s">
        <v>30</v>
      </c>
      <c r="H378" s="17" t="s">
        <v>1138</v>
      </c>
      <c r="I378" s="17" t="s">
        <v>1139</v>
      </c>
      <c r="J378" t="s">
        <v>31</v>
      </c>
      <c r="L378" t="s">
        <v>51</v>
      </c>
      <c r="M378" t="s">
        <v>495</v>
      </c>
      <c r="N378" t="s">
        <v>260</v>
      </c>
      <c r="O378" t="s">
        <v>923</v>
      </c>
      <c r="P378" t="s">
        <v>759</v>
      </c>
      <c r="Q378">
        <v>1</v>
      </c>
      <c r="R378" t="s">
        <v>759</v>
      </c>
      <c r="T378">
        <f>32.5-15</f>
        <v>17.5</v>
      </c>
      <c r="U378">
        <v>19</v>
      </c>
      <c r="V378">
        <v>85</v>
      </c>
      <c r="W378">
        <v>15</v>
      </c>
      <c r="X378" t="s">
        <v>32</v>
      </c>
      <c r="Y378" t="s">
        <v>64</v>
      </c>
    </row>
    <row r="379" spans="1:26" x14ac:dyDescent="0.2">
      <c r="A379" s="3">
        <v>42599</v>
      </c>
      <c r="B379">
        <v>201</v>
      </c>
      <c r="C379">
        <v>3</v>
      </c>
      <c r="D379" t="s">
        <v>52</v>
      </c>
      <c r="E379" t="s">
        <v>34</v>
      </c>
      <c r="F379" t="s">
        <v>29</v>
      </c>
      <c r="G379" t="s">
        <v>35</v>
      </c>
      <c r="H379" s="17" t="s">
        <v>1596</v>
      </c>
      <c r="J379" t="s">
        <v>39</v>
      </c>
      <c r="L379" t="s">
        <v>51</v>
      </c>
      <c r="M379" t="s">
        <v>495</v>
      </c>
      <c r="N379" t="s">
        <v>260</v>
      </c>
      <c r="O379">
        <v>2</v>
      </c>
      <c r="P379" t="s">
        <v>832</v>
      </c>
      <c r="Q379">
        <v>2</v>
      </c>
      <c r="R379" t="s">
        <v>832</v>
      </c>
      <c r="T379">
        <f>35-15</f>
        <v>20</v>
      </c>
      <c r="U379">
        <v>18</v>
      </c>
      <c r="V379">
        <v>13</v>
      </c>
      <c r="W379">
        <v>26.4</v>
      </c>
      <c r="X379" t="s">
        <v>32</v>
      </c>
      <c r="Y379" t="s">
        <v>64</v>
      </c>
    </row>
    <row r="380" spans="1:26" x14ac:dyDescent="0.2">
      <c r="A380" s="3">
        <v>42599</v>
      </c>
      <c r="B380">
        <v>201</v>
      </c>
      <c r="C380">
        <v>4</v>
      </c>
      <c r="D380" t="s">
        <v>27</v>
      </c>
      <c r="E380" t="s">
        <v>28</v>
      </c>
      <c r="F380" t="s">
        <v>29</v>
      </c>
      <c r="G380" t="s">
        <v>35</v>
      </c>
      <c r="H380" s="17" t="s">
        <v>1598</v>
      </c>
      <c r="I380" s="17" t="s">
        <v>1599</v>
      </c>
      <c r="J380" t="s">
        <v>39</v>
      </c>
      <c r="L380" t="s">
        <v>51</v>
      </c>
      <c r="M380" t="s">
        <v>495</v>
      </c>
      <c r="N380" t="s">
        <v>260</v>
      </c>
      <c r="O380">
        <v>1</v>
      </c>
      <c r="P380" t="s">
        <v>759</v>
      </c>
      <c r="Q380">
        <v>6</v>
      </c>
      <c r="R380" t="s">
        <v>759</v>
      </c>
      <c r="T380">
        <f>35-14.5</f>
        <v>20.5</v>
      </c>
      <c r="U380">
        <v>19.5</v>
      </c>
      <c r="V380">
        <v>13.2</v>
      </c>
      <c r="W380">
        <v>27.9</v>
      </c>
      <c r="X380" t="s">
        <v>32</v>
      </c>
      <c r="Y380" t="s">
        <v>64</v>
      </c>
      <c r="Z380" t="s">
        <v>1600</v>
      </c>
    </row>
    <row r="381" spans="1:26" x14ac:dyDescent="0.2">
      <c r="A381" s="3">
        <v>42599</v>
      </c>
      <c r="B381">
        <v>201</v>
      </c>
      <c r="C381">
        <v>5</v>
      </c>
      <c r="D381" t="s">
        <v>27</v>
      </c>
      <c r="E381" t="s">
        <v>28</v>
      </c>
      <c r="F381" t="s">
        <v>188</v>
      </c>
      <c r="G381" t="s">
        <v>35</v>
      </c>
      <c r="H381" s="17" t="s">
        <v>1308</v>
      </c>
      <c r="I381" s="17" t="s">
        <v>1309</v>
      </c>
      <c r="J381" t="s">
        <v>31</v>
      </c>
      <c r="L381" t="s">
        <v>51</v>
      </c>
      <c r="M381" t="s">
        <v>495</v>
      </c>
      <c r="N381" t="s">
        <v>260</v>
      </c>
      <c r="O381">
        <v>1</v>
      </c>
      <c r="P381" t="s">
        <v>759</v>
      </c>
      <c r="Q381">
        <v>6</v>
      </c>
      <c r="R381" t="s">
        <v>759</v>
      </c>
      <c r="T381">
        <f>31-14</f>
        <v>17</v>
      </c>
      <c r="U381">
        <v>19</v>
      </c>
      <c r="V381">
        <v>13.1</v>
      </c>
      <c r="W381">
        <v>27.5</v>
      </c>
      <c r="X381" t="s">
        <v>32</v>
      </c>
      <c r="Y381" t="s">
        <v>64</v>
      </c>
    </row>
    <row r="382" spans="1:26" x14ac:dyDescent="0.2">
      <c r="A382" s="3">
        <v>42599</v>
      </c>
      <c r="B382">
        <v>201</v>
      </c>
      <c r="C382">
        <v>6</v>
      </c>
      <c r="D382" t="s">
        <v>52</v>
      </c>
      <c r="E382" t="s">
        <v>28</v>
      </c>
      <c r="F382" t="s">
        <v>29</v>
      </c>
      <c r="G382" t="s">
        <v>30</v>
      </c>
      <c r="H382" s="17" t="s">
        <v>1541</v>
      </c>
      <c r="J382" t="s">
        <v>31</v>
      </c>
      <c r="L382" t="s">
        <v>51</v>
      </c>
      <c r="M382" t="s">
        <v>495</v>
      </c>
      <c r="N382" t="s">
        <v>260</v>
      </c>
      <c r="O382" t="s">
        <v>932</v>
      </c>
      <c r="P382" t="s">
        <v>759</v>
      </c>
      <c r="Q382">
        <v>2</v>
      </c>
      <c r="R382" t="s">
        <v>759</v>
      </c>
      <c r="T382">
        <f>39-16</f>
        <v>23</v>
      </c>
      <c r="X382" t="s">
        <v>32</v>
      </c>
      <c r="Y382" t="s">
        <v>64</v>
      </c>
      <c r="Z382" t="s">
        <v>1603</v>
      </c>
    </row>
    <row r="383" spans="1:26" x14ac:dyDescent="0.2">
      <c r="A383" s="3">
        <v>42599</v>
      </c>
      <c r="B383">
        <v>201</v>
      </c>
      <c r="C383">
        <v>7</v>
      </c>
      <c r="D383" t="s">
        <v>27</v>
      </c>
      <c r="E383" t="s">
        <v>28</v>
      </c>
      <c r="F383" t="s">
        <v>188</v>
      </c>
      <c r="G383" t="s">
        <v>35</v>
      </c>
      <c r="H383" s="17" t="s">
        <v>1319</v>
      </c>
      <c r="I383" s="17" t="s">
        <v>1320</v>
      </c>
      <c r="J383" t="s">
        <v>39</v>
      </c>
      <c r="L383" t="s">
        <v>51</v>
      </c>
      <c r="M383" t="s">
        <v>495</v>
      </c>
      <c r="N383" t="s">
        <v>260</v>
      </c>
      <c r="O383" t="s">
        <v>923</v>
      </c>
      <c r="P383" t="s">
        <v>759</v>
      </c>
      <c r="Q383">
        <v>6</v>
      </c>
      <c r="R383" t="s">
        <v>759</v>
      </c>
      <c r="T383">
        <f>32-16</f>
        <v>16</v>
      </c>
      <c r="U383">
        <v>19</v>
      </c>
      <c r="V383">
        <v>13.1</v>
      </c>
      <c r="W383">
        <v>27.3</v>
      </c>
      <c r="X383" t="s">
        <v>32</v>
      </c>
      <c r="Y383" t="s">
        <v>64</v>
      </c>
    </row>
    <row r="384" spans="1:26" x14ac:dyDescent="0.2">
      <c r="A384" s="3">
        <v>42599</v>
      </c>
      <c r="B384">
        <v>201</v>
      </c>
      <c r="C384">
        <v>7</v>
      </c>
      <c r="D384" t="s">
        <v>27</v>
      </c>
      <c r="E384" t="s">
        <v>28</v>
      </c>
      <c r="F384" t="s">
        <v>123</v>
      </c>
      <c r="G384" t="s">
        <v>30</v>
      </c>
      <c r="H384" s="17" t="s">
        <v>1607</v>
      </c>
      <c r="I384" s="17" t="s">
        <v>1606</v>
      </c>
      <c r="J384" t="s">
        <v>31</v>
      </c>
      <c r="L384" t="s">
        <v>51</v>
      </c>
      <c r="M384" t="s">
        <v>494</v>
      </c>
      <c r="N384" t="s">
        <v>260</v>
      </c>
      <c r="O384">
        <v>6</v>
      </c>
      <c r="P384" t="s">
        <v>759</v>
      </c>
      <c r="T384">
        <f>30-17</f>
        <v>13</v>
      </c>
      <c r="U384">
        <v>19</v>
      </c>
      <c r="V384">
        <v>13</v>
      </c>
      <c r="W384">
        <v>27</v>
      </c>
      <c r="X384" t="s">
        <v>32</v>
      </c>
      <c r="Y384" t="s">
        <v>64</v>
      </c>
    </row>
    <row r="385" spans="1:32" x14ac:dyDescent="0.2">
      <c r="A385" s="3">
        <v>42599</v>
      </c>
      <c r="B385">
        <v>201</v>
      </c>
      <c r="C385">
        <v>8</v>
      </c>
      <c r="D385" t="s">
        <v>52</v>
      </c>
      <c r="E385" t="s">
        <v>34</v>
      </c>
      <c r="F385" t="s">
        <v>29</v>
      </c>
      <c r="G385" t="s">
        <v>35</v>
      </c>
      <c r="H385" s="17" t="s">
        <v>1608</v>
      </c>
      <c r="J385" t="s">
        <v>39</v>
      </c>
      <c r="L385" t="s">
        <v>51</v>
      </c>
      <c r="M385" t="s">
        <v>495</v>
      </c>
      <c r="N385" t="s">
        <v>260</v>
      </c>
      <c r="O385">
        <v>2</v>
      </c>
      <c r="P385" t="s">
        <v>832</v>
      </c>
      <c r="Q385">
        <v>2</v>
      </c>
      <c r="R385" t="s">
        <v>832</v>
      </c>
      <c r="T385">
        <f>36-16</f>
        <v>20</v>
      </c>
      <c r="U385">
        <v>16</v>
      </c>
      <c r="V385">
        <v>13.2</v>
      </c>
      <c r="W385">
        <v>27.6</v>
      </c>
      <c r="X385" t="s">
        <v>32</v>
      </c>
      <c r="Y385" t="s">
        <v>64</v>
      </c>
    </row>
    <row r="386" spans="1:32" x14ac:dyDescent="0.2">
      <c r="A386" s="3">
        <v>42599</v>
      </c>
      <c r="B386">
        <v>201</v>
      </c>
      <c r="C386">
        <v>10</v>
      </c>
      <c r="D386" t="s">
        <v>27</v>
      </c>
      <c r="E386" t="s">
        <v>28</v>
      </c>
      <c r="F386" t="s">
        <v>188</v>
      </c>
      <c r="G386" t="s">
        <v>35</v>
      </c>
      <c r="H386" s="17" t="s">
        <v>1142</v>
      </c>
      <c r="I386" s="17" t="s">
        <v>1143</v>
      </c>
      <c r="J386" t="s">
        <v>39</v>
      </c>
      <c r="L386" t="s">
        <v>51</v>
      </c>
      <c r="M386" t="s">
        <v>494</v>
      </c>
      <c r="N386" t="s">
        <v>260</v>
      </c>
      <c r="O386" t="s">
        <v>923</v>
      </c>
      <c r="P386" t="s">
        <v>759</v>
      </c>
      <c r="T386">
        <f>32-16</f>
        <v>16</v>
      </c>
      <c r="U386">
        <v>19</v>
      </c>
      <c r="V386">
        <v>13.1</v>
      </c>
      <c r="W386">
        <v>27.7</v>
      </c>
      <c r="X386" t="s">
        <v>32</v>
      </c>
      <c r="Y386" t="s">
        <v>64</v>
      </c>
    </row>
    <row r="387" spans="1:32" x14ac:dyDescent="0.2">
      <c r="A387" s="3">
        <v>42599</v>
      </c>
      <c r="B387">
        <v>203</v>
      </c>
      <c r="C387">
        <v>1</v>
      </c>
      <c r="D387" t="s">
        <v>142</v>
      </c>
      <c r="E387" t="s">
        <v>28</v>
      </c>
      <c r="F387" t="s">
        <v>29</v>
      </c>
      <c r="G387" t="s">
        <v>30</v>
      </c>
      <c r="I387" s="17" t="s">
        <v>1149</v>
      </c>
      <c r="J387" t="s">
        <v>75</v>
      </c>
      <c r="L387" t="s">
        <v>51</v>
      </c>
      <c r="M387" t="s">
        <v>493</v>
      </c>
      <c r="N387" t="s">
        <v>145</v>
      </c>
      <c r="Q387">
        <v>1</v>
      </c>
      <c r="R387" t="s">
        <v>759</v>
      </c>
      <c r="T387">
        <f>40.5-14</f>
        <v>26.5</v>
      </c>
      <c r="U387">
        <v>29</v>
      </c>
      <c r="V387">
        <v>13</v>
      </c>
      <c r="W387">
        <v>26</v>
      </c>
      <c r="X387" t="s">
        <v>32</v>
      </c>
      <c r="Y387" t="s">
        <v>64</v>
      </c>
    </row>
    <row r="388" spans="1:32" x14ac:dyDescent="0.2">
      <c r="A388" s="3">
        <v>42599</v>
      </c>
      <c r="B388">
        <v>203</v>
      </c>
      <c r="C388">
        <v>3</v>
      </c>
      <c r="D388" t="s">
        <v>142</v>
      </c>
      <c r="E388" t="s">
        <v>28</v>
      </c>
      <c r="F388" t="s">
        <v>29</v>
      </c>
      <c r="G388" t="s">
        <v>30</v>
      </c>
      <c r="I388" s="17" t="s">
        <v>1623</v>
      </c>
      <c r="J388" t="s">
        <v>279</v>
      </c>
      <c r="L388" t="s">
        <v>51</v>
      </c>
      <c r="M388" t="s">
        <v>493</v>
      </c>
      <c r="N388" t="s">
        <v>145</v>
      </c>
      <c r="Q388">
        <v>1</v>
      </c>
      <c r="R388" t="s">
        <v>759</v>
      </c>
      <c r="T388">
        <f>49-13</f>
        <v>36</v>
      </c>
      <c r="U388">
        <v>28</v>
      </c>
      <c r="V388">
        <v>13.3</v>
      </c>
      <c r="W388">
        <v>26.1</v>
      </c>
      <c r="X388" t="s">
        <v>32</v>
      </c>
      <c r="Y388" t="s">
        <v>64</v>
      </c>
    </row>
    <row r="389" spans="1:32" x14ac:dyDescent="0.2">
      <c r="A389" s="3">
        <v>42599</v>
      </c>
      <c r="B389">
        <v>203</v>
      </c>
      <c r="C389">
        <v>5</v>
      </c>
      <c r="D389" t="s">
        <v>52</v>
      </c>
      <c r="E389" t="s">
        <v>34</v>
      </c>
      <c r="F389" t="s">
        <v>29</v>
      </c>
      <c r="G389" t="s">
        <v>30</v>
      </c>
      <c r="H389" s="17" t="s">
        <v>1625</v>
      </c>
      <c r="J389" t="s">
        <v>31</v>
      </c>
      <c r="L389" t="s">
        <v>51</v>
      </c>
      <c r="M389" t="s">
        <v>495</v>
      </c>
      <c r="N389" t="s">
        <v>260</v>
      </c>
      <c r="O389">
        <v>2</v>
      </c>
      <c r="P389" t="s">
        <v>759</v>
      </c>
      <c r="Q389">
        <v>2</v>
      </c>
      <c r="R389" t="s">
        <v>759</v>
      </c>
      <c r="T389">
        <f>35-14</f>
        <v>21</v>
      </c>
      <c r="X389" t="s">
        <v>32</v>
      </c>
      <c r="Y389" t="s">
        <v>64</v>
      </c>
    </row>
    <row r="390" spans="1:32" x14ac:dyDescent="0.2">
      <c r="A390" s="3">
        <v>42599</v>
      </c>
      <c r="B390">
        <v>203</v>
      </c>
      <c r="C390">
        <v>6</v>
      </c>
      <c r="D390" t="s">
        <v>52</v>
      </c>
      <c r="E390" t="s">
        <v>34</v>
      </c>
      <c r="F390" t="s">
        <v>29</v>
      </c>
      <c r="G390" t="s">
        <v>30</v>
      </c>
      <c r="H390" s="17" t="s">
        <v>1626</v>
      </c>
      <c r="J390" t="s">
        <v>75</v>
      </c>
      <c r="L390" t="s">
        <v>51</v>
      </c>
      <c r="M390" t="s">
        <v>495</v>
      </c>
      <c r="N390" t="s">
        <v>260</v>
      </c>
      <c r="O390">
        <v>2</v>
      </c>
      <c r="P390" t="s">
        <v>832</v>
      </c>
      <c r="Q390">
        <v>2</v>
      </c>
      <c r="R390" t="s">
        <v>832</v>
      </c>
      <c r="T390">
        <f>42.5-14.5</f>
        <v>28</v>
      </c>
      <c r="U390">
        <v>17</v>
      </c>
      <c r="V390">
        <v>13.1</v>
      </c>
      <c r="W390">
        <v>26.2</v>
      </c>
      <c r="X390" t="s">
        <v>32</v>
      </c>
      <c r="Y390" t="s">
        <v>64</v>
      </c>
    </row>
    <row r="391" spans="1:32" x14ac:dyDescent="0.2">
      <c r="A391" s="3">
        <v>42599</v>
      </c>
      <c r="B391">
        <v>203</v>
      </c>
      <c r="C391">
        <v>6</v>
      </c>
      <c r="D391" t="s">
        <v>52</v>
      </c>
      <c r="E391" t="s">
        <v>34</v>
      </c>
      <c r="F391" t="s">
        <v>123</v>
      </c>
      <c r="G391" t="s">
        <v>35</v>
      </c>
      <c r="H391" s="17" t="s">
        <v>1627</v>
      </c>
      <c r="J391" t="s">
        <v>63</v>
      </c>
      <c r="L391" t="s">
        <v>51</v>
      </c>
      <c r="M391" t="s">
        <v>495</v>
      </c>
      <c r="N391" t="s">
        <v>260</v>
      </c>
      <c r="O391">
        <v>2</v>
      </c>
      <c r="P391" t="s">
        <v>759</v>
      </c>
      <c r="Q391">
        <v>2</v>
      </c>
      <c r="R391" t="s">
        <v>759</v>
      </c>
      <c r="T391">
        <f>29-14</f>
        <v>15</v>
      </c>
      <c r="U391">
        <v>17</v>
      </c>
      <c r="V391">
        <v>12.7</v>
      </c>
      <c r="W391">
        <v>25.2</v>
      </c>
      <c r="X391" t="s">
        <v>32</v>
      </c>
      <c r="Y391" t="s">
        <v>64</v>
      </c>
    </row>
    <row r="392" spans="1:32" x14ac:dyDescent="0.2">
      <c r="A392" s="3">
        <v>42599</v>
      </c>
      <c r="B392">
        <v>203</v>
      </c>
      <c r="C392">
        <v>7</v>
      </c>
      <c r="D392" t="s">
        <v>52</v>
      </c>
      <c r="E392" t="s">
        <v>28</v>
      </c>
      <c r="F392" t="s">
        <v>29</v>
      </c>
      <c r="G392" t="s">
        <v>35</v>
      </c>
      <c r="H392" s="17" t="s">
        <v>1150</v>
      </c>
      <c r="J392" t="s">
        <v>63</v>
      </c>
      <c r="K392" t="s">
        <v>1628</v>
      </c>
      <c r="L392" t="s">
        <v>51</v>
      </c>
      <c r="M392" t="s">
        <v>495</v>
      </c>
      <c r="N392" t="s">
        <v>260</v>
      </c>
      <c r="O392" t="s">
        <v>1335</v>
      </c>
      <c r="P392" t="s">
        <v>832</v>
      </c>
      <c r="Q392">
        <v>2</v>
      </c>
      <c r="R392" t="s">
        <v>832</v>
      </c>
      <c r="T392">
        <f>33-14</f>
        <v>19</v>
      </c>
      <c r="U392">
        <v>18</v>
      </c>
      <c r="V392">
        <v>12.9</v>
      </c>
      <c r="W392">
        <v>25.8</v>
      </c>
      <c r="X392" t="s">
        <v>32</v>
      </c>
      <c r="Y392" t="s">
        <v>64</v>
      </c>
    </row>
    <row r="393" spans="1:32" x14ac:dyDescent="0.2">
      <c r="A393" s="3">
        <v>42599</v>
      </c>
      <c r="B393">
        <v>203</v>
      </c>
      <c r="C393">
        <v>10</v>
      </c>
      <c r="D393" t="s">
        <v>52</v>
      </c>
      <c r="E393" t="s">
        <v>28</v>
      </c>
      <c r="F393" t="s">
        <v>123</v>
      </c>
      <c r="G393" t="s">
        <v>30</v>
      </c>
      <c r="H393" s="17" t="s">
        <v>1561</v>
      </c>
      <c r="I393" s="17" t="s">
        <v>1560</v>
      </c>
      <c r="J393" t="s">
        <v>31</v>
      </c>
      <c r="L393" t="s">
        <v>51</v>
      </c>
      <c r="M393" t="s">
        <v>493</v>
      </c>
      <c r="N393" t="s">
        <v>260</v>
      </c>
      <c r="Q393">
        <v>5</v>
      </c>
      <c r="R393" t="s">
        <v>759</v>
      </c>
      <c r="T393">
        <f>32-21.5</f>
        <v>10.5</v>
      </c>
      <c r="U393">
        <v>17.5</v>
      </c>
      <c r="V393">
        <v>12.8</v>
      </c>
      <c r="W393">
        <v>24.8</v>
      </c>
      <c r="X393" t="s">
        <v>32</v>
      </c>
      <c r="Y393" t="s">
        <v>64</v>
      </c>
    </row>
    <row r="394" spans="1:32" x14ac:dyDescent="0.2">
      <c r="A394" s="3">
        <v>42599</v>
      </c>
      <c r="B394">
        <v>202</v>
      </c>
      <c r="C394">
        <v>8</v>
      </c>
      <c r="D394" t="s">
        <v>142</v>
      </c>
      <c r="E394" t="s">
        <v>34</v>
      </c>
      <c r="F394" t="s">
        <v>29</v>
      </c>
      <c r="G394" t="s">
        <v>30</v>
      </c>
      <c r="H394" s="17" t="s">
        <v>1578</v>
      </c>
      <c r="J394" t="s">
        <v>31</v>
      </c>
      <c r="L394" t="s">
        <v>51</v>
      </c>
      <c r="M394" t="s">
        <v>495</v>
      </c>
      <c r="N394" t="s">
        <v>260</v>
      </c>
      <c r="O394">
        <v>1</v>
      </c>
      <c r="P394" t="s">
        <v>759</v>
      </c>
      <c r="Q394">
        <v>1</v>
      </c>
      <c r="R394" t="s">
        <v>759</v>
      </c>
      <c r="T394">
        <f>34-15</f>
        <v>19</v>
      </c>
      <c r="X394" t="s">
        <v>32</v>
      </c>
      <c r="Y394" t="s">
        <v>64</v>
      </c>
    </row>
    <row r="395" spans="1:32" x14ac:dyDescent="0.2">
      <c r="A395" s="3">
        <v>42599</v>
      </c>
      <c r="B395">
        <v>202</v>
      </c>
      <c r="C395">
        <v>10</v>
      </c>
      <c r="D395" t="s">
        <v>52</v>
      </c>
      <c r="E395" t="s">
        <v>28</v>
      </c>
      <c r="F395" t="s">
        <v>29</v>
      </c>
      <c r="G395" t="s">
        <v>30</v>
      </c>
      <c r="H395" s="17" t="s">
        <v>1315</v>
      </c>
      <c r="J395" t="s">
        <v>75</v>
      </c>
      <c r="L395" t="s">
        <v>51</v>
      </c>
      <c r="M395" t="s">
        <v>495</v>
      </c>
      <c r="N395" t="s">
        <v>260</v>
      </c>
      <c r="O395" t="s">
        <v>1635</v>
      </c>
      <c r="P395" t="s">
        <v>832</v>
      </c>
      <c r="Q395" t="s">
        <v>1584</v>
      </c>
      <c r="R395" t="s">
        <v>759</v>
      </c>
      <c r="T395">
        <f>44-16</f>
        <v>28</v>
      </c>
      <c r="U395">
        <v>17.5</v>
      </c>
      <c r="V395">
        <v>13.1</v>
      </c>
      <c r="W395">
        <v>28.5</v>
      </c>
      <c r="X395" t="s">
        <v>32</v>
      </c>
      <c r="Y395" t="s">
        <v>64</v>
      </c>
      <c r="Z395" t="s">
        <v>1636</v>
      </c>
    </row>
    <row r="396" spans="1:32" x14ac:dyDescent="0.2">
      <c r="A396" s="3">
        <v>42599</v>
      </c>
      <c r="B396">
        <v>304</v>
      </c>
      <c r="C396">
        <v>9</v>
      </c>
      <c r="D396" t="s">
        <v>52</v>
      </c>
      <c r="E396" t="s">
        <v>28</v>
      </c>
      <c r="F396" t="s">
        <v>29</v>
      </c>
      <c r="G396" t="s">
        <v>30</v>
      </c>
      <c r="H396" s="17" t="s">
        <v>1637</v>
      </c>
      <c r="J396" t="s">
        <v>75</v>
      </c>
      <c r="L396" t="s">
        <v>51</v>
      </c>
      <c r="M396" t="s">
        <v>495</v>
      </c>
      <c r="N396" t="s">
        <v>260</v>
      </c>
      <c r="O396" t="s">
        <v>1335</v>
      </c>
      <c r="P396" t="s">
        <v>832</v>
      </c>
      <c r="Q396">
        <v>2</v>
      </c>
      <c r="R396" t="s">
        <v>759</v>
      </c>
      <c r="T396">
        <f>45.5-15</f>
        <v>30.5</v>
      </c>
      <c r="U396">
        <v>19</v>
      </c>
      <c r="V396">
        <v>13.1</v>
      </c>
      <c r="W396">
        <v>28</v>
      </c>
      <c r="X396" t="s">
        <v>32</v>
      </c>
      <c r="Y396" t="s">
        <v>64</v>
      </c>
    </row>
    <row r="397" spans="1:32" x14ac:dyDescent="0.2">
      <c r="A397" s="3">
        <v>42599</v>
      </c>
      <c r="B397">
        <v>304</v>
      </c>
      <c r="C397">
        <v>9</v>
      </c>
      <c r="D397" t="s">
        <v>52</v>
      </c>
      <c r="E397" t="s">
        <v>28</v>
      </c>
      <c r="F397" t="s">
        <v>29</v>
      </c>
      <c r="G397" t="s">
        <v>30</v>
      </c>
      <c r="H397" s="17" t="s">
        <v>1638</v>
      </c>
      <c r="J397" t="s">
        <v>75</v>
      </c>
      <c r="L397" t="s">
        <v>51</v>
      </c>
      <c r="M397" t="s">
        <v>495</v>
      </c>
      <c r="N397" t="s">
        <v>260</v>
      </c>
      <c r="O397" t="s">
        <v>1335</v>
      </c>
      <c r="P397" t="s">
        <v>832</v>
      </c>
      <c r="Q397">
        <v>2</v>
      </c>
      <c r="R397" t="s">
        <v>832</v>
      </c>
      <c r="T397">
        <f>44-15</f>
        <v>29</v>
      </c>
      <c r="U397">
        <v>19</v>
      </c>
      <c r="V397">
        <v>13.1</v>
      </c>
      <c r="W397">
        <v>29.1</v>
      </c>
      <c r="X397" t="s">
        <v>32</v>
      </c>
      <c r="Y397" t="s">
        <v>64</v>
      </c>
    </row>
    <row r="398" spans="1:32" x14ac:dyDescent="0.2">
      <c r="A398" s="3">
        <v>42599</v>
      </c>
      <c r="B398">
        <v>304</v>
      </c>
      <c r="C398">
        <v>8</v>
      </c>
      <c r="D398" t="s">
        <v>52</v>
      </c>
      <c r="E398" t="s">
        <v>28</v>
      </c>
      <c r="F398" t="s">
        <v>188</v>
      </c>
      <c r="G398" t="s">
        <v>35</v>
      </c>
      <c r="H398" s="17" t="s">
        <v>1593</v>
      </c>
      <c r="J398" t="s">
        <v>39</v>
      </c>
      <c r="L398" t="s">
        <v>51</v>
      </c>
      <c r="M398" t="s">
        <v>495</v>
      </c>
      <c r="N398" t="s">
        <v>260</v>
      </c>
      <c r="O398">
        <v>2</v>
      </c>
      <c r="P398" t="s">
        <v>759</v>
      </c>
      <c r="Q398">
        <v>2</v>
      </c>
      <c r="R398" t="s">
        <v>759</v>
      </c>
      <c r="T398">
        <f>34-15.5</f>
        <v>18.5</v>
      </c>
      <c r="U398">
        <v>16.5</v>
      </c>
      <c r="V398">
        <v>13.1</v>
      </c>
      <c r="W398">
        <v>27.1</v>
      </c>
      <c r="X398" t="s">
        <v>32</v>
      </c>
      <c r="Y398" t="s">
        <v>64</v>
      </c>
    </row>
    <row r="399" spans="1:32" x14ac:dyDescent="0.2">
      <c r="A399" s="3">
        <v>42599</v>
      </c>
      <c r="B399">
        <v>304</v>
      </c>
      <c r="C399">
        <v>6</v>
      </c>
      <c r="D399" t="s">
        <v>52</v>
      </c>
      <c r="E399" t="s">
        <v>28</v>
      </c>
      <c r="F399" t="s">
        <v>29</v>
      </c>
      <c r="G399" t="s">
        <v>30</v>
      </c>
      <c r="H399" s="17" t="s">
        <v>941</v>
      </c>
      <c r="J399" t="s">
        <v>75</v>
      </c>
      <c r="L399" t="s">
        <v>51</v>
      </c>
      <c r="M399" t="s">
        <v>495</v>
      </c>
      <c r="N399" t="s">
        <v>260</v>
      </c>
      <c r="O399" t="s">
        <v>1335</v>
      </c>
      <c r="P399" t="s">
        <v>832</v>
      </c>
      <c r="Q399" t="s">
        <v>1584</v>
      </c>
      <c r="R399" t="s">
        <v>832</v>
      </c>
      <c r="T399">
        <f>39-15</f>
        <v>24</v>
      </c>
      <c r="U399">
        <v>17</v>
      </c>
      <c r="V399">
        <v>13.1</v>
      </c>
      <c r="W399">
        <v>27.2</v>
      </c>
      <c r="X399" t="s">
        <v>32</v>
      </c>
      <c r="Y399" t="s">
        <v>64</v>
      </c>
    </row>
    <row r="400" spans="1:32" x14ac:dyDescent="0.2">
      <c r="A400" s="3">
        <v>42599</v>
      </c>
      <c r="B400">
        <v>304</v>
      </c>
      <c r="C400">
        <v>4</v>
      </c>
      <c r="D400" t="s">
        <v>52</v>
      </c>
      <c r="E400" t="s">
        <v>28</v>
      </c>
      <c r="F400" t="s">
        <v>29</v>
      </c>
      <c r="G400" t="s">
        <v>35</v>
      </c>
      <c r="H400" s="17" t="s">
        <v>1158</v>
      </c>
      <c r="J400" t="s">
        <v>39</v>
      </c>
      <c r="L400" t="s">
        <v>51</v>
      </c>
      <c r="M400" t="s">
        <v>495</v>
      </c>
      <c r="N400" t="s">
        <v>260</v>
      </c>
      <c r="O400" t="s">
        <v>1335</v>
      </c>
      <c r="P400" t="s">
        <v>832</v>
      </c>
      <c r="Q400" t="s">
        <v>1640</v>
      </c>
      <c r="R400" t="s">
        <v>832</v>
      </c>
      <c r="T400">
        <f>42-14</f>
        <v>28</v>
      </c>
      <c r="U400">
        <v>18</v>
      </c>
      <c r="V400">
        <v>13.1</v>
      </c>
      <c r="W400">
        <v>27.3</v>
      </c>
      <c r="X400" t="s">
        <v>32</v>
      </c>
      <c r="Y400" t="s">
        <v>64</v>
      </c>
      <c r="Z400" t="s">
        <v>1641</v>
      </c>
      <c r="AF400" t="s">
        <v>1642</v>
      </c>
    </row>
    <row r="401" spans="1:26" x14ac:dyDescent="0.2">
      <c r="A401" s="3">
        <v>42599</v>
      </c>
      <c r="B401">
        <v>304</v>
      </c>
      <c r="C401">
        <v>3</v>
      </c>
      <c r="D401" t="s">
        <v>52</v>
      </c>
      <c r="E401" t="s">
        <v>28</v>
      </c>
      <c r="F401" t="s">
        <v>29</v>
      </c>
      <c r="G401" t="s">
        <v>30</v>
      </c>
      <c r="H401" s="17" t="s">
        <v>1157</v>
      </c>
      <c r="J401" t="s">
        <v>31</v>
      </c>
      <c r="L401" t="s">
        <v>51</v>
      </c>
      <c r="M401" t="s">
        <v>495</v>
      </c>
      <c r="N401" t="s">
        <v>260</v>
      </c>
      <c r="O401" t="s">
        <v>1335</v>
      </c>
      <c r="P401" t="s">
        <v>832</v>
      </c>
      <c r="Q401">
        <v>2</v>
      </c>
      <c r="R401" t="s">
        <v>832</v>
      </c>
      <c r="T401">
        <f>35-14</f>
        <v>21</v>
      </c>
      <c r="U401">
        <v>16</v>
      </c>
      <c r="V401">
        <v>13</v>
      </c>
      <c r="W401">
        <v>27.2</v>
      </c>
      <c r="X401" t="s">
        <v>32</v>
      </c>
      <c r="Y401" t="s">
        <v>64</v>
      </c>
    </row>
    <row r="402" spans="1:26" x14ac:dyDescent="0.2">
      <c r="A402" s="3">
        <v>42599</v>
      </c>
      <c r="B402">
        <v>304</v>
      </c>
      <c r="C402">
        <v>2</v>
      </c>
      <c r="D402" t="s">
        <v>52</v>
      </c>
      <c r="E402" t="s">
        <v>34</v>
      </c>
      <c r="F402" t="s">
        <v>188</v>
      </c>
      <c r="G402" t="s">
        <v>35</v>
      </c>
      <c r="H402" s="17" t="s">
        <v>1643</v>
      </c>
      <c r="J402" t="s">
        <v>39</v>
      </c>
      <c r="K402" t="s">
        <v>1646</v>
      </c>
      <c r="L402" t="s">
        <v>51</v>
      </c>
      <c r="M402" t="s">
        <v>495</v>
      </c>
      <c r="N402" t="s">
        <v>260</v>
      </c>
      <c r="O402">
        <v>2</v>
      </c>
      <c r="P402" t="s">
        <v>832</v>
      </c>
      <c r="Q402">
        <v>2</v>
      </c>
      <c r="R402" t="s">
        <v>832</v>
      </c>
      <c r="T402">
        <f>34-14</f>
        <v>20</v>
      </c>
      <c r="U402">
        <v>18.5</v>
      </c>
      <c r="V402">
        <v>13.1</v>
      </c>
      <c r="W402">
        <v>26.8</v>
      </c>
      <c r="X402" t="s">
        <v>145</v>
      </c>
      <c r="Y402" t="s">
        <v>64</v>
      </c>
    </row>
    <row r="403" spans="1:26" x14ac:dyDescent="0.2">
      <c r="A403" s="3">
        <v>42599</v>
      </c>
      <c r="B403">
        <v>304</v>
      </c>
      <c r="C403">
        <v>1</v>
      </c>
      <c r="D403" t="s">
        <v>52</v>
      </c>
      <c r="E403" t="s">
        <v>34</v>
      </c>
      <c r="F403" t="s">
        <v>29</v>
      </c>
      <c r="G403" t="s">
        <v>30</v>
      </c>
      <c r="H403" s="17" t="s">
        <v>1645</v>
      </c>
      <c r="J403" t="s">
        <v>75</v>
      </c>
      <c r="L403" t="s">
        <v>51</v>
      </c>
      <c r="M403" t="s">
        <v>495</v>
      </c>
      <c r="N403" t="s">
        <v>260</v>
      </c>
      <c r="O403">
        <v>2</v>
      </c>
      <c r="P403" t="s">
        <v>832</v>
      </c>
      <c r="Q403">
        <v>2</v>
      </c>
      <c r="R403" t="s">
        <v>832</v>
      </c>
      <c r="T403">
        <f>42-14</f>
        <v>28</v>
      </c>
      <c r="U403">
        <v>17</v>
      </c>
      <c r="V403">
        <v>13.2</v>
      </c>
      <c r="W403">
        <v>27</v>
      </c>
      <c r="X403" t="s">
        <v>32</v>
      </c>
      <c r="Y403" t="s">
        <v>64</v>
      </c>
    </row>
    <row r="404" spans="1:26" x14ac:dyDescent="0.2">
      <c r="A404" s="3">
        <v>42600</v>
      </c>
      <c r="B404">
        <v>113</v>
      </c>
      <c r="C404">
        <v>2</v>
      </c>
      <c r="D404" t="s">
        <v>142</v>
      </c>
      <c r="E404" t="s">
        <v>34</v>
      </c>
      <c r="F404" t="s">
        <v>188</v>
      </c>
      <c r="G404" t="s">
        <v>35</v>
      </c>
      <c r="H404" s="17" t="s">
        <v>1847</v>
      </c>
      <c r="J404" t="s">
        <v>39</v>
      </c>
      <c r="L404" t="s">
        <v>51</v>
      </c>
      <c r="M404" t="s">
        <v>493</v>
      </c>
      <c r="N404" t="s">
        <v>32</v>
      </c>
      <c r="Q404">
        <v>4</v>
      </c>
      <c r="R404" t="s">
        <v>759</v>
      </c>
      <c r="T404">
        <f>28.5-13</f>
        <v>15.5</v>
      </c>
      <c r="U404">
        <v>27</v>
      </c>
      <c r="V404">
        <v>12.3</v>
      </c>
      <c r="W404">
        <v>24.9</v>
      </c>
      <c r="X404" t="s">
        <v>32</v>
      </c>
      <c r="Y404" t="s">
        <v>24</v>
      </c>
    </row>
    <row r="405" spans="1:26" x14ac:dyDescent="0.2">
      <c r="A405" s="3">
        <v>42600</v>
      </c>
      <c r="B405">
        <v>304</v>
      </c>
      <c r="C405">
        <v>5</v>
      </c>
      <c r="D405" t="s">
        <v>27</v>
      </c>
      <c r="E405" t="s">
        <v>34</v>
      </c>
      <c r="F405" t="s">
        <v>188</v>
      </c>
      <c r="G405" t="s">
        <v>30</v>
      </c>
      <c r="H405" s="17" t="s">
        <v>1849</v>
      </c>
      <c r="I405" s="17" t="s">
        <v>1850</v>
      </c>
      <c r="J405" t="s">
        <v>31</v>
      </c>
      <c r="L405" t="s">
        <v>51</v>
      </c>
      <c r="M405" t="s">
        <v>495</v>
      </c>
      <c r="N405" t="s">
        <v>260</v>
      </c>
      <c r="O405">
        <v>1</v>
      </c>
      <c r="P405" t="s">
        <v>759</v>
      </c>
      <c r="Q405">
        <v>1</v>
      </c>
      <c r="R405" t="s">
        <v>759</v>
      </c>
      <c r="T405">
        <f>29.5-14.5</f>
        <v>15</v>
      </c>
      <c r="U405">
        <v>19</v>
      </c>
      <c r="V405">
        <v>13</v>
      </c>
      <c r="W405">
        <v>25</v>
      </c>
      <c r="X405" t="s">
        <v>32</v>
      </c>
      <c r="Y405" t="s">
        <v>24</v>
      </c>
    </row>
    <row r="406" spans="1:26" x14ac:dyDescent="0.2">
      <c r="A406" s="3">
        <v>42600</v>
      </c>
      <c r="B406">
        <v>402</v>
      </c>
      <c r="C406">
        <v>9</v>
      </c>
      <c r="D406" t="s">
        <v>52</v>
      </c>
      <c r="E406" t="s">
        <v>28</v>
      </c>
      <c r="F406" t="s">
        <v>29</v>
      </c>
      <c r="G406" t="s">
        <v>30</v>
      </c>
      <c r="H406" s="17" t="s">
        <v>934</v>
      </c>
      <c r="J406" t="s">
        <v>31</v>
      </c>
      <c r="L406" t="s">
        <v>51</v>
      </c>
      <c r="M406" t="s">
        <v>494</v>
      </c>
      <c r="N406" t="s">
        <v>145</v>
      </c>
      <c r="U406">
        <v>18</v>
      </c>
      <c r="V406">
        <v>12.8</v>
      </c>
      <c r="W406">
        <v>30.2</v>
      </c>
      <c r="X406" t="s">
        <v>32</v>
      </c>
      <c r="Y406" t="s">
        <v>66</v>
      </c>
      <c r="Z406" t="s">
        <v>1616</v>
      </c>
    </row>
    <row r="407" spans="1:26" x14ac:dyDescent="0.2">
      <c r="A407" s="3">
        <v>42600</v>
      </c>
      <c r="B407">
        <v>304</v>
      </c>
      <c r="C407">
        <v>2</v>
      </c>
      <c r="D407" t="s">
        <v>52</v>
      </c>
      <c r="E407" t="s">
        <v>28</v>
      </c>
      <c r="F407" t="s">
        <v>29</v>
      </c>
      <c r="G407" t="s">
        <v>35</v>
      </c>
      <c r="H407" s="17" t="s">
        <v>1148</v>
      </c>
      <c r="J407" t="s">
        <v>39</v>
      </c>
      <c r="L407" t="s">
        <v>51</v>
      </c>
      <c r="M407" t="s">
        <v>495</v>
      </c>
      <c r="N407" t="s">
        <v>260</v>
      </c>
      <c r="U407">
        <v>30</v>
      </c>
      <c r="V407">
        <v>15.9</v>
      </c>
      <c r="W407">
        <v>30.6</v>
      </c>
      <c r="X407" t="s">
        <v>32</v>
      </c>
      <c r="Y407" t="s">
        <v>66</v>
      </c>
      <c r="Z407" t="s">
        <v>1616</v>
      </c>
    </row>
    <row r="408" spans="1:26" x14ac:dyDescent="0.2">
      <c r="A408" s="3">
        <v>42600</v>
      </c>
      <c r="B408">
        <v>201</v>
      </c>
      <c r="C408">
        <v>1</v>
      </c>
      <c r="D408" t="s">
        <v>27</v>
      </c>
      <c r="E408" t="s">
        <v>28</v>
      </c>
      <c r="F408" t="s">
        <v>188</v>
      </c>
      <c r="G408" t="s">
        <v>30</v>
      </c>
      <c r="H408" s="17" t="s">
        <v>1138</v>
      </c>
      <c r="I408" s="17" t="s">
        <v>1139</v>
      </c>
      <c r="J408" t="s">
        <v>75</v>
      </c>
      <c r="L408" t="s">
        <v>51</v>
      </c>
      <c r="M408" t="s">
        <v>495</v>
      </c>
      <c r="N408" t="s">
        <v>260</v>
      </c>
      <c r="O408" t="s">
        <v>923</v>
      </c>
      <c r="P408" t="s">
        <v>759</v>
      </c>
      <c r="Q408" t="s">
        <v>923</v>
      </c>
      <c r="R408" t="s">
        <v>759</v>
      </c>
      <c r="T408">
        <f>31-14.5</f>
        <v>16.5</v>
      </c>
      <c r="U408">
        <v>19</v>
      </c>
      <c r="V408">
        <v>84</v>
      </c>
      <c r="W408">
        <v>16</v>
      </c>
      <c r="X408" t="s">
        <v>32</v>
      </c>
      <c r="Y408" t="s">
        <v>64</v>
      </c>
    </row>
    <row r="409" spans="1:26" x14ac:dyDescent="0.2">
      <c r="A409" s="3">
        <v>42600</v>
      </c>
      <c r="B409">
        <v>201</v>
      </c>
      <c r="C409">
        <v>2</v>
      </c>
      <c r="D409" t="s">
        <v>27</v>
      </c>
      <c r="E409" t="s">
        <v>28</v>
      </c>
      <c r="F409" t="s">
        <v>29</v>
      </c>
      <c r="G409" t="s">
        <v>35</v>
      </c>
      <c r="H409" s="17" t="s">
        <v>1598</v>
      </c>
      <c r="I409" s="17" t="s">
        <v>1599</v>
      </c>
      <c r="J409" t="s">
        <v>39</v>
      </c>
      <c r="L409" t="s">
        <v>51</v>
      </c>
      <c r="M409" t="s">
        <v>494</v>
      </c>
      <c r="N409" t="s">
        <v>260</v>
      </c>
      <c r="O409">
        <v>1</v>
      </c>
      <c r="P409" t="s">
        <v>759</v>
      </c>
      <c r="T409">
        <f>35-14</f>
        <v>21</v>
      </c>
      <c r="U409">
        <v>20</v>
      </c>
      <c r="V409">
        <v>13.3</v>
      </c>
      <c r="W409">
        <v>27.8</v>
      </c>
      <c r="X409" t="s">
        <v>32</v>
      </c>
      <c r="Y409" t="s">
        <v>64</v>
      </c>
      <c r="Z409" t="s">
        <v>1563</v>
      </c>
    </row>
    <row r="410" spans="1:26" x14ac:dyDescent="0.2">
      <c r="A410" s="3">
        <v>42600</v>
      </c>
      <c r="B410">
        <v>201</v>
      </c>
      <c r="C410">
        <v>3</v>
      </c>
      <c r="D410" t="s">
        <v>27</v>
      </c>
      <c r="E410" t="s">
        <v>28</v>
      </c>
      <c r="F410" t="s">
        <v>188</v>
      </c>
      <c r="G410" t="s">
        <v>30</v>
      </c>
      <c r="H410" s="17" t="s">
        <v>1308</v>
      </c>
      <c r="I410" s="17" t="s">
        <v>1309</v>
      </c>
      <c r="J410" t="s">
        <v>31</v>
      </c>
      <c r="L410" t="s">
        <v>51</v>
      </c>
      <c r="M410" t="s">
        <v>495</v>
      </c>
      <c r="N410" t="s">
        <v>260</v>
      </c>
      <c r="O410">
        <v>1</v>
      </c>
      <c r="P410" t="s">
        <v>759</v>
      </c>
      <c r="Q410">
        <v>6</v>
      </c>
      <c r="R410" t="s">
        <v>759</v>
      </c>
      <c r="T410">
        <f>33-16</f>
        <v>17</v>
      </c>
      <c r="U410">
        <v>19</v>
      </c>
      <c r="V410">
        <v>13.1</v>
      </c>
      <c r="W410">
        <v>27.8</v>
      </c>
      <c r="X410" t="s">
        <v>32</v>
      </c>
      <c r="Y410" t="s">
        <v>64</v>
      </c>
    </row>
    <row r="411" spans="1:26" x14ac:dyDescent="0.2">
      <c r="A411" s="3">
        <v>42600</v>
      </c>
      <c r="B411">
        <v>201</v>
      </c>
      <c r="C411">
        <v>4</v>
      </c>
      <c r="D411" t="s">
        <v>52</v>
      </c>
      <c r="E411" t="s">
        <v>28</v>
      </c>
      <c r="F411" t="s">
        <v>29</v>
      </c>
      <c r="G411" t="s">
        <v>35</v>
      </c>
      <c r="H411" s="17" t="s">
        <v>1596</v>
      </c>
      <c r="J411" t="s">
        <v>39</v>
      </c>
      <c r="L411" t="s">
        <v>51</v>
      </c>
      <c r="M411" t="s">
        <v>495</v>
      </c>
      <c r="N411" t="s">
        <v>260</v>
      </c>
      <c r="O411">
        <v>2</v>
      </c>
      <c r="P411" t="s">
        <v>832</v>
      </c>
      <c r="Q411">
        <v>2</v>
      </c>
      <c r="R411" t="s">
        <v>832</v>
      </c>
      <c r="T411">
        <f>36.5-14.5</f>
        <v>22</v>
      </c>
      <c r="U411">
        <v>17.5</v>
      </c>
      <c r="V411">
        <v>13.2</v>
      </c>
      <c r="W411">
        <v>27.2</v>
      </c>
      <c r="X411" t="s">
        <v>32</v>
      </c>
      <c r="Y411" t="s">
        <v>64</v>
      </c>
    </row>
    <row r="412" spans="1:26" x14ac:dyDescent="0.2">
      <c r="A412" s="3">
        <v>42600</v>
      </c>
      <c r="B412">
        <v>201</v>
      </c>
      <c r="C412">
        <v>5</v>
      </c>
      <c r="D412" t="s">
        <v>52</v>
      </c>
      <c r="E412" t="s">
        <v>28</v>
      </c>
      <c r="F412" t="s">
        <v>29</v>
      </c>
      <c r="G412" t="s">
        <v>30</v>
      </c>
      <c r="H412" s="17" t="s">
        <v>1541</v>
      </c>
      <c r="J412" t="s">
        <v>75</v>
      </c>
      <c r="L412" t="s">
        <v>51</v>
      </c>
      <c r="M412" t="s">
        <v>495</v>
      </c>
      <c r="N412" t="s">
        <v>260</v>
      </c>
      <c r="O412" t="s">
        <v>1584</v>
      </c>
      <c r="P412" t="s">
        <v>832</v>
      </c>
      <c r="Q412" t="s">
        <v>932</v>
      </c>
      <c r="R412" t="s">
        <v>832</v>
      </c>
      <c r="T412">
        <f>39-14.5</f>
        <v>24.5</v>
      </c>
      <c r="U412">
        <v>17</v>
      </c>
      <c r="V412">
        <v>13.1</v>
      </c>
      <c r="W412">
        <v>27.5</v>
      </c>
      <c r="X412" t="s">
        <v>32</v>
      </c>
      <c r="Y412" t="s">
        <v>64</v>
      </c>
    </row>
    <row r="413" spans="1:26" x14ac:dyDescent="0.2">
      <c r="A413" s="3">
        <v>42600</v>
      </c>
      <c r="B413">
        <v>201</v>
      </c>
      <c r="C413">
        <v>5</v>
      </c>
      <c r="D413" t="s">
        <v>27</v>
      </c>
      <c r="E413" t="s">
        <v>28</v>
      </c>
      <c r="F413" t="s">
        <v>188</v>
      </c>
      <c r="G413" t="s">
        <v>35</v>
      </c>
      <c r="H413" s="17" t="s">
        <v>1319</v>
      </c>
      <c r="I413" s="17" t="s">
        <v>1310</v>
      </c>
      <c r="J413" t="s">
        <v>39</v>
      </c>
      <c r="L413" t="s">
        <v>51</v>
      </c>
      <c r="M413" t="s">
        <v>495</v>
      </c>
      <c r="N413" t="s">
        <v>260</v>
      </c>
      <c r="O413">
        <v>6</v>
      </c>
      <c r="P413" t="s">
        <v>759</v>
      </c>
      <c r="Q413">
        <v>6</v>
      </c>
      <c r="R413" t="s">
        <v>759</v>
      </c>
      <c r="T413">
        <f>33-16</f>
        <v>17</v>
      </c>
      <c r="U413">
        <v>18</v>
      </c>
      <c r="V413">
        <v>13</v>
      </c>
      <c r="W413">
        <v>27</v>
      </c>
      <c r="X413" t="s">
        <v>32</v>
      </c>
      <c r="Y413" t="s">
        <v>64</v>
      </c>
    </row>
    <row r="414" spans="1:26" x14ac:dyDescent="0.2">
      <c r="A414" s="3">
        <v>42600</v>
      </c>
      <c r="B414">
        <v>201</v>
      </c>
      <c r="C414">
        <v>6</v>
      </c>
      <c r="D414" t="s">
        <v>27</v>
      </c>
      <c r="E414" t="s">
        <v>28</v>
      </c>
      <c r="F414" t="s">
        <v>29</v>
      </c>
      <c r="G414" t="s">
        <v>30</v>
      </c>
      <c r="H414" s="17" t="s">
        <v>1310</v>
      </c>
      <c r="I414" s="17" t="s">
        <v>1311</v>
      </c>
      <c r="J414" t="s">
        <v>75</v>
      </c>
      <c r="L414" t="s">
        <v>51</v>
      </c>
      <c r="M414" t="s">
        <v>495</v>
      </c>
      <c r="N414" t="s">
        <v>260</v>
      </c>
      <c r="O414">
        <v>6</v>
      </c>
      <c r="P414" t="s">
        <v>759</v>
      </c>
      <c r="Q414">
        <v>6</v>
      </c>
      <c r="R414" t="s">
        <v>759</v>
      </c>
      <c r="T414">
        <f>34-13</f>
        <v>21</v>
      </c>
      <c r="U414">
        <v>18.5</v>
      </c>
      <c r="V414">
        <v>13.2</v>
      </c>
      <c r="W414">
        <v>28</v>
      </c>
      <c r="X414" t="s">
        <v>32</v>
      </c>
      <c r="Y414" t="s">
        <v>64</v>
      </c>
    </row>
    <row r="415" spans="1:26" x14ac:dyDescent="0.2">
      <c r="A415" s="3">
        <v>42600</v>
      </c>
      <c r="B415">
        <v>201</v>
      </c>
      <c r="C415">
        <v>7</v>
      </c>
      <c r="D415" t="s">
        <v>27</v>
      </c>
      <c r="E415" t="s">
        <v>28</v>
      </c>
      <c r="F415" t="s">
        <v>123</v>
      </c>
      <c r="G415" t="s">
        <v>35</v>
      </c>
      <c r="H415" s="17" t="s">
        <v>1142</v>
      </c>
      <c r="I415" s="17" t="s">
        <v>1143</v>
      </c>
      <c r="J415" t="s">
        <v>63</v>
      </c>
      <c r="L415" t="s">
        <v>51</v>
      </c>
      <c r="M415" t="s">
        <v>494</v>
      </c>
      <c r="N415" t="s">
        <v>260</v>
      </c>
      <c r="O415">
        <v>1</v>
      </c>
      <c r="P415" t="s">
        <v>759</v>
      </c>
      <c r="T415">
        <f>29.5-14</f>
        <v>15.5</v>
      </c>
      <c r="U415">
        <v>18</v>
      </c>
      <c r="V415">
        <v>13</v>
      </c>
      <c r="W415">
        <v>27.8</v>
      </c>
      <c r="X415" t="s">
        <v>32</v>
      </c>
      <c r="Y415" t="s">
        <v>64</v>
      </c>
    </row>
    <row r="416" spans="1:26" x14ac:dyDescent="0.2">
      <c r="A416" s="3">
        <v>42600</v>
      </c>
      <c r="B416">
        <v>201</v>
      </c>
      <c r="C416">
        <v>10</v>
      </c>
      <c r="D416" t="s">
        <v>139</v>
      </c>
      <c r="E416" t="s">
        <v>28</v>
      </c>
      <c r="F416" t="s">
        <v>29</v>
      </c>
      <c r="G416" t="s">
        <v>30</v>
      </c>
      <c r="H416" s="17" t="s">
        <v>868</v>
      </c>
      <c r="J416" t="s">
        <v>31</v>
      </c>
      <c r="L416" t="s">
        <v>633</v>
      </c>
      <c r="M416" t="s">
        <v>260</v>
      </c>
      <c r="S416" t="s">
        <v>759</v>
      </c>
      <c r="T416">
        <f>132-48</f>
        <v>84</v>
      </c>
      <c r="U416">
        <v>31</v>
      </c>
      <c r="X416" t="s">
        <v>32</v>
      </c>
      <c r="Y416" t="s">
        <v>64</v>
      </c>
      <c r="Z416" t="s">
        <v>1654</v>
      </c>
    </row>
    <row r="417" spans="1:26" x14ac:dyDescent="0.2">
      <c r="A417" s="3">
        <v>42600</v>
      </c>
      <c r="B417">
        <v>203</v>
      </c>
      <c r="C417">
        <v>1</v>
      </c>
      <c r="D417" t="s">
        <v>142</v>
      </c>
      <c r="E417" t="s">
        <v>28</v>
      </c>
      <c r="F417" t="s">
        <v>29</v>
      </c>
      <c r="G417" t="s">
        <v>30</v>
      </c>
      <c r="I417" s="17" t="s">
        <v>1623</v>
      </c>
      <c r="J417" t="s">
        <v>279</v>
      </c>
      <c r="L417" t="s">
        <v>51</v>
      </c>
      <c r="M417" t="s">
        <v>495</v>
      </c>
      <c r="N417" t="s">
        <v>260</v>
      </c>
      <c r="O417">
        <v>1</v>
      </c>
      <c r="P417" t="s">
        <v>759</v>
      </c>
      <c r="Q417">
        <v>1</v>
      </c>
      <c r="R417" t="s">
        <v>759</v>
      </c>
      <c r="T417">
        <f>47-13.5</f>
        <v>33.5</v>
      </c>
      <c r="U417">
        <v>29</v>
      </c>
      <c r="V417">
        <v>13.1</v>
      </c>
      <c r="W417">
        <v>25.7</v>
      </c>
      <c r="X417" t="s">
        <v>32</v>
      </c>
      <c r="Y417" t="s">
        <v>64</v>
      </c>
      <c r="Z417" t="s">
        <v>1655</v>
      </c>
    </row>
    <row r="418" spans="1:26" x14ac:dyDescent="0.2">
      <c r="A418" s="3">
        <v>42600</v>
      </c>
      <c r="B418">
        <v>203</v>
      </c>
      <c r="C418">
        <v>2</v>
      </c>
      <c r="D418" t="s">
        <v>27</v>
      </c>
      <c r="E418" t="s">
        <v>28</v>
      </c>
      <c r="F418" t="s">
        <v>188</v>
      </c>
      <c r="G418" t="s">
        <v>30</v>
      </c>
      <c r="H418" s="17" t="s">
        <v>1551</v>
      </c>
      <c r="I418" s="17" t="s">
        <v>1148</v>
      </c>
      <c r="J418" t="s">
        <v>31</v>
      </c>
      <c r="L418" t="s">
        <v>51</v>
      </c>
      <c r="M418" t="s">
        <v>495</v>
      </c>
      <c r="N418" t="s">
        <v>260</v>
      </c>
      <c r="O418">
        <v>6</v>
      </c>
      <c r="P418" t="s">
        <v>759</v>
      </c>
      <c r="Q418">
        <v>6</v>
      </c>
      <c r="R418" t="s">
        <v>759</v>
      </c>
      <c r="T418">
        <f>30-14</f>
        <v>16</v>
      </c>
      <c r="U418">
        <v>17</v>
      </c>
      <c r="V418">
        <v>13.1</v>
      </c>
      <c r="W418">
        <v>26.8</v>
      </c>
      <c r="X418" t="s">
        <v>32</v>
      </c>
      <c r="Y418" t="s">
        <v>64</v>
      </c>
      <c r="Z418" t="s">
        <v>1656</v>
      </c>
    </row>
    <row r="419" spans="1:26" x14ac:dyDescent="0.2">
      <c r="A419" s="3">
        <v>42600</v>
      </c>
      <c r="B419">
        <v>203</v>
      </c>
      <c r="C419">
        <v>3</v>
      </c>
      <c r="D419" t="s">
        <v>142</v>
      </c>
      <c r="E419" t="s">
        <v>28</v>
      </c>
      <c r="F419" t="s">
        <v>29</v>
      </c>
      <c r="G419" t="s">
        <v>35</v>
      </c>
      <c r="I419" s="17" t="s">
        <v>1618</v>
      </c>
      <c r="J419" t="s">
        <v>63</v>
      </c>
      <c r="L419" t="s">
        <v>51</v>
      </c>
      <c r="M419" t="s">
        <v>493</v>
      </c>
      <c r="N419" t="s">
        <v>145</v>
      </c>
      <c r="Q419" t="s">
        <v>1357</v>
      </c>
      <c r="R419" t="s">
        <v>759</v>
      </c>
      <c r="T419">
        <f>47-13</f>
        <v>34</v>
      </c>
      <c r="U419">
        <v>31</v>
      </c>
      <c r="V419">
        <v>13.2</v>
      </c>
      <c r="W419">
        <v>26.4</v>
      </c>
      <c r="X419" t="s">
        <v>32</v>
      </c>
      <c r="Y419" t="s">
        <v>64</v>
      </c>
    </row>
    <row r="420" spans="1:26" x14ac:dyDescent="0.2">
      <c r="A420" s="3">
        <v>42600</v>
      </c>
      <c r="B420">
        <v>203</v>
      </c>
      <c r="C420">
        <v>4</v>
      </c>
      <c r="D420" t="s">
        <v>52</v>
      </c>
      <c r="E420" t="s">
        <v>28</v>
      </c>
      <c r="F420" t="s">
        <v>29</v>
      </c>
      <c r="G420" t="s">
        <v>30</v>
      </c>
      <c r="H420" s="17" t="s">
        <v>1625</v>
      </c>
      <c r="J420" t="s">
        <v>31</v>
      </c>
      <c r="L420" t="s">
        <v>51</v>
      </c>
      <c r="M420" t="s">
        <v>495</v>
      </c>
      <c r="N420" t="s">
        <v>260</v>
      </c>
      <c r="O420">
        <v>2</v>
      </c>
      <c r="P420" t="s">
        <v>832</v>
      </c>
      <c r="Q420">
        <v>2</v>
      </c>
      <c r="R420" t="s">
        <v>832</v>
      </c>
      <c r="T420">
        <f>36-14.5</f>
        <v>21.5</v>
      </c>
      <c r="U420">
        <v>18</v>
      </c>
      <c r="V420">
        <v>13.1</v>
      </c>
      <c r="W420">
        <v>26.8</v>
      </c>
      <c r="X420" t="s">
        <v>32</v>
      </c>
      <c r="Y420" t="s">
        <v>64</v>
      </c>
    </row>
    <row r="421" spans="1:26" x14ac:dyDescent="0.2">
      <c r="A421" s="3">
        <v>42600</v>
      </c>
      <c r="B421">
        <v>203</v>
      </c>
      <c r="C421">
        <v>5</v>
      </c>
      <c r="D421" t="s">
        <v>52</v>
      </c>
      <c r="E421" t="s">
        <v>34</v>
      </c>
      <c r="F421" t="s">
        <v>123</v>
      </c>
      <c r="G421" t="s">
        <v>30</v>
      </c>
      <c r="H421" s="17" t="s">
        <v>1660</v>
      </c>
      <c r="J421" t="s">
        <v>31</v>
      </c>
      <c r="L421" t="s">
        <v>909</v>
      </c>
      <c r="M421" t="s">
        <v>495</v>
      </c>
      <c r="N421" t="s">
        <v>260</v>
      </c>
      <c r="O421">
        <v>2</v>
      </c>
      <c r="P421" t="s">
        <v>832</v>
      </c>
      <c r="Q421">
        <v>2</v>
      </c>
      <c r="R421" t="s">
        <v>832</v>
      </c>
      <c r="S421" t="s">
        <v>759</v>
      </c>
      <c r="T421">
        <f>27-14</f>
        <v>13</v>
      </c>
      <c r="U421">
        <v>17</v>
      </c>
      <c r="V421">
        <v>12.9</v>
      </c>
      <c r="W421">
        <v>25.6</v>
      </c>
      <c r="X421" t="s">
        <v>32</v>
      </c>
      <c r="Y421" t="s">
        <v>64</v>
      </c>
    </row>
    <row r="422" spans="1:26" x14ac:dyDescent="0.2">
      <c r="A422" s="3">
        <v>42600</v>
      </c>
      <c r="B422">
        <v>203</v>
      </c>
      <c r="C422">
        <v>6</v>
      </c>
      <c r="D422" t="s">
        <v>52</v>
      </c>
      <c r="E422" t="s">
        <v>28</v>
      </c>
      <c r="F422" t="s">
        <v>29</v>
      </c>
      <c r="G422" t="s">
        <v>30</v>
      </c>
      <c r="H422" s="17" t="s">
        <v>1626</v>
      </c>
      <c r="J422" t="s">
        <v>31</v>
      </c>
      <c r="K422" t="s">
        <v>1661</v>
      </c>
      <c r="L422" t="s">
        <v>51</v>
      </c>
      <c r="M422" t="s">
        <v>495</v>
      </c>
      <c r="N422" t="s">
        <v>260</v>
      </c>
      <c r="O422">
        <v>2</v>
      </c>
      <c r="P422" t="s">
        <v>832</v>
      </c>
      <c r="Q422" t="s">
        <v>1584</v>
      </c>
      <c r="R422" t="s">
        <v>832</v>
      </c>
      <c r="T422">
        <f>37-14</f>
        <v>23</v>
      </c>
      <c r="U422">
        <v>17.5</v>
      </c>
      <c r="V422">
        <v>12.9</v>
      </c>
      <c r="W422">
        <v>27.2</v>
      </c>
      <c r="X422" t="s">
        <v>32</v>
      </c>
      <c r="Y422" t="s">
        <v>64</v>
      </c>
    </row>
    <row r="423" spans="1:26" x14ac:dyDescent="0.2">
      <c r="A423" s="3">
        <v>42600</v>
      </c>
      <c r="B423">
        <v>203</v>
      </c>
      <c r="C423">
        <v>7</v>
      </c>
      <c r="D423" t="s">
        <v>52</v>
      </c>
      <c r="E423" t="s">
        <v>28</v>
      </c>
      <c r="F423" t="s">
        <v>29</v>
      </c>
      <c r="G423" t="s">
        <v>35</v>
      </c>
      <c r="H423" s="17" t="s">
        <v>1627</v>
      </c>
      <c r="J423" t="s">
        <v>63</v>
      </c>
      <c r="L423" t="s">
        <v>51</v>
      </c>
      <c r="M423" t="s">
        <v>495</v>
      </c>
      <c r="N423" t="s">
        <v>260</v>
      </c>
      <c r="O423">
        <v>2</v>
      </c>
      <c r="P423" t="s">
        <v>832</v>
      </c>
      <c r="Q423" t="s">
        <v>1584</v>
      </c>
      <c r="R423" t="s">
        <v>832</v>
      </c>
      <c r="T423">
        <f>37-14</f>
        <v>23</v>
      </c>
      <c r="U423">
        <v>17.5</v>
      </c>
      <c r="V423">
        <v>12.9</v>
      </c>
      <c r="W423">
        <v>25.6</v>
      </c>
      <c r="X423" t="s">
        <v>32</v>
      </c>
      <c r="Y423" t="s">
        <v>64</v>
      </c>
    </row>
    <row r="424" spans="1:26" x14ac:dyDescent="0.2">
      <c r="A424" s="3">
        <v>42600</v>
      </c>
      <c r="B424">
        <v>203</v>
      </c>
      <c r="C424">
        <v>8</v>
      </c>
      <c r="D424" t="s">
        <v>27</v>
      </c>
      <c r="E424" t="s">
        <v>28</v>
      </c>
      <c r="F424" t="s">
        <v>123</v>
      </c>
      <c r="G424" t="s">
        <v>30</v>
      </c>
      <c r="H424" s="17" t="s">
        <v>881</v>
      </c>
      <c r="I424" s="17" t="s">
        <v>882</v>
      </c>
      <c r="J424" t="s">
        <v>31</v>
      </c>
      <c r="L424" t="s">
        <v>51</v>
      </c>
      <c r="M424" t="s">
        <v>495</v>
      </c>
      <c r="N424" t="s">
        <v>260</v>
      </c>
      <c r="O424" t="s">
        <v>1662</v>
      </c>
      <c r="P424" t="s">
        <v>759</v>
      </c>
      <c r="Q424">
        <v>5</v>
      </c>
      <c r="R424" t="s">
        <v>759</v>
      </c>
      <c r="T424">
        <f>25-15</f>
        <v>10</v>
      </c>
      <c r="U424">
        <v>18</v>
      </c>
      <c r="V424">
        <v>12.9</v>
      </c>
      <c r="W424">
        <v>26</v>
      </c>
      <c r="X424" t="s">
        <v>32</v>
      </c>
      <c r="Y424" t="s">
        <v>64</v>
      </c>
    </row>
    <row r="425" spans="1:26" x14ac:dyDescent="0.2">
      <c r="A425" s="3">
        <v>42600</v>
      </c>
      <c r="B425">
        <v>203</v>
      </c>
      <c r="C425">
        <v>8</v>
      </c>
      <c r="D425" t="s">
        <v>27</v>
      </c>
      <c r="E425" t="s">
        <v>28</v>
      </c>
      <c r="F425" t="s">
        <v>123</v>
      </c>
      <c r="G425" t="s">
        <v>30</v>
      </c>
      <c r="H425" s="17" t="s">
        <v>1561</v>
      </c>
      <c r="I425" s="17" t="s">
        <v>1560</v>
      </c>
      <c r="J425" t="s">
        <v>31</v>
      </c>
      <c r="L425" t="s">
        <v>51</v>
      </c>
      <c r="M425" t="s">
        <v>494</v>
      </c>
      <c r="N425" t="s">
        <v>260</v>
      </c>
      <c r="O425" t="s">
        <v>1357</v>
      </c>
      <c r="P425" t="s">
        <v>759</v>
      </c>
      <c r="T425">
        <f>25-14.5</f>
        <v>10.5</v>
      </c>
      <c r="U425">
        <v>17</v>
      </c>
      <c r="V425">
        <v>12.9</v>
      </c>
      <c r="W425">
        <v>26.1</v>
      </c>
      <c r="X425" t="s">
        <v>32</v>
      </c>
      <c r="Y425" t="s">
        <v>64</v>
      </c>
    </row>
    <row r="426" spans="1:26" x14ac:dyDescent="0.2">
      <c r="A426" s="3">
        <v>42600</v>
      </c>
      <c r="B426">
        <v>203</v>
      </c>
      <c r="C426">
        <v>9</v>
      </c>
      <c r="D426" t="s">
        <v>52</v>
      </c>
      <c r="E426" t="s">
        <v>28</v>
      </c>
      <c r="F426" t="s">
        <v>29</v>
      </c>
      <c r="G426" t="s">
        <v>35</v>
      </c>
      <c r="H426" s="17" t="s">
        <v>1150</v>
      </c>
      <c r="J426" t="s">
        <v>63</v>
      </c>
      <c r="L426" t="s">
        <v>909</v>
      </c>
      <c r="M426" t="s">
        <v>495</v>
      </c>
      <c r="N426" t="s">
        <v>260</v>
      </c>
      <c r="O426" t="s">
        <v>1335</v>
      </c>
      <c r="P426" t="s">
        <v>832</v>
      </c>
      <c r="Q426">
        <v>2</v>
      </c>
      <c r="R426" t="s">
        <v>832</v>
      </c>
      <c r="S426" t="s">
        <v>759</v>
      </c>
      <c r="T426">
        <f>33-14</f>
        <v>19</v>
      </c>
      <c r="U426">
        <v>18</v>
      </c>
      <c r="V426">
        <v>12.9</v>
      </c>
      <c r="W426">
        <v>25.7</v>
      </c>
      <c r="X426" t="s">
        <v>32</v>
      </c>
      <c r="Y426" t="s">
        <v>64</v>
      </c>
    </row>
    <row r="427" spans="1:26" x14ac:dyDescent="0.2">
      <c r="A427" s="3">
        <v>42600</v>
      </c>
      <c r="B427">
        <v>203</v>
      </c>
      <c r="C427">
        <v>10</v>
      </c>
      <c r="D427" t="s">
        <v>27</v>
      </c>
      <c r="E427" t="s">
        <v>28</v>
      </c>
      <c r="F427" t="s">
        <v>188</v>
      </c>
      <c r="G427" t="s">
        <v>30</v>
      </c>
      <c r="H427" s="17" t="s">
        <v>1567</v>
      </c>
      <c r="I427" s="17" t="s">
        <v>1568</v>
      </c>
      <c r="J427" t="s">
        <v>31</v>
      </c>
      <c r="L427" t="s">
        <v>51</v>
      </c>
      <c r="M427" t="s">
        <v>495</v>
      </c>
      <c r="N427" t="s">
        <v>260</v>
      </c>
      <c r="O427">
        <v>6</v>
      </c>
      <c r="P427" t="s">
        <v>759</v>
      </c>
      <c r="Q427">
        <v>6</v>
      </c>
      <c r="R427" t="s">
        <v>759</v>
      </c>
      <c r="T427">
        <f>31-15.5</f>
        <v>15.5</v>
      </c>
      <c r="U427">
        <v>18</v>
      </c>
      <c r="V427">
        <v>13.1</v>
      </c>
      <c r="W427">
        <v>27.9</v>
      </c>
      <c r="X427" t="s">
        <v>32</v>
      </c>
      <c r="Y427" t="s">
        <v>64</v>
      </c>
    </row>
    <row r="428" spans="1:26" x14ac:dyDescent="0.2">
      <c r="A428" s="3">
        <v>42600</v>
      </c>
      <c r="B428">
        <v>202</v>
      </c>
      <c r="C428">
        <v>1</v>
      </c>
      <c r="D428" t="s">
        <v>142</v>
      </c>
      <c r="E428" t="s">
        <v>34</v>
      </c>
      <c r="F428" t="s">
        <v>29</v>
      </c>
      <c r="G428" t="s">
        <v>30</v>
      </c>
      <c r="H428" s="17" t="s">
        <v>1667</v>
      </c>
      <c r="J428" t="s">
        <v>31</v>
      </c>
      <c r="L428" t="s">
        <v>51</v>
      </c>
      <c r="M428" t="s">
        <v>495</v>
      </c>
      <c r="N428" t="s">
        <v>260</v>
      </c>
      <c r="O428">
        <v>1</v>
      </c>
      <c r="P428" t="s">
        <v>832</v>
      </c>
      <c r="Q428">
        <v>1</v>
      </c>
      <c r="R428" t="s">
        <v>832</v>
      </c>
      <c r="T428">
        <f>35.5-15</f>
        <v>20.5</v>
      </c>
      <c r="U428">
        <v>30</v>
      </c>
      <c r="V428">
        <v>13.1</v>
      </c>
      <c r="W428">
        <v>25.5</v>
      </c>
      <c r="X428" t="s">
        <v>32</v>
      </c>
      <c r="Y428" t="s">
        <v>64</v>
      </c>
    </row>
    <row r="429" spans="1:26" x14ac:dyDescent="0.2">
      <c r="A429" s="3">
        <v>42600</v>
      </c>
      <c r="B429">
        <v>202</v>
      </c>
      <c r="C429">
        <v>2</v>
      </c>
      <c r="D429" t="s">
        <v>27</v>
      </c>
      <c r="E429" t="s">
        <v>28</v>
      </c>
      <c r="F429" t="s">
        <v>188</v>
      </c>
      <c r="G429" t="s">
        <v>35</v>
      </c>
      <c r="H429" s="17" t="s">
        <v>1569</v>
      </c>
      <c r="I429" s="17" t="s">
        <v>1570</v>
      </c>
      <c r="J429" t="s">
        <v>63</v>
      </c>
      <c r="L429" t="s">
        <v>51</v>
      </c>
      <c r="M429" t="s">
        <v>495</v>
      </c>
      <c r="N429" t="s">
        <v>260</v>
      </c>
      <c r="O429">
        <v>6</v>
      </c>
      <c r="P429" t="s">
        <v>759</v>
      </c>
      <c r="Q429">
        <v>6</v>
      </c>
      <c r="R429" t="s">
        <v>759</v>
      </c>
      <c r="T429">
        <f>29.5-15</f>
        <v>14.5</v>
      </c>
      <c r="U429">
        <v>19.5</v>
      </c>
      <c r="V429">
        <v>13</v>
      </c>
      <c r="W429">
        <v>27.4</v>
      </c>
      <c r="X429" t="s">
        <v>32</v>
      </c>
      <c r="Y429" t="s">
        <v>64</v>
      </c>
    </row>
    <row r="430" spans="1:26" x14ac:dyDescent="0.2">
      <c r="A430" s="3">
        <v>42600</v>
      </c>
      <c r="B430">
        <v>202</v>
      </c>
      <c r="C430">
        <v>3</v>
      </c>
      <c r="D430" t="s">
        <v>52</v>
      </c>
      <c r="E430" t="s">
        <v>34</v>
      </c>
      <c r="F430" t="s">
        <v>123</v>
      </c>
      <c r="G430" t="s">
        <v>30</v>
      </c>
      <c r="H430" s="17" t="s">
        <v>1668</v>
      </c>
      <c r="J430" t="s">
        <v>31</v>
      </c>
      <c r="L430" t="s">
        <v>51</v>
      </c>
      <c r="M430" t="s">
        <v>495</v>
      </c>
      <c r="N430" t="s">
        <v>260</v>
      </c>
      <c r="O430">
        <v>2</v>
      </c>
      <c r="P430" t="s">
        <v>832</v>
      </c>
      <c r="Q430">
        <v>2</v>
      </c>
      <c r="R430" t="s">
        <v>832</v>
      </c>
      <c r="T430">
        <f>28-14</f>
        <v>14</v>
      </c>
      <c r="U430">
        <v>16.5</v>
      </c>
      <c r="V430">
        <v>12.7</v>
      </c>
      <c r="W430">
        <v>24.5</v>
      </c>
      <c r="X430" t="s">
        <v>32</v>
      </c>
      <c r="Y430" t="s">
        <v>64</v>
      </c>
    </row>
    <row r="431" spans="1:26" x14ac:dyDescent="0.2">
      <c r="A431" s="3">
        <v>42600</v>
      </c>
      <c r="B431">
        <v>202</v>
      </c>
      <c r="C431">
        <v>7</v>
      </c>
      <c r="D431" t="s">
        <v>52</v>
      </c>
      <c r="E431" t="s">
        <v>28</v>
      </c>
      <c r="F431" t="s">
        <v>29</v>
      </c>
      <c r="G431" t="s">
        <v>30</v>
      </c>
      <c r="H431" s="17" t="s">
        <v>1315</v>
      </c>
      <c r="J431" t="s">
        <v>75</v>
      </c>
      <c r="K431" t="s">
        <v>1669</v>
      </c>
      <c r="L431" t="s">
        <v>51</v>
      </c>
      <c r="M431" t="s">
        <v>495</v>
      </c>
      <c r="N431" t="s">
        <v>260</v>
      </c>
      <c r="O431" t="s">
        <v>907</v>
      </c>
      <c r="P431" t="s">
        <v>832</v>
      </c>
      <c r="Q431" t="s">
        <v>1584</v>
      </c>
      <c r="R431" t="s">
        <v>832</v>
      </c>
      <c r="T431">
        <f>43-14</f>
        <v>29</v>
      </c>
      <c r="U431">
        <v>18</v>
      </c>
      <c r="V431">
        <v>13</v>
      </c>
      <c r="W431">
        <v>28.5</v>
      </c>
      <c r="X431" t="s">
        <v>32</v>
      </c>
      <c r="Y431" t="s">
        <v>64</v>
      </c>
    </row>
    <row r="432" spans="1:26" x14ac:dyDescent="0.2">
      <c r="A432" s="3">
        <v>42600</v>
      </c>
      <c r="B432">
        <v>304</v>
      </c>
      <c r="C432">
        <v>8</v>
      </c>
      <c r="D432" t="s">
        <v>52</v>
      </c>
      <c r="E432" t="s">
        <v>28</v>
      </c>
      <c r="F432" t="s">
        <v>29</v>
      </c>
      <c r="G432" t="s">
        <v>30</v>
      </c>
      <c r="H432" s="17" t="s">
        <v>1638</v>
      </c>
      <c r="J432" t="s">
        <v>251</v>
      </c>
      <c r="L432" t="s">
        <v>51</v>
      </c>
      <c r="M432" t="s">
        <v>495</v>
      </c>
      <c r="N432" t="s">
        <v>260</v>
      </c>
      <c r="O432" t="s">
        <v>924</v>
      </c>
      <c r="P432" t="s">
        <v>832</v>
      </c>
      <c r="Q432" t="s">
        <v>1584</v>
      </c>
      <c r="R432" t="s">
        <v>832</v>
      </c>
      <c r="T432">
        <f>45.5-15</f>
        <v>30.5</v>
      </c>
      <c r="U432">
        <v>18</v>
      </c>
      <c r="V432">
        <v>13</v>
      </c>
      <c r="W432">
        <v>26.4</v>
      </c>
      <c r="X432" t="s">
        <v>32</v>
      </c>
      <c r="Y432" t="s">
        <v>64</v>
      </c>
    </row>
    <row r="433" spans="1:28" x14ac:dyDescent="0.2">
      <c r="A433" s="3">
        <v>42600</v>
      </c>
      <c r="B433">
        <v>304</v>
      </c>
      <c r="C433">
        <v>7</v>
      </c>
      <c r="D433" t="s">
        <v>52</v>
      </c>
      <c r="E433" t="s">
        <v>34</v>
      </c>
      <c r="F433" t="s">
        <v>123</v>
      </c>
      <c r="G433" t="s">
        <v>35</v>
      </c>
      <c r="H433" s="17" t="s">
        <v>1672</v>
      </c>
      <c r="J433" t="s">
        <v>63</v>
      </c>
      <c r="L433" t="s">
        <v>51</v>
      </c>
      <c r="M433" t="s">
        <v>495</v>
      </c>
      <c r="N433" t="s">
        <v>260</v>
      </c>
      <c r="O433">
        <v>2</v>
      </c>
      <c r="P433" t="s">
        <v>832</v>
      </c>
      <c r="Q433">
        <v>2</v>
      </c>
      <c r="R433" t="s">
        <v>759</v>
      </c>
      <c r="T433">
        <f>27-15</f>
        <v>12</v>
      </c>
      <c r="U433">
        <v>17</v>
      </c>
      <c r="V433">
        <v>12.3</v>
      </c>
      <c r="W433">
        <v>23.9</v>
      </c>
      <c r="X433" t="s">
        <v>32</v>
      </c>
      <c r="Y433" t="s">
        <v>64</v>
      </c>
    </row>
    <row r="434" spans="1:28" x14ac:dyDescent="0.2">
      <c r="A434" s="3">
        <v>42604</v>
      </c>
      <c r="B434">
        <v>501</v>
      </c>
      <c r="C434">
        <v>3</v>
      </c>
      <c r="D434" t="s">
        <v>52</v>
      </c>
      <c r="E434" t="s">
        <v>28</v>
      </c>
      <c r="F434" t="s">
        <v>29</v>
      </c>
      <c r="G434" t="s">
        <v>30</v>
      </c>
      <c r="H434" s="17" t="s">
        <v>1676</v>
      </c>
      <c r="J434" t="s">
        <v>251</v>
      </c>
      <c r="L434" t="s">
        <v>51</v>
      </c>
      <c r="M434" t="s">
        <v>495</v>
      </c>
      <c r="N434" t="s">
        <v>260</v>
      </c>
      <c r="O434" t="s">
        <v>1335</v>
      </c>
      <c r="P434" t="s">
        <v>759</v>
      </c>
      <c r="Q434">
        <v>2</v>
      </c>
      <c r="R434" t="s">
        <v>759</v>
      </c>
      <c r="T434">
        <f>43-13</f>
        <v>30</v>
      </c>
      <c r="U434">
        <v>17</v>
      </c>
      <c r="V434">
        <v>13.1</v>
      </c>
      <c r="W434">
        <v>30.5</v>
      </c>
      <c r="X434" t="s">
        <v>32</v>
      </c>
      <c r="Y434" t="s">
        <v>64</v>
      </c>
    </row>
    <row r="435" spans="1:28" x14ac:dyDescent="0.2">
      <c r="A435" s="3">
        <v>42604</v>
      </c>
      <c r="B435">
        <v>501</v>
      </c>
      <c r="C435">
        <v>5</v>
      </c>
      <c r="D435" t="s">
        <v>52</v>
      </c>
      <c r="E435" t="s">
        <v>34</v>
      </c>
      <c r="F435" t="s">
        <v>29</v>
      </c>
      <c r="G435" t="s">
        <v>35</v>
      </c>
      <c r="H435" s="17" t="s">
        <v>1678</v>
      </c>
      <c r="J435" t="s">
        <v>63</v>
      </c>
      <c r="L435" t="s">
        <v>51</v>
      </c>
      <c r="M435" t="s">
        <v>495</v>
      </c>
      <c r="N435" t="s">
        <v>260</v>
      </c>
      <c r="O435">
        <v>2</v>
      </c>
      <c r="P435" t="s">
        <v>759</v>
      </c>
      <c r="Q435">
        <v>2</v>
      </c>
      <c r="R435" t="s">
        <v>759</v>
      </c>
      <c r="T435">
        <f>43-13</f>
        <v>30</v>
      </c>
      <c r="U435">
        <v>17</v>
      </c>
      <c r="V435">
        <v>13</v>
      </c>
      <c r="W435">
        <v>26.5</v>
      </c>
      <c r="X435" t="s">
        <v>32</v>
      </c>
      <c r="Y435" t="s">
        <v>64</v>
      </c>
    </row>
    <row r="436" spans="1:28" x14ac:dyDescent="0.2">
      <c r="A436" s="3">
        <v>42604</v>
      </c>
      <c r="B436">
        <v>503</v>
      </c>
      <c r="C436">
        <v>1</v>
      </c>
      <c r="D436" t="s">
        <v>52</v>
      </c>
      <c r="E436" t="s">
        <v>34</v>
      </c>
      <c r="F436" t="s">
        <v>29</v>
      </c>
      <c r="G436" t="s">
        <v>30</v>
      </c>
      <c r="H436" s="17" t="s">
        <v>1685</v>
      </c>
      <c r="J436" t="s">
        <v>251</v>
      </c>
      <c r="L436" t="s">
        <v>51</v>
      </c>
      <c r="M436" t="s">
        <v>495</v>
      </c>
      <c r="N436" t="s">
        <v>260</v>
      </c>
      <c r="O436">
        <v>2</v>
      </c>
      <c r="P436" t="s">
        <v>832</v>
      </c>
      <c r="Q436" t="s">
        <v>1194</v>
      </c>
      <c r="R436" t="s">
        <v>832</v>
      </c>
      <c r="T436">
        <f>32-13.5</f>
        <v>18.5</v>
      </c>
      <c r="U436">
        <v>17</v>
      </c>
      <c r="V436">
        <v>12.8</v>
      </c>
      <c r="W436">
        <v>26.5</v>
      </c>
      <c r="X436" t="s">
        <v>32</v>
      </c>
      <c r="Y436" t="s">
        <v>64</v>
      </c>
    </row>
    <row r="437" spans="1:28" x14ac:dyDescent="0.2">
      <c r="A437" s="3">
        <v>42604</v>
      </c>
      <c r="B437">
        <v>503</v>
      </c>
      <c r="C437">
        <v>6</v>
      </c>
      <c r="D437" t="s">
        <v>52</v>
      </c>
      <c r="E437" t="s">
        <v>34</v>
      </c>
      <c r="F437" t="s">
        <v>29</v>
      </c>
      <c r="G437" t="s">
        <v>30</v>
      </c>
      <c r="H437" s="17" t="s">
        <v>1691</v>
      </c>
      <c r="J437" t="s">
        <v>31</v>
      </c>
      <c r="L437" t="s">
        <v>51</v>
      </c>
      <c r="M437" t="s">
        <v>495</v>
      </c>
      <c r="N437" t="s">
        <v>260</v>
      </c>
      <c r="O437">
        <v>2</v>
      </c>
      <c r="P437" t="s">
        <v>832</v>
      </c>
      <c r="Q437">
        <v>2</v>
      </c>
      <c r="R437" t="s">
        <v>759</v>
      </c>
      <c r="T437">
        <f>38-16</f>
        <v>22</v>
      </c>
      <c r="U437">
        <v>19</v>
      </c>
      <c r="V437">
        <v>13</v>
      </c>
      <c r="W437">
        <v>27.3</v>
      </c>
      <c r="X437" t="s">
        <v>32</v>
      </c>
      <c r="Y437" t="s">
        <v>64</v>
      </c>
    </row>
    <row r="438" spans="1:28" x14ac:dyDescent="0.2">
      <c r="A438" s="3">
        <v>42604</v>
      </c>
      <c r="B438">
        <v>503</v>
      </c>
      <c r="C438">
        <v>7</v>
      </c>
      <c r="D438" t="s">
        <v>52</v>
      </c>
      <c r="E438" t="s">
        <v>34</v>
      </c>
      <c r="F438" t="s">
        <v>29</v>
      </c>
      <c r="G438" t="s">
        <v>35</v>
      </c>
      <c r="H438" s="17" t="s">
        <v>1692</v>
      </c>
      <c r="J438" t="s">
        <v>63</v>
      </c>
      <c r="K438" t="s">
        <v>1693</v>
      </c>
      <c r="L438" t="s">
        <v>51</v>
      </c>
      <c r="M438" t="s">
        <v>495</v>
      </c>
      <c r="N438" t="s">
        <v>260</v>
      </c>
      <c r="O438">
        <v>2</v>
      </c>
      <c r="P438" t="s">
        <v>832</v>
      </c>
      <c r="Q438">
        <v>2</v>
      </c>
      <c r="R438" t="s">
        <v>832</v>
      </c>
      <c r="T438">
        <f>33-15.5</f>
        <v>17.5</v>
      </c>
      <c r="U438">
        <v>18</v>
      </c>
      <c r="V438">
        <v>12.8</v>
      </c>
      <c r="W438">
        <v>26.5</v>
      </c>
      <c r="X438" t="s">
        <v>32</v>
      </c>
      <c r="Y438" t="s">
        <v>64</v>
      </c>
    </row>
    <row r="439" spans="1:28" x14ac:dyDescent="0.2">
      <c r="A439" s="3">
        <v>42604</v>
      </c>
      <c r="B439">
        <v>503</v>
      </c>
      <c r="C439">
        <v>8</v>
      </c>
      <c r="D439" t="s">
        <v>52</v>
      </c>
      <c r="E439" t="s">
        <v>34</v>
      </c>
      <c r="F439" t="s">
        <v>29</v>
      </c>
      <c r="G439" t="s">
        <v>35</v>
      </c>
      <c r="H439" s="17" t="s">
        <v>1694</v>
      </c>
      <c r="J439" t="s">
        <v>39</v>
      </c>
      <c r="L439" t="s">
        <v>51</v>
      </c>
      <c r="M439" t="s">
        <v>495</v>
      </c>
      <c r="N439" t="s">
        <v>260</v>
      </c>
      <c r="O439">
        <v>2</v>
      </c>
      <c r="P439" t="s">
        <v>832</v>
      </c>
      <c r="Q439">
        <v>2</v>
      </c>
      <c r="R439" t="s">
        <v>759</v>
      </c>
      <c r="T439">
        <f>36-17</f>
        <v>19</v>
      </c>
      <c r="U439">
        <v>17.5</v>
      </c>
      <c r="V439">
        <v>12.8</v>
      </c>
      <c r="W439">
        <v>26.3</v>
      </c>
      <c r="X439" t="s">
        <v>32</v>
      </c>
      <c r="Y439" t="s">
        <v>64</v>
      </c>
    </row>
    <row r="440" spans="1:28" x14ac:dyDescent="0.2">
      <c r="A440" s="3">
        <v>42604</v>
      </c>
      <c r="B440">
        <v>303</v>
      </c>
      <c r="C440">
        <v>2</v>
      </c>
      <c r="D440" t="s">
        <v>52</v>
      </c>
      <c r="E440" t="s">
        <v>34</v>
      </c>
      <c r="F440" t="s">
        <v>29</v>
      </c>
      <c r="G440" t="s">
        <v>35</v>
      </c>
      <c r="H440" s="17" t="s">
        <v>1696</v>
      </c>
      <c r="J440" t="s">
        <v>39</v>
      </c>
      <c r="L440" t="s">
        <v>51</v>
      </c>
      <c r="M440" t="s">
        <v>495</v>
      </c>
      <c r="N440" t="s">
        <v>260</v>
      </c>
      <c r="O440" t="s">
        <v>1697</v>
      </c>
      <c r="P440" t="s">
        <v>832</v>
      </c>
      <c r="Q440">
        <v>2</v>
      </c>
      <c r="R440" t="s">
        <v>832</v>
      </c>
      <c r="T440">
        <f>39-14</f>
        <v>25</v>
      </c>
      <c r="U440">
        <v>17.5</v>
      </c>
      <c r="V440">
        <v>13.3</v>
      </c>
      <c r="W440">
        <v>27.5</v>
      </c>
      <c r="X440" t="s">
        <v>32</v>
      </c>
      <c r="Y440" t="s">
        <v>64</v>
      </c>
      <c r="Z440" t="s">
        <v>1698</v>
      </c>
      <c r="AA440" t="s">
        <v>1699</v>
      </c>
    </row>
    <row r="441" spans="1:28" x14ac:dyDescent="0.2">
      <c r="A441" s="3">
        <v>42604</v>
      </c>
      <c r="B441">
        <v>303</v>
      </c>
      <c r="C441">
        <v>3</v>
      </c>
      <c r="D441" t="s">
        <v>52</v>
      </c>
      <c r="E441" t="s">
        <v>56</v>
      </c>
      <c r="H441" s="17" t="s">
        <v>1131</v>
      </c>
      <c r="L441" t="s">
        <v>51</v>
      </c>
      <c r="M441" t="s">
        <v>495</v>
      </c>
      <c r="N441" t="s">
        <v>260</v>
      </c>
      <c r="O441" t="s">
        <v>1335</v>
      </c>
      <c r="P441" t="s">
        <v>832</v>
      </c>
      <c r="Q441">
        <v>2</v>
      </c>
      <c r="R441" t="s">
        <v>832</v>
      </c>
      <c r="X441" t="s">
        <v>32</v>
      </c>
      <c r="Y441" t="s">
        <v>64</v>
      </c>
    </row>
    <row r="442" spans="1:28" x14ac:dyDescent="0.2">
      <c r="A442" s="3">
        <v>42604</v>
      </c>
      <c r="B442">
        <v>303</v>
      </c>
      <c r="C442">
        <v>4</v>
      </c>
      <c r="D442" t="s">
        <v>52</v>
      </c>
      <c r="E442" t="s">
        <v>34</v>
      </c>
      <c r="F442" t="s">
        <v>29</v>
      </c>
      <c r="G442" t="s">
        <v>35</v>
      </c>
      <c r="H442" s="17" t="s">
        <v>1700</v>
      </c>
      <c r="J442" t="s">
        <v>39</v>
      </c>
      <c r="L442" t="s">
        <v>51</v>
      </c>
      <c r="M442" t="s">
        <v>495</v>
      </c>
      <c r="N442" t="s">
        <v>260</v>
      </c>
      <c r="O442">
        <v>2</v>
      </c>
      <c r="P442" t="s">
        <v>832</v>
      </c>
      <c r="Q442">
        <v>2</v>
      </c>
      <c r="R442" t="s">
        <v>832</v>
      </c>
      <c r="T442">
        <f>32.5-14</f>
        <v>18.5</v>
      </c>
      <c r="U442">
        <v>18</v>
      </c>
      <c r="V442">
        <v>12.9</v>
      </c>
      <c r="W442">
        <v>26.2</v>
      </c>
      <c r="X442" t="s">
        <v>32</v>
      </c>
      <c r="Y442" t="s">
        <v>64</v>
      </c>
    </row>
    <row r="443" spans="1:28" x14ac:dyDescent="0.2">
      <c r="A443" s="3">
        <v>42604</v>
      </c>
      <c r="B443">
        <v>303</v>
      </c>
      <c r="C443">
        <v>4</v>
      </c>
      <c r="D443" t="s">
        <v>52</v>
      </c>
      <c r="E443" t="s">
        <v>28</v>
      </c>
      <c r="F443" t="s">
        <v>188</v>
      </c>
      <c r="G443" t="s">
        <v>35</v>
      </c>
      <c r="H443" s="17" t="s">
        <v>1130</v>
      </c>
      <c r="J443" t="s">
        <v>63</v>
      </c>
      <c r="L443" t="s">
        <v>51</v>
      </c>
      <c r="M443" t="s">
        <v>495</v>
      </c>
      <c r="N443" t="s">
        <v>260</v>
      </c>
      <c r="O443" t="s">
        <v>1335</v>
      </c>
      <c r="P443" t="s">
        <v>832</v>
      </c>
      <c r="Q443">
        <v>2</v>
      </c>
      <c r="R443" t="s">
        <v>759</v>
      </c>
      <c r="T443">
        <f>30-14.5</f>
        <v>15.5</v>
      </c>
      <c r="U443">
        <v>17</v>
      </c>
      <c r="V443">
        <v>12.6</v>
      </c>
      <c r="W443">
        <v>26.6</v>
      </c>
      <c r="X443" t="s">
        <v>32</v>
      </c>
      <c r="Y443" t="s">
        <v>64</v>
      </c>
    </row>
    <row r="444" spans="1:28" x14ac:dyDescent="0.2">
      <c r="A444" s="3">
        <v>42604</v>
      </c>
      <c r="B444">
        <v>303</v>
      </c>
      <c r="C444">
        <v>6</v>
      </c>
      <c r="D444" t="s">
        <v>52</v>
      </c>
      <c r="E444" t="s">
        <v>34</v>
      </c>
      <c r="F444" t="s">
        <v>29</v>
      </c>
      <c r="G444" t="s">
        <v>35</v>
      </c>
      <c r="H444" s="17" t="s">
        <v>1701</v>
      </c>
      <c r="J444" t="s">
        <v>39</v>
      </c>
      <c r="L444" t="s">
        <v>51</v>
      </c>
      <c r="M444" t="s">
        <v>495</v>
      </c>
      <c r="N444" t="s">
        <v>260</v>
      </c>
      <c r="O444" t="s">
        <v>932</v>
      </c>
      <c r="P444" t="s">
        <v>837</v>
      </c>
      <c r="Q444">
        <v>2</v>
      </c>
      <c r="R444" t="s">
        <v>832</v>
      </c>
      <c r="T444">
        <f>45-16.5</f>
        <v>28.5</v>
      </c>
      <c r="U444">
        <v>17</v>
      </c>
      <c r="V444">
        <v>12.9</v>
      </c>
      <c r="W444">
        <v>27</v>
      </c>
      <c r="X444" t="s">
        <v>32</v>
      </c>
      <c r="Y444" t="s">
        <v>64</v>
      </c>
      <c r="Z444" t="s">
        <v>1702</v>
      </c>
    </row>
    <row r="445" spans="1:28" x14ac:dyDescent="0.2">
      <c r="A445" s="3">
        <v>42604</v>
      </c>
      <c r="B445">
        <v>303</v>
      </c>
      <c r="C445">
        <v>7</v>
      </c>
      <c r="D445" t="s">
        <v>27</v>
      </c>
      <c r="E445" t="s">
        <v>28</v>
      </c>
      <c r="F445" t="s">
        <v>188</v>
      </c>
      <c r="G445" t="s">
        <v>35</v>
      </c>
      <c r="H445" s="17" t="s">
        <v>1134</v>
      </c>
      <c r="I445" s="17" t="s">
        <v>1135</v>
      </c>
      <c r="J445" t="s">
        <v>39</v>
      </c>
      <c r="L445" t="s">
        <v>51</v>
      </c>
      <c r="M445" t="s">
        <v>493</v>
      </c>
      <c r="N445" t="s">
        <v>260</v>
      </c>
      <c r="Q445">
        <v>7</v>
      </c>
      <c r="R445" t="s">
        <v>759</v>
      </c>
      <c r="T445">
        <f>43-24.5</f>
        <v>18.5</v>
      </c>
      <c r="U445">
        <v>19</v>
      </c>
      <c r="V445">
        <v>13</v>
      </c>
      <c r="W445">
        <v>27.4</v>
      </c>
      <c r="X445" t="s">
        <v>32</v>
      </c>
      <c r="Y445" t="s">
        <v>64</v>
      </c>
    </row>
    <row r="446" spans="1:28" x14ac:dyDescent="0.2">
      <c r="A446" s="3">
        <v>42604</v>
      </c>
      <c r="B446">
        <v>303</v>
      </c>
      <c r="C446">
        <v>9</v>
      </c>
      <c r="D446" t="s">
        <v>52</v>
      </c>
      <c r="E446" t="s">
        <v>28</v>
      </c>
      <c r="F446" t="s">
        <v>29</v>
      </c>
      <c r="G446" t="s">
        <v>30</v>
      </c>
      <c r="H446" s="17" t="s">
        <v>1136</v>
      </c>
      <c r="J446" t="s">
        <v>251</v>
      </c>
      <c r="L446" t="s">
        <v>51</v>
      </c>
      <c r="M446" t="s">
        <v>495</v>
      </c>
      <c r="N446" t="s">
        <v>260</v>
      </c>
      <c r="O446" t="s">
        <v>1335</v>
      </c>
      <c r="P446" t="s">
        <v>832</v>
      </c>
      <c r="Q446">
        <v>2</v>
      </c>
      <c r="R446" t="s">
        <v>832</v>
      </c>
      <c r="T446">
        <f>39-15</f>
        <v>24</v>
      </c>
      <c r="U446">
        <v>17</v>
      </c>
      <c r="V446">
        <v>13</v>
      </c>
      <c r="W446">
        <v>28.4</v>
      </c>
      <c r="X446" t="s">
        <v>32</v>
      </c>
      <c r="Y446" t="s">
        <v>64</v>
      </c>
    </row>
    <row r="447" spans="1:28" x14ac:dyDescent="0.2">
      <c r="A447" s="3">
        <v>42604</v>
      </c>
      <c r="B447">
        <v>303</v>
      </c>
      <c r="C447">
        <v>10</v>
      </c>
      <c r="D447" t="s">
        <v>52</v>
      </c>
      <c r="E447" t="s">
        <v>34</v>
      </c>
      <c r="F447" t="s">
        <v>29</v>
      </c>
      <c r="G447" t="s">
        <v>35</v>
      </c>
      <c r="I447" s="17" t="s">
        <v>1703</v>
      </c>
      <c r="J447" t="s">
        <v>39</v>
      </c>
      <c r="L447" t="s">
        <v>51</v>
      </c>
      <c r="M447" t="s">
        <v>495</v>
      </c>
      <c r="N447" t="s">
        <v>260</v>
      </c>
      <c r="O447" t="s">
        <v>1008</v>
      </c>
      <c r="P447" t="s">
        <v>832</v>
      </c>
      <c r="Q447">
        <v>2</v>
      </c>
      <c r="R447" t="s">
        <v>832</v>
      </c>
      <c r="U447">
        <v>17</v>
      </c>
      <c r="V447">
        <v>13</v>
      </c>
      <c r="W447">
        <v>26.4</v>
      </c>
      <c r="X447" t="s">
        <v>32</v>
      </c>
      <c r="Y447" t="s">
        <v>64</v>
      </c>
      <c r="Z447" t="s">
        <v>1705</v>
      </c>
      <c r="AB447" t="s">
        <v>1706</v>
      </c>
    </row>
    <row r="448" spans="1:28" x14ac:dyDescent="0.2">
      <c r="A448" s="3">
        <v>42604</v>
      </c>
      <c r="B448">
        <v>401</v>
      </c>
      <c r="C448">
        <v>1</v>
      </c>
      <c r="D448" t="s">
        <v>52</v>
      </c>
      <c r="E448" t="s">
        <v>28</v>
      </c>
      <c r="F448" t="s">
        <v>29</v>
      </c>
      <c r="G448" t="s">
        <v>30</v>
      </c>
      <c r="H448" s="17" t="s">
        <v>1257</v>
      </c>
      <c r="J448" t="s">
        <v>75</v>
      </c>
      <c r="L448" t="s">
        <v>51</v>
      </c>
      <c r="M448" t="s">
        <v>495</v>
      </c>
      <c r="N448" t="s">
        <v>260</v>
      </c>
      <c r="O448" t="s">
        <v>1334</v>
      </c>
      <c r="P448" t="s">
        <v>837</v>
      </c>
      <c r="Q448" t="s">
        <v>841</v>
      </c>
      <c r="R448" t="s">
        <v>759</v>
      </c>
      <c r="T448">
        <f>40-15</f>
        <v>25</v>
      </c>
      <c r="U448">
        <v>16</v>
      </c>
      <c r="V448">
        <v>13</v>
      </c>
      <c r="W448">
        <v>28</v>
      </c>
      <c r="X448" t="s">
        <v>32</v>
      </c>
      <c r="Y448" t="s">
        <v>64</v>
      </c>
    </row>
    <row r="449" spans="1:26" x14ac:dyDescent="0.2">
      <c r="A449" s="3">
        <v>42604</v>
      </c>
      <c r="B449">
        <v>401</v>
      </c>
      <c r="C449">
        <v>3</v>
      </c>
      <c r="D449" t="s">
        <v>27</v>
      </c>
      <c r="E449" t="s">
        <v>28</v>
      </c>
      <c r="F449" t="s">
        <v>29</v>
      </c>
      <c r="G449" t="s">
        <v>35</v>
      </c>
      <c r="H449" s="17" t="s">
        <v>1282</v>
      </c>
      <c r="I449" s="17" t="s">
        <v>1283</v>
      </c>
      <c r="J449" t="s">
        <v>63</v>
      </c>
      <c r="L449" t="s">
        <v>51</v>
      </c>
      <c r="M449" t="s">
        <v>495</v>
      </c>
      <c r="N449" t="s">
        <v>260</v>
      </c>
      <c r="O449">
        <v>6</v>
      </c>
      <c r="P449" t="s">
        <v>759</v>
      </c>
      <c r="Q449">
        <v>6</v>
      </c>
      <c r="R449" t="s">
        <v>759</v>
      </c>
      <c r="T449">
        <f>32-15</f>
        <v>17</v>
      </c>
      <c r="U449">
        <v>18</v>
      </c>
      <c r="V449">
        <v>13</v>
      </c>
      <c r="W449">
        <v>26.9</v>
      </c>
      <c r="X449" t="s">
        <v>32</v>
      </c>
      <c r="Y449" t="s">
        <v>64</v>
      </c>
    </row>
    <row r="450" spans="1:26" x14ac:dyDescent="0.2">
      <c r="A450" s="3">
        <v>42604</v>
      </c>
      <c r="B450">
        <v>401</v>
      </c>
      <c r="C450">
        <v>10</v>
      </c>
      <c r="D450" t="s">
        <v>142</v>
      </c>
      <c r="E450" t="s">
        <v>34</v>
      </c>
      <c r="F450" t="s">
        <v>29</v>
      </c>
      <c r="G450" t="s">
        <v>30</v>
      </c>
      <c r="H450" s="17" t="s">
        <v>1710</v>
      </c>
      <c r="J450" t="s">
        <v>31</v>
      </c>
      <c r="L450" t="s">
        <v>51</v>
      </c>
      <c r="M450" t="s">
        <v>495</v>
      </c>
      <c r="N450" t="s">
        <v>260</v>
      </c>
      <c r="O450">
        <v>1</v>
      </c>
      <c r="P450" t="s">
        <v>759</v>
      </c>
      <c r="Q450">
        <v>1</v>
      </c>
      <c r="R450" t="s">
        <v>759</v>
      </c>
      <c r="T450">
        <f>37-17.5</f>
        <v>19.5</v>
      </c>
      <c r="U450">
        <v>29</v>
      </c>
      <c r="V450">
        <v>13.1</v>
      </c>
      <c r="W450">
        <v>25.5</v>
      </c>
      <c r="X450" t="s">
        <v>32</v>
      </c>
      <c r="Y450" t="s">
        <v>64</v>
      </c>
    </row>
    <row r="451" spans="1:26" x14ac:dyDescent="0.2">
      <c r="A451" s="3">
        <v>42604</v>
      </c>
      <c r="B451">
        <v>401</v>
      </c>
      <c r="C451">
        <v>10</v>
      </c>
      <c r="D451" t="s">
        <v>52</v>
      </c>
      <c r="E451" t="s">
        <v>34</v>
      </c>
      <c r="F451" t="s">
        <v>29</v>
      </c>
      <c r="G451" t="s">
        <v>35</v>
      </c>
      <c r="H451" s="17" t="s">
        <v>1712</v>
      </c>
      <c r="J451" t="s">
        <v>63</v>
      </c>
      <c r="L451" t="s">
        <v>51</v>
      </c>
      <c r="M451" t="s">
        <v>495</v>
      </c>
      <c r="N451" t="s">
        <v>260</v>
      </c>
      <c r="O451">
        <v>2</v>
      </c>
      <c r="P451" t="s">
        <v>832</v>
      </c>
      <c r="Q451">
        <v>2</v>
      </c>
      <c r="R451" t="s">
        <v>832</v>
      </c>
      <c r="T451">
        <f>40-20.5</f>
        <v>19.5</v>
      </c>
      <c r="U451">
        <v>16.5</v>
      </c>
      <c r="V451">
        <v>12.9</v>
      </c>
      <c r="W451">
        <v>26</v>
      </c>
      <c r="X451" t="s">
        <v>145</v>
      </c>
      <c r="Y451" t="s">
        <v>64</v>
      </c>
    </row>
    <row r="452" spans="1:26" x14ac:dyDescent="0.2">
      <c r="A452" s="3">
        <v>42604</v>
      </c>
      <c r="B452">
        <v>703</v>
      </c>
      <c r="C452">
        <v>2</v>
      </c>
      <c r="D452" t="s">
        <v>52</v>
      </c>
      <c r="E452" t="s">
        <v>28</v>
      </c>
      <c r="F452" t="s">
        <v>29</v>
      </c>
      <c r="G452" t="s">
        <v>35</v>
      </c>
      <c r="I452" s="17" t="s">
        <v>1393</v>
      </c>
      <c r="J452" t="s">
        <v>63</v>
      </c>
      <c r="L452" t="s">
        <v>51</v>
      </c>
      <c r="M452" t="s">
        <v>495</v>
      </c>
      <c r="N452" t="s">
        <v>260</v>
      </c>
      <c r="O452">
        <v>1</v>
      </c>
      <c r="P452" t="s">
        <v>759</v>
      </c>
      <c r="Q452" t="s">
        <v>844</v>
      </c>
      <c r="R452" t="s">
        <v>759</v>
      </c>
      <c r="T452">
        <f>31-13</f>
        <v>18</v>
      </c>
      <c r="U452">
        <v>16</v>
      </c>
      <c r="V452">
        <v>12.5</v>
      </c>
      <c r="W452">
        <v>23.6</v>
      </c>
      <c r="X452" t="s">
        <v>32</v>
      </c>
      <c r="Y452" t="s">
        <v>24</v>
      </c>
    </row>
    <row r="453" spans="1:26" x14ac:dyDescent="0.2">
      <c r="A453" s="3">
        <v>42604</v>
      </c>
      <c r="B453">
        <v>703</v>
      </c>
      <c r="C453">
        <v>3</v>
      </c>
      <c r="D453" t="s">
        <v>52</v>
      </c>
      <c r="E453" t="s">
        <v>28</v>
      </c>
      <c r="F453" t="s">
        <v>29</v>
      </c>
      <c r="G453" t="s">
        <v>30</v>
      </c>
      <c r="H453" s="17" t="s">
        <v>1473</v>
      </c>
      <c r="J453" t="s">
        <v>31</v>
      </c>
      <c r="L453" t="s">
        <v>51</v>
      </c>
      <c r="M453" t="s">
        <v>495</v>
      </c>
      <c r="N453" t="s">
        <v>260</v>
      </c>
      <c r="O453">
        <v>2</v>
      </c>
      <c r="P453" t="s">
        <v>759</v>
      </c>
      <c r="Q453">
        <v>1</v>
      </c>
      <c r="R453" t="s">
        <v>759</v>
      </c>
      <c r="T453">
        <f>33-12.5</f>
        <v>20.5</v>
      </c>
      <c r="U453">
        <v>17</v>
      </c>
      <c r="V453">
        <v>12.7</v>
      </c>
      <c r="W453">
        <v>27.1</v>
      </c>
      <c r="X453" t="s">
        <v>32</v>
      </c>
      <c r="Y453" t="s">
        <v>24</v>
      </c>
    </row>
    <row r="454" spans="1:26" x14ac:dyDescent="0.2">
      <c r="A454" s="3">
        <v>42604</v>
      </c>
      <c r="B454">
        <v>703</v>
      </c>
      <c r="C454">
        <v>3</v>
      </c>
      <c r="D454" t="s">
        <v>27</v>
      </c>
      <c r="E454" t="s">
        <v>28</v>
      </c>
      <c r="F454" t="s">
        <v>188</v>
      </c>
      <c r="G454" t="s">
        <v>30</v>
      </c>
      <c r="H454" s="17" t="s">
        <v>1388</v>
      </c>
      <c r="I454" s="17" t="s">
        <v>1389</v>
      </c>
      <c r="J454" t="s">
        <v>31</v>
      </c>
      <c r="L454" t="s">
        <v>51</v>
      </c>
      <c r="M454" t="s">
        <v>495</v>
      </c>
      <c r="N454" t="s">
        <v>260</v>
      </c>
      <c r="O454">
        <v>6</v>
      </c>
      <c r="P454" t="s">
        <v>759</v>
      </c>
      <c r="Q454">
        <v>6</v>
      </c>
      <c r="R454" t="s">
        <v>759</v>
      </c>
      <c r="T454">
        <f>27-12.5</f>
        <v>14.5</v>
      </c>
      <c r="U454">
        <v>19</v>
      </c>
      <c r="V454">
        <v>12.7</v>
      </c>
      <c r="W454">
        <v>26</v>
      </c>
      <c r="X454" t="s">
        <v>32</v>
      </c>
      <c r="Y454" t="s">
        <v>24</v>
      </c>
    </row>
    <row r="455" spans="1:26" x14ac:dyDescent="0.2">
      <c r="A455" s="3">
        <v>42604</v>
      </c>
      <c r="B455">
        <v>703</v>
      </c>
      <c r="C455">
        <v>7</v>
      </c>
      <c r="D455" t="s">
        <v>52</v>
      </c>
      <c r="E455" t="s">
        <v>28</v>
      </c>
      <c r="F455" t="s">
        <v>29</v>
      </c>
      <c r="G455" t="s">
        <v>30</v>
      </c>
      <c r="H455" s="17" t="s">
        <v>1343</v>
      </c>
      <c r="J455" t="s">
        <v>31</v>
      </c>
      <c r="L455" t="s">
        <v>51</v>
      </c>
      <c r="M455" t="s">
        <v>494</v>
      </c>
      <c r="N455" t="s">
        <v>260</v>
      </c>
      <c r="O455">
        <v>7</v>
      </c>
      <c r="P455" t="s">
        <v>759</v>
      </c>
      <c r="T455">
        <f>32.5-13</f>
        <v>19.5</v>
      </c>
      <c r="U455">
        <v>17</v>
      </c>
      <c r="V455">
        <v>12.5</v>
      </c>
      <c r="W455">
        <v>25</v>
      </c>
      <c r="X455" t="s">
        <v>32</v>
      </c>
      <c r="Y455" t="s">
        <v>24</v>
      </c>
    </row>
    <row r="456" spans="1:26" x14ac:dyDescent="0.2">
      <c r="A456" s="3">
        <v>42604</v>
      </c>
      <c r="B456">
        <v>703</v>
      </c>
      <c r="C456">
        <v>8</v>
      </c>
      <c r="D456" t="s">
        <v>52</v>
      </c>
      <c r="E456" t="s">
        <v>34</v>
      </c>
      <c r="F456" t="s">
        <v>188</v>
      </c>
      <c r="G456" t="s">
        <v>30</v>
      </c>
      <c r="H456" s="17" t="s">
        <v>1869</v>
      </c>
      <c r="J456" t="s">
        <v>31</v>
      </c>
      <c r="L456" t="s">
        <v>51</v>
      </c>
      <c r="M456" t="s">
        <v>495</v>
      </c>
      <c r="N456" t="s">
        <v>260</v>
      </c>
      <c r="O456" t="s">
        <v>844</v>
      </c>
      <c r="P456" t="s">
        <v>759</v>
      </c>
      <c r="Q456" t="s">
        <v>844</v>
      </c>
      <c r="R456" t="s">
        <v>759</v>
      </c>
      <c r="T456">
        <f>28.5-13</f>
        <v>15.5</v>
      </c>
      <c r="U456">
        <v>19</v>
      </c>
      <c r="V456">
        <v>12.75</v>
      </c>
      <c r="W456">
        <v>26.5</v>
      </c>
      <c r="X456" t="s">
        <v>32</v>
      </c>
      <c r="Y456" t="s">
        <v>24</v>
      </c>
    </row>
    <row r="457" spans="1:26" x14ac:dyDescent="0.2">
      <c r="A457" s="3">
        <v>42604</v>
      </c>
      <c r="B457">
        <v>703</v>
      </c>
      <c r="C457">
        <v>8</v>
      </c>
      <c r="D457" t="s">
        <v>52</v>
      </c>
      <c r="E457" t="s">
        <v>28</v>
      </c>
      <c r="F457" t="s">
        <v>188</v>
      </c>
      <c r="G457" t="s">
        <v>30</v>
      </c>
      <c r="H457" s="17" t="s">
        <v>1396</v>
      </c>
      <c r="J457" t="s">
        <v>31</v>
      </c>
      <c r="L457" t="s">
        <v>51</v>
      </c>
      <c r="M457" t="s">
        <v>495</v>
      </c>
      <c r="N457" t="s">
        <v>260</v>
      </c>
      <c r="O457">
        <v>6</v>
      </c>
      <c r="P457" t="s">
        <v>759</v>
      </c>
      <c r="Q457" t="s">
        <v>844</v>
      </c>
      <c r="R457" t="s">
        <v>759</v>
      </c>
      <c r="T457">
        <f>28-13</f>
        <v>15</v>
      </c>
      <c r="U457">
        <v>16</v>
      </c>
      <c r="V457">
        <v>12.8</v>
      </c>
      <c r="W457">
        <v>24.2</v>
      </c>
      <c r="X457" t="s">
        <v>32</v>
      </c>
      <c r="Y457" t="s">
        <v>24</v>
      </c>
    </row>
    <row r="458" spans="1:26" x14ac:dyDescent="0.2">
      <c r="A458" s="3">
        <v>42604</v>
      </c>
      <c r="B458">
        <v>701</v>
      </c>
      <c r="C458">
        <v>3</v>
      </c>
      <c r="D458" t="s">
        <v>27</v>
      </c>
      <c r="E458" t="s">
        <v>28</v>
      </c>
      <c r="F458" t="s">
        <v>188</v>
      </c>
      <c r="G458" t="s">
        <v>35</v>
      </c>
      <c r="H458" s="17" t="s">
        <v>1358</v>
      </c>
      <c r="I458" s="17" t="s">
        <v>1359</v>
      </c>
      <c r="J458" t="s">
        <v>63</v>
      </c>
      <c r="L458" t="s">
        <v>51</v>
      </c>
      <c r="M458" t="s">
        <v>493</v>
      </c>
      <c r="N458" t="s">
        <v>260</v>
      </c>
      <c r="Q458">
        <v>6</v>
      </c>
      <c r="R458" t="s">
        <v>759</v>
      </c>
      <c r="T458">
        <f>30-13</f>
        <v>17</v>
      </c>
      <c r="U458">
        <v>18</v>
      </c>
      <c r="V458">
        <v>12.8</v>
      </c>
      <c r="W458">
        <v>25.2</v>
      </c>
      <c r="X458" t="s">
        <v>32</v>
      </c>
      <c r="Y458" t="s">
        <v>24</v>
      </c>
    </row>
    <row r="459" spans="1:26" x14ac:dyDescent="0.2">
      <c r="A459" s="3">
        <v>42604</v>
      </c>
      <c r="B459">
        <v>701</v>
      </c>
      <c r="C459">
        <v>5</v>
      </c>
      <c r="D459" t="s">
        <v>27</v>
      </c>
      <c r="E459" t="s">
        <v>28</v>
      </c>
      <c r="F459" t="s">
        <v>188</v>
      </c>
      <c r="G459" t="s">
        <v>35</v>
      </c>
      <c r="H459" s="17" t="s">
        <v>1365</v>
      </c>
      <c r="I459" s="17" t="s">
        <v>1366</v>
      </c>
      <c r="J459" t="s">
        <v>63</v>
      </c>
      <c r="L459" t="s">
        <v>51</v>
      </c>
      <c r="M459" t="s">
        <v>493</v>
      </c>
      <c r="N459" t="s">
        <v>260</v>
      </c>
      <c r="Q459">
        <v>6</v>
      </c>
      <c r="R459" t="s">
        <v>759</v>
      </c>
      <c r="T459">
        <f>33-15</f>
        <v>18</v>
      </c>
      <c r="U459">
        <v>19</v>
      </c>
      <c r="V459">
        <v>13.1</v>
      </c>
      <c r="W459">
        <v>28.2</v>
      </c>
      <c r="X459" t="s">
        <v>32</v>
      </c>
      <c r="Y459" t="s">
        <v>24</v>
      </c>
    </row>
    <row r="460" spans="1:26" x14ac:dyDescent="0.2">
      <c r="A460" s="3">
        <v>42604</v>
      </c>
      <c r="B460">
        <v>701</v>
      </c>
      <c r="C460">
        <v>6</v>
      </c>
      <c r="D460" t="s">
        <v>27</v>
      </c>
      <c r="E460" t="s">
        <v>28</v>
      </c>
      <c r="F460" t="s">
        <v>29</v>
      </c>
      <c r="G460" t="s">
        <v>30</v>
      </c>
      <c r="H460" s="17" t="s">
        <v>1363</v>
      </c>
      <c r="I460" s="17" t="s">
        <v>1364</v>
      </c>
      <c r="J460" t="s">
        <v>31</v>
      </c>
      <c r="L460" t="s">
        <v>51</v>
      </c>
      <c r="M460" t="s">
        <v>495</v>
      </c>
      <c r="N460" t="s">
        <v>260</v>
      </c>
      <c r="O460">
        <v>6</v>
      </c>
      <c r="P460" t="s">
        <v>759</v>
      </c>
      <c r="Q460">
        <v>6</v>
      </c>
      <c r="R460" t="s">
        <v>759</v>
      </c>
      <c r="T460">
        <f>36-15.5</f>
        <v>20.5</v>
      </c>
      <c r="U460">
        <v>18</v>
      </c>
      <c r="V460">
        <v>13</v>
      </c>
      <c r="W460">
        <v>26.4</v>
      </c>
      <c r="X460" t="s">
        <v>32</v>
      </c>
      <c r="Y460" t="s">
        <v>24</v>
      </c>
    </row>
    <row r="461" spans="1:26" x14ac:dyDescent="0.2">
      <c r="A461" s="3">
        <v>42604</v>
      </c>
      <c r="B461">
        <v>701</v>
      </c>
      <c r="C461">
        <v>6</v>
      </c>
      <c r="D461" t="s">
        <v>27</v>
      </c>
      <c r="E461" t="s">
        <v>28</v>
      </c>
      <c r="F461" t="s">
        <v>188</v>
      </c>
      <c r="G461" t="s">
        <v>35</v>
      </c>
      <c r="H461" s="17" t="s">
        <v>1425</v>
      </c>
      <c r="I461" s="17" t="s">
        <v>1426</v>
      </c>
      <c r="J461" t="s">
        <v>63</v>
      </c>
      <c r="L461" t="s">
        <v>51</v>
      </c>
      <c r="M461" t="s">
        <v>493</v>
      </c>
      <c r="N461" t="s">
        <v>32</v>
      </c>
      <c r="Q461">
        <v>1</v>
      </c>
      <c r="R461" t="s">
        <v>759</v>
      </c>
      <c r="T461">
        <f>30.5-15</f>
        <v>15.5</v>
      </c>
      <c r="U461">
        <v>19</v>
      </c>
      <c r="V461">
        <v>12.6</v>
      </c>
      <c r="W461">
        <v>25.3</v>
      </c>
      <c r="X461" t="s">
        <v>32</v>
      </c>
      <c r="Y461" t="s">
        <v>24</v>
      </c>
    </row>
    <row r="462" spans="1:26" x14ac:dyDescent="0.2">
      <c r="A462" s="3">
        <v>42604</v>
      </c>
      <c r="B462">
        <v>701</v>
      </c>
      <c r="C462">
        <v>8</v>
      </c>
      <c r="D462" t="s">
        <v>142</v>
      </c>
      <c r="E462" t="s">
        <v>34</v>
      </c>
      <c r="F462" t="s">
        <v>29</v>
      </c>
      <c r="G462" t="s">
        <v>30</v>
      </c>
      <c r="H462" s="17" t="s">
        <v>1875</v>
      </c>
      <c r="J462" t="s">
        <v>31</v>
      </c>
      <c r="L462" t="s">
        <v>51</v>
      </c>
      <c r="M462" t="s">
        <v>494</v>
      </c>
      <c r="N462" t="s">
        <v>260</v>
      </c>
      <c r="O462" t="s">
        <v>1357</v>
      </c>
      <c r="P462" t="s">
        <v>759</v>
      </c>
      <c r="T462">
        <f>37-16.5</f>
        <v>20.5</v>
      </c>
      <c r="U462">
        <v>28.5</v>
      </c>
      <c r="V462">
        <v>12.4</v>
      </c>
      <c r="W462">
        <v>24.3</v>
      </c>
      <c r="X462" t="s">
        <v>32</v>
      </c>
      <c r="Y462" t="s">
        <v>24</v>
      </c>
    </row>
    <row r="463" spans="1:26" x14ac:dyDescent="0.2">
      <c r="A463" s="3">
        <v>42604</v>
      </c>
      <c r="B463">
        <v>701</v>
      </c>
      <c r="C463">
        <v>9</v>
      </c>
      <c r="D463" t="s">
        <v>27</v>
      </c>
      <c r="E463" t="s">
        <v>28</v>
      </c>
      <c r="F463" t="s">
        <v>188</v>
      </c>
      <c r="G463" t="s">
        <v>35</v>
      </c>
      <c r="H463" s="17" t="s">
        <v>1369</v>
      </c>
      <c r="I463" s="17" t="s">
        <v>1370</v>
      </c>
      <c r="J463" t="s">
        <v>63</v>
      </c>
      <c r="L463" t="s">
        <v>51</v>
      </c>
      <c r="M463" t="s">
        <v>494</v>
      </c>
      <c r="N463" t="s">
        <v>260</v>
      </c>
      <c r="O463">
        <v>6</v>
      </c>
      <c r="P463" t="s">
        <v>759</v>
      </c>
      <c r="T463">
        <f>34-16</f>
        <v>18</v>
      </c>
      <c r="U463">
        <v>19</v>
      </c>
      <c r="V463">
        <v>13.1</v>
      </c>
      <c r="W463">
        <v>26.6</v>
      </c>
      <c r="X463" t="s">
        <v>32</v>
      </c>
      <c r="Y463" t="s">
        <v>24</v>
      </c>
    </row>
    <row r="464" spans="1:26" x14ac:dyDescent="0.2">
      <c r="A464" s="3">
        <v>42604</v>
      </c>
      <c r="B464">
        <v>801</v>
      </c>
      <c r="C464">
        <v>6</v>
      </c>
      <c r="D464" t="s">
        <v>52</v>
      </c>
      <c r="E464" t="s">
        <v>28</v>
      </c>
      <c r="F464" t="s">
        <v>188</v>
      </c>
      <c r="G464" t="s">
        <v>30</v>
      </c>
      <c r="H464" s="17" t="s">
        <v>1372</v>
      </c>
      <c r="J464" t="s">
        <v>31</v>
      </c>
      <c r="L464" t="s">
        <v>51</v>
      </c>
      <c r="M464" t="s">
        <v>495</v>
      </c>
      <c r="N464" t="s">
        <v>260</v>
      </c>
      <c r="P464" t="s">
        <v>759</v>
      </c>
      <c r="R464" t="s">
        <v>759</v>
      </c>
      <c r="T464">
        <f>36-18</f>
        <v>18</v>
      </c>
      <c r="U464">
        <v>17</v>
      </c>
      <c r="V464">
        <v>12.95</v>
      </c>
      <c r="W464">
        <v>26.9</v>
      </c>
      <c r="X464" t="s">
        <v>32</v>
      </c>
      <c r="Y464" t="s">
        <v>24</v>
      </c>
      <c r="Z464" t="s">
        <v>1883</v>
      </c>
    </row>
    <row r="465" spans="1:26" x14ac:dyDescent="0.2">
      <c r="A465" s="3">
        <v>42604</v>
      </c>
      <c r="B465">
        <v>803</v>
      </c>
      <c r="C465">
        <v>9</v>
      </c>
      <c r="D465" t="s">
        <v>142</v>
      </c>
      <c r="E465" t="s">
        <v>28</v>
      </c>
      <c r="F465" t="s">
        <v>29</v>
      </c>
      <c r="G465" t="s">
        <v>30</v>
      </c>
      <c r="H465" s="17" t="s">
        <v>1380</v>
      </c>
      <c r="J465" t="s">
        <v>31</v>
      </c>
      <c r="L465" t="s">
        <v>51</v>
      </c>
      <c r="M465" t="s">
        <v>495</v>
      </c>
      <c r="N465" t="s">
        <v>260</v>
      </c>
      <c r="O465">
        <v>5</v>
      </c>
      <c r="P465" t="s">
        <v>759</v>
      </c>
      <c r="Q465">
        <v>5</v>
      </c>
      <c r="R465" t="s">
        <v>759</v>
      </c>
      <c r="T465">
        <f>38-14</f>
        <v>24</v>
      </c>
      <c r="U465">
        <v>29</v>
      </c>
      <c r="V465">
        <v>13.1</v>
      </c>
      <c r="W465">
        <v>25.8</v>
      </c>
      <c r="X465" t="s">
        <v>32</v>
      </c>
      <c r="Y465" t="s">
        <v>24</v>
      </c>
      <c r="Z465" t="s">
        <v>1879</v>
      </c>
    </row>
    <row r="466" spans="1:26" x14ac:dyDescent="0.2">
      <c r="A466" s="3">
        <v>42604</v>
      </c>
      <c r="B466">
        <v>803</v>
      </c>
      <c r="C466">
        <v>1</v>
      </c>
      <c r="D466" t="s">
        <v>52</v>
      </c>
      <c r="E466" t="s">
        <v>34</v>
      </c>
      <c r="F466" t="s">
        <v>29</v>
      </c>
      <c r="G466" t="s">
        <v>35</v>
      </c>
      <c r="H466" s="17" t="s">
        <v>1888</v>
      </c>
      <c r="J466" t="s">
        <v>63</v>
      </c>
      <c r="L466" t="s">
        <v>51</v>
      </c>
      <c r="M466" t="s">
        <v>495</v>
      </c>
      <c r="N466" t="s">
        <v>260</v>
      </c>
      <c r="O466">
        <v>1</v>
      </c>
      <c r="P466" t="s">
        <v>759</v>
      </c>
      <c r="Q466" t="s">
        <v>844</v>
      </c>
      <c r="R466" t="s">
        <v>759</v>
      </c>
      <c r="T466">
        <f>41-13.5</f>
        <v>27.5</v>
      </c>
      <c r="U466">
        <v>17</v>
      </c>
      <c r="V466">
        <v>13.2</v>
      </c>
      <c r="W466">
        <v>26.5</v>
      </c>
      <c r="X466" t="s">
        <v>32</v>
      </c>
      <c r="Y466" t="s">
        <v>24</v>
      </c>
      <c r="Z466" t="s">
        <v>1893</v>
      </c>
    </row>
    <row r="467" spans="1:26" x14ac:dyDescent="0.2">
      <c r="A467" s="3">
        <v>42604</v>
      </c>
      <c r="B467">
        <v>901</v>
      </c>
      <c r="C467">
        <v>3</v>
      </c>
      <c r="D467" t="s">
        <v>27</v>
      </c>
      <c r="E467" t="s">
        <v>34</v>
      </c>
      <c r="F467" t="s">
        <v>188</v>
      </c>
      <c r="G467" t="s">
        <v>35</v>
      </c>
      <c r="H467" s="17" t="s">
        <v>1890</v>
      </c>
      <c r="I467" s="17" t="s">
        <v>1891</v>
      </c>
      <c r="J467" t="s">
        <v>63</v>
      </c>
      <c r="L467" t="s">
        <v>51</v>
      </c>
      <c r="M467" t="s">
        <v>493</v>
      </c>
      <c r="N467" t="s">
        <v>260</v>
      </c>
      <c r="Q467">
        <v>7</v>
      </c>
      <c r="R467" t="s">
        <v>759</v>
      </c>
      <c r="T467">
        <v>15</v>
      </c>
      <c r="U467">
        <v>20</v>
      </c>
      <c r="V467">
        <v>13.2</v>
      </c>
      <c r="W467">
        <v>24.9</v>
      </c>
      <c r="X467" t="s">
        <v>32</v>
      </c>
      <c r="Y467" t="s">
        <v>24</v>
      </c>
      <c r="Z467" t="s">
        <v>1892</v>
      </c>
    </row>
    <row r="468" spans="1:26" x14ac:dyDescent="0.2">
      <c r="A468" s="3">
        <v>42605</v>
      </c>
      <c r="B468">
        <v>703</v>
      </c>
      <c r="C468">
        <v>2</v>
      </c>
      <c r="D468" t="s">
        <v>52</v>
      </c>
      <c r="E468" t="s">
        <v>34</v>
      </c>
      <c r="F468" t="s">
        <v>123</v>
      </c>
      <c r="G468" t="s">
        <v>30</v>
      </c>
      <c r="H468" s="17" t="s">
        <v>1896</v>
      </c>
      <c r="J468" t="s">
        <v>31</v>
      </c>
      <c r="L468" t="s">
        <v>51</v>
      </c>
      <c r="M468" t="s">
        <v>495</v>
      </c>
      <c r="N468" t="s">
        <v>260</v>
      </c>
      <c r="O468">
        <v>2</v>
      </c>
      <c r="P468" t="s">
        <v>759</v>
      </c>
      <c r="Q468" t="s">
        <v>844</v>
      </c>
      <c r="R468" t="s">
        <v>759</v>
      </c>
      <c r="T468">
        <f>28.5-13</f>
        <v>15.5</v>
      </c>
      <c r="U468">
        <v>16</v>
      </c>
      <c r="V468">
        <v>12.7</v>
      </c>
      <c r="W468">
        <v>26.4</v>
      </c>
      <c r="X468" t="s">
        <v>32</v>
      </c>
      <c r="Y468" t="s">
        <v>24</v>
      </c>
    </row>
    <row r="469" spans="1:26" x14ac:dyDescent="0.2">
      <c r="A469" s="3">
        <v>42605</v>
      </c>
      <c r="B469">
        <v>703</v>
      </c>
      <c r="C469">
        <v>2</v>
      </c>
      <c r="D469" t="s">
        <v>52</v>
      </c>
      <c r="E469" t="s">
        <v>28</v>
      </c>
      <c r="F469" t="s">
        <v>29</v>
      </c>
      <c r="G469" t="s">
        <v>30</v>
      </c>
      <c r="H469" s="17" t="s">
        <v>1473</v>
      </c>
      <c r="J469" t="s">
        <v>31</v>
      </c>
      <c r="L469" t="s">
        <v>51</v>
      </c>
      <c r="M469" t="s">
        <v>495</v>
      </c>
      <c r="N469" t="s">
        <v>260</v>
      </c>
      <c r="O469">
        <v>1</v>
      </c>
      <c r="P469" t="s">
        <v>759</v>
      </c>
      <c r="Q469">
        <v>1</v>
      </c>
      <c r="R469" t="s">
        <v>759</v>
      </c>
      <c r="T469">
        <f>34-13</f>
        <v>21</v>
      </c>
      <c r="U469">
        <v>17</v>
      </c>
      <c r="V469">
        <v>12.7</v>
      </c>
      <c r="W469">
        <v>26.6</v>
      </c>
      <c r="X469" t="s">
        <v>32</v>
      </c>
      <c r="Y469" t="s">
        <v>24</v>
      </c>
    </row>
    <row r="470" spans="1:26" x14ac:dyDescent="0.2">
      <c r="A470" s="3">
        <v>42605</v>
      </c>
      <c r="B470">
        <v>703</v>
      </c>
      <c r="C470">
        <v>7</v>
      </c>
      <c r="D470" t="s">
        <v>52</v>
      </c>
      <c r="E470" t="s">
        <v>28</v>
      </c>
      <c r="F470" t="s">
        <v>188</v>
      </c>
      <c r="G470" t="s">
        <v>30</v>
      </c>
      <c r="H470" s="17" t="s">
        <v>1869</v>
      </c>
      <c r="J470" t="s">
        <v>31</v>
      </c>
      <c r="L470" t="s">
        <v>51</v>
      </c>
      <c r="M470" t="s">
        <v>495</v>
      </c>
      <c r="N470" t="s">
        <v>260</v>
      </c>
      <c r="O470">
        <v>1</v>
      </c>
      <c r="P470" t="s">
        <v>759</v>
      </c>
      <c r="Q470">
        <v>1</v>
      </c>
      <c r="R470" t="s">
        <v>759</v>
      </c>
      <c r="T470">
        <f>30-12.5</f>
        <v>17.5</v>
      </c>
      <c r="U470">
        <v>18</v>
      </c>
      <c r="V470">
        <v>12.9</v>
      </c>
      <c r="W470">
        <v>26.7</v>
      </c>
      <c r="X470" t="s">
        <v>32</v>
      </c>
      <c r="Y470" t="s">
        <v>24</v>
      </c>
    </row>
    <row r="471" spans="1:26" x14ac:dyDescent="0.2">
      <c r="A471" s="3">
        <v>42605</v>
      </c>
      <c r="B471">
        <v>703</v>
      </c>
      <c r="C471">
        <v>8</v>
      </c>
      <c r="D471" t="s">
        <v>27</v>
      </c>
      <c r="E471" t="s">
        <v>28</v>
      </c>
      <c r="F471" t="s">
        <v>188</v>
      </c>
      <c r="G471" t="s">
        <v>30</v>
      </c>
      <c r="H471" s="17" t="s">
        <v>1345</v>
      </c>
      <c r="I471" s="17" t="s">
        <v>1346</v>
      </c>
      <c r="J471" t="s">
        <v>31</v>
      </c>
      <c r="L471" t="s">
        <v>51</v>
      </c>
      <c r="M471" t="s">
        <v>493</v>
      </c>
      <c r="N471" t="s">
        <v>260</v>
      </c>
      <c r="Q471">
        <v>6</v>
      </c>
      <c r="R471" t="s">
        <v>759</v>
      </c>
      <c r="T471">
        <f>27.5-13</f>
        <v>14.5</v>
      </c>
      <c r="U471">
        <v>20.5</v>
      </c>
      <c r="V471">
        <v>12.6</v>
      </c>
      <c r="W471">
        <v>27</v>
      </c>
      <c r="X471" t="s">
        <v>32</v>
      </c>
      <c r="Y471" t="s">
        <v>24</v>
      </c>
    </row>
    <row r="472" spans="1:26" x14ac:dyDescent="0.2">
      <c r="A472" s="3">
        <v>42605</v>
      </c>
      <c r="B472">
        <v>703</v>
      </c>
      <c r="C472">
        <v>9</v>
      </c>
      <c r="D472" t="s">
        <v>52</v>
      </c>
      <c r="E472" t="s">
        <v>34</v>
      </c>
      <c r="F472" t="s">
        <v>29</v>
      </c>
      <c r="G472" t="s">
        <v>35</v>
      </c>
      <c r="H472" s="17" t="s">
        <v>1897</v>
      </c>
      <c r="J472" t="s">
        <v>1914</v>
      </c>
      <c r="L472" t="s">
        <v>51</v>
      </c>
      <c r="M472" t="s">
        <v>495</v>
      </c>
      <c r="N472" t="s">
        <v>260</v>
      </c>
      <c r="O472" t="s">
        <v>844</v>
      </c>
      <c r="P472" t="s">
        <v>759</v>
      </c>
      <c r="Q472" t="s">
        <v>844</v>
      </c>
      <c r="R472" t="s">
        <v>759</v>
      </c>
      <c r="T472">
        <f>34-13</f>
        <v>21</v>
      </c>
      <c r="U472">
        <v>16</v>
      </c>
      <c r="V472">
        <v>12.8</v>
      </c>
      <c r="W472">
        <v>25.7</v>
      </c>
      <c r="X472" t="s">
        <v>32</v>
      </c>
      <c r="Y472" t="s">
        <v>24</v>
      </c>
    </row>
    <row r="473" spans="1:26" x14ac:dyDescent="0.2">
      <c r="A473" s="3">
        <v>42605</v>
      </c>
      <c r="B473">
        <v>701</v>
      </c>
      <c r="C473">
        <v>1</v>
      </c>
      <c r="D473" t="s">
        <v>142</v>
      </c>
      <c r="E473" t="s">
        <v>34</v>
      </c>
      <c r="F473" t="s">
        <v>188</v>
      </c>
      <c r="G473" t="s">
        <v>30</v>
      </c>
      <c r="H473" s="17" t="s">
        <v>1900</v>
      </c>
      <c r="J473" t="s">
        <v>31</v>
      </c>
      <c r="K473" t="s">
        <v>1901</v>
      </c>
      <c r="L473" t="s">
        <v>51</v>
      </c>
      <c r="M473" t="s">
        <v>494</v>
      </c>
      <c r="N473" t="s">
        <v>260</v>
      </c>
      <c r="O473">
        <v>1</v>
      </c>
      <c r="P473" t="s">
        <v>832</v>
      </c>
      <c r="T473">
        <f>30-13</f>
        <v>17</v>
      </c>
      <c r="U473">
        <v>28</v>
      </c>
      <c r="V473">
        <v>12.7</v>
      </c>
      <c r="W473">
        <v>25.35</v>
      </c>
      <c r="X473" t="s">
        <v>145</v>
      </c>
      <c r="Y473" t="s">
        <v>24</v>
      </c>
    </row>
    <row r="474" spans="1:26" x14ac:dyDescent="0.2">
      <c r="A474" s="3">
        <v>42605</v>
      </c>
      <c r="B474">
        <v>701</v>
      </c>
      <c r="C474">
        <v>3</v>
      </c>
      <c r="D474" t="s">
        <v>142</v>
      </c>
      <c r="E474" t="s">
        <v>34</v>
      </c>
      <c r="F474" t="s">
        <v>29</v>
      </c>
      <c r="G474" t="s">
        <v>35</v>
      </c>
      <c r="H474" s="17" t="s">
        <v>1902</v>
      </c>
      <c r="J474" t="s">
        <v>63</v>
      </c>
      <c r="L474" t="s">
        <v>51</v>
      </c>
      <c r="M474" t="s">
        <v>493</v>
      </c>
      <c r="N474" t="s">
        <v>260</v>
      </c>
      <c r="Q474">
        <v>2</v>
      </c>
      <c r="R474" t="s">
        <v>759</v>
      </c>
      <c r="T474">
        <f>39-13</f>
        <v>26</v>
      </c>
      <c r="U474">
        <v>27</v>
      </c>
      <c r="V474">
        <v>13.1</v>
      </c>
      <c r="W474">
        <v>25.2</v>
      </c>
      <c r="X474" t="s">
        <v>32</v>
      </c>
      <c r="Y474" t="s">
        <v>24</v>
      </c>
    </row>
    <row r="475" spans="1:26" x14ac:dyDescent="0.2">
      <c r="A475" s="3">
        <v>42605</v>
      </c>
      <c r="B475">
        <v>701</v>
      </c>
      <c r="C475">
        <v>4</v>
      </c>
      <c r="D475" t="s">
        <v>27</v>
      </c>
      <c r="E475" t="s">
        <v>28</v>
      </c>
      <c r="F475" t="s">
        <v>188</v>
      </c>
      <c r="G475" t="s">
        <v>35</v>
      </c>
      <c r="H475" s="17" t="s">
        <v>1354</v>
      </c>
      <c r="I475" s="17" t="s">
        <v>1355</v>
      </c>
      <c r="J475" t="s">
        <v>63</v>
      </c>
      <c r="L475" t="s">
        <v>51</v>
      </c>
      <c r="M475" t="s">
        <v>493</v>
      </c>
      <c r="N475" t="s">
        <v>260</v>
      </c>
      <c r="Q475">
        <v>5</v>
      </c>
      <c r="R475" t="s">
        <v>759</v>
      </c>
      <c r="T475">
        <f>31.5-14</f>
        <v>17.5</v>
      </c>
      <c r="U475">
        <v>19</v>
      </c>
      <c r="V475">
        <v>13</v>
      </c>
      <c r="W475">
        <v>26.8</v>
      </c>
      <c r="X475" t="s">
        <v>32</v>
      </c>
      <c r="Y475" t="s">
        <v>24</v>
      </c>
      <c r="Z475" t="s">
        <v>1904</v>
      </c>
    </row>
    <row r="476" spans="1:26" x14ac:dyDescent="0.2">
      <c r="A476" s="3">
        <v>42605</v>
      </c>
      <c r="B476">
        <v>701</v>
      </c>
      <c r="C476">
        <v>6</v>
      </c>
      <c r="D476" t="s">
        <v>52</v>
      </c>
      <c r="E476" t="s">
        <v>34</v>
      </c>
      <c r="F476" t="s">
        <v>123</v>
      </c>
      <c r="G476" t="s">
        <v>35</v>
      </c>
      <c r="H476" s="17" t="s">
        <v>1905</v>
      </c>
      <c r="J476" t="s">
        <v>63</v>
      </c>
      <c r="L476" t="s">
        <v>51</v>
      </c>
      <c r="M476" t="s">
        <v>495</v>
      </c>
      <c r="N476" t="s">
        <v>260</v>
      </c>
      <c r="O476" t="s">
        <v>844</v>
      </c>
      <c r="P476" t="s">
        <v>759</v>
      </c>
      <c r="Q476" t="s">
        <v>844</v>
      </c>
      <c r="R476" t="s">
        <v>759</v>
      </c>
      <c r="T476">
        <f>29.5-13</f>
        <v>16.5</v>
      </c>
      <c r="U476">
        <v>16</v>
      </c>
      <c r="V476">
        <v>12.45</v>
      </c>
      <c r="W476">
        <v>24.8</v>
      </c>
      <c r="X476" t="s">
        <v>32</v>
      </c>
      <c r="Y476" t="s">
        <v>24</v>
      </c>
    </row>
    <row r="477" spans="1:26" x14ac:dyDescent="0.2">
      <c r="A477" s="3">
        <v>42605</v>
      </c>
      <c r="B477">
        <v>701</v>
      </c>
      <c r="C477">
        <v>7</v>
      </c>
      <c r="D477" t="s">
        <v>27</v>
      </c>
      <c r="E477" t="s">
        <v>28</v>
      </c>
      <c r="F477" t="s">
        <v>188</v>
      </c>
      <c r="G477" t="s">
        <v>35</v>
      </c>
      <c r="H477" s="17" t="s">
        <v>1366</v>
      </c>
      <c r="I477" s="17" t="s">
        <v>1365</v>
      </c>
      <c r="J477" t="s">
        <v>63</v>
      </c>
      <c r="L477" t="s">
        <v>51</v>
      </c>
      <c r="M477" t="s">
        <v>495</v>
      </c>
      <c r="N477" t="s">
        <v>260</v>
      </c>
      <c r="O477">
        <v>6</v>
      </c>
      <c r="P477" t="s">
        <v>759</v>
      </c>
      <c r="Q477">
        <v>6</v>
      </c>
      <c r="R477" t="s">
        <v>759</v>
      </c>
      <c r="T477">
        <f>30-13.5</f>
        <v>16.5</v>
      </c>
      <c r="U477">
        <v>19</v>
      </c>
      <c r="V477">
        <v>13.2</v>
      </c>
      <c r="W477">
        <v>28.2</v>
      </c>
      <c r="X477" t="s">
        <v>32</v>
      </c>
      <c r="Y477" t="s">
        <v>24</v>
      </c>
    </row>
    <row r="478" spans="1:26" x14ac:dyDescent="0.2">
      <c r="A478" s="3">
        <v>42605</v>
      </c>
      <c r="B478">
        <v>701</v>
      </c>
      <c r="C478">
        <v>8</v>
      </c>
      <c r="D478" t="s">
        <v>27</v>
      </c>
      <c r="E478" t="s">
        <v>28</v>
      </c>
      <c r="F478" t="s">
        <v>29</v>
      </c>
      <c r="G478" t="s">
        <v>35</v>
      </c>
      <c r="H478" s="17" t="s">
        <v>1363</v>
      </c>
      <c r="I478" s="17" t="s">
        <v>1364</v>
      </c>
      <c r="J478" t="s">
        <v>63</v>
      </c>
      <c r="L478" t="s">
        <v>51</v>
      </c>
      <c r="M478" t="s">
        <v>495</v>
      </c>
      <c r="N478" t="s">
        <v>260</v>
      </c>
      <c r="O478">
        <v>6</v>
      </c>
      <c r="P478" t="s">
        <v>759</v>
      </c>
      <c r="Q478" t="s">
        <v>923</v>
      </c>
      <c r="R478" t="s">
        <v>759</v>
      </c>
      <c r="T478">
        <f>32-13</f>
        <v>19</v>
      </c>
      <c r="U478">
        <v>18</v>
      </c>
      <c r="V478">
        <v>13.5</v>
      </c>
      <c r="W478">
        <v>27.7</v>
      </c>
      <c r="X478" t="s">
        <v>32</v>
      </c>
      <c r="Y478" t="s">
        <v>24</v>
      </c>
    </row>
    <row r="479" spans="1:26" x14ac:dyDescent="0.2">
      <c r="A479" s="3">
        <v>42605</v>
      </c>
      <c r="B479">
        <v>801</v>
      </c>
      <c r="C479">
        <v>6</v>
      </c>
      <c r="D479" t="s">
        <v>27</v>
      </c>
      <c r="E479" t="s">
        <v>28</v>
      </c>
      <c r="F479" t="s">
        <v>188</v>
      </c>
      <c r="G479" t="s">
        <v>30</v>
      </c>
      <c r="H479" s="17" t="s">
        <v>1909</v>
      </c>
      <c r="I479" s="17" t="s">
        <v>1910</v>
      </c>
      <c r="J479" t="s">
        <v>31</v>
      </c>
      <c r="L479" t="s">
        <v>51</v>
      </c>
      <c r="M479" t="s">
        <v>494</v>
      </c>
      <c r="N479" t="s">
        <v>260</v>
      </c>
      <c r="O479">
        <v>6</v>
      </c>
      <c r="P479" t="s">
        <v>759</v>
      </c>
      <c r="T479">
        <f>31-13</f>
        <v>18</v>
      </c>
      <c r="U479">
        <v>20</v>
      </c>
      <c r="V479">
        <v>12.85</v>
      </c>
      <c r="W479">
        <v>27.4</v>
      </c>
      <c r="X479" t="s">
        <v>32</v>
      </c>
      <c r="Y479" t="s">
        <v>24</v>
      </c>
    </row>
    <row r="480" spans="1:26" x14ac:dyDescent="0.2">
      <c r="A480" s="3">
        <v>42605</v>
      </c>
      <c r="B480">
        <v>801</v>
      </c>
      <c r="C480">
        <v>7</v>
      </c>
      <c r="D480" t="s">
        <v>27</v>
      </c>
      <c r="E480" t="s">
        <v>28</v>
      </c>
      <c r="F480" t="s">
        <v>188</v>
      </c>
      <c r="G480" t="s">
        <v>30</v>
      </c>
      <c r="H480" s="17" t="s">
        <v>1517</v>
      </c>
      <c r="I480" s="17" t="s">
        <v>1518</v>
      </c>
      <c r="J480" t="s">
        <v>31</v>
      </c>
      <c r="L480" t="s">
        <v>51</v>
      </c>
      <c r="M480" t="s">
        <v>494</v>
      </c>
      <c r="N480" t="s">
        <v>260</v>
      </c>
      <c r="O480">
        <v>6</v>
      </c>
      <c r="P480" t="s">
        <v>759</v>
      </c>
      <c r="T480">
        <f>30.5-15</f>
        <v>15.5</v>
      </c>
      <c r="U480">
        <v>19</v>
      </c>
      <c r="V480">
        <v>13.2</v>
      </c>
      <c r="W480">
        <v>26.8</v>
      </c>
      <c r="X480" t="s">
        <v>32</v>
      </c>
      <c r="Y480" t="s">
        <v>24</v>
      </c>
    </row>
    <row r="481" spans="1:28" x14ac:dyDescent="0.2">
      <c r="A481" s="3">
        <v>42605</v>
      </c>
      <c r="B481">
        <v>803</v>
      </c>
      <c r="C481">
        <v>6</v>
      </c>
      <c r="D481" t="s">
        <v>142</v>
      </c>
      <c r="E481" t="s">
        <v>28</v>
      </c>
      <c r="F481" t="s">
        <v>29</v>
      </c>
      <c r="G481" t="s">
        <v>30</v>
      </c>
      <c r="I481" s="17" t="s">
        <v>1380</v>
      </c>
      <c r="J481" t="s">
        <v>31</v>
      </c>
      <c r="L481" t="s">
        <v>51</v>
      </c>
      <c r="M481" t="s">
        <v>493</v>
      </c>
      <c r="N481" t="s">
        <v>145</v>
      </c>
      <c r="Q481">
        <v>1</v>
      </c>
      <c r="R481" t="s">
        <v>759</v>
      </c>
      <c r="T481">
        <f>34-13</f>
        <v>21</v>
      </c>
      <c r="U481">
        <v>28.5</v>
      </c>
      <c r="V481">
        <v>13.1</v>
      </c>
      <c r="W481">
        <v>25.1</v>
      </c>
      <c r="X481" t="s">
        <v>32</v>
      </c>
      <c r="Y481" t="s">
        <v>24</v>
      </c>
    </row>
    <row r="482" spans="1:28" x14ac:dyDescent="0.2">
      <c r="A482" s="3">
        <v>42605</v>
      </c>
      <c r="B482">
        <v>501</v>
      </c>
      <c r="C482">
        <v>4</v>
      </c>
      <c r="D482" t="s">
        <v>52</v>
      </c>
      <c r="E482" t="s">
        <v>28</v>
      </c>
      <c r="F482" t="s">
        <v>29</v>
      </c>
      <c r="G482" t="s">
        <v>30</v>
      </c>
      <c r="H482" s="17" t="s">
        <v>712</v>
      </c>
      <c r="J482" t="s">
        <v>75</v>
      </c>
      <c r="L482" t="s">
        <v>51</v>
      </c>
      <c r="M482" t="s">
        <v>495</v>
      </c>
      <c r="N482" t="s">
        <v>260</v>
      </c>
      <c r="O482" t="s">
        <v>1335</v>
      </c>
      <c r="P482" t="s">
        <v>832</v>
      </c>
      <c r="Q482">
        <v>2</v>
      </c>
      <c r="R482" t="s">
        <v>759</v>
      </c>
      <c r="T482">
        <f>46.5-15.5</f>
        <v>31</v>
      </c>
      <c r="U482">
        <v>18</v>
      </c>
      <c r="V482">
        <v>12.9</v>
      </c>
      <c r="W482">
        <v>27.1</v>
      </c>
      <c r="X482" t="s">
        <v>32</v>
      </c>
      <c r="Y482" t="s">
        <v>64</v>
      </c>
    </row>
    <row r="483" spans="1:28" x14ac:dyDescent="0.2">
      <c r="A483" s="3">
        <v>42605</v>
      </c>
      <c r="B483">
        <v>501</v>
      </c>
      <c r="C483">
        <v>8</v>
      </c>
      <c r="D483" t="s">
        <v>142</v>
      </c>
      <c r="E483" t="s">
        <v>34</v>
      </c>
      <c r="F483" t="s">
        <v>188</v>
      </c>
      <c r="G483" t="s">
        <v>35</v>
      </c>
      <c r="H483" s="17" t="s">
        <v>1719</v>
      </c>
      <c r="J483" t="s">
        <v>63</v>
      </c>
      <c r="L483" t="s">
        <v>51</v>
      </c>
      <c r="M483" t="s">
        <v>493</v>
      </c>
      <c r="N483" t="s">
        <v>32</v>
      </c>
      <c r="Q483">
        <v>1</v>
      </c>
      <c r="R483" t="s">
        <v>759</v>
      </c>
      <c r="T483">
        <f>33-14</f>
        <v>19</v>
      </c>
      <c r="U483">
        <v>30</v>
      </c>
      <c r="V483">
        <v>12.9</v>
      </c>
      <c r="W483">
        <v>24.8</v>
      </c>
      <c r="X483" t="s">
        <v>32</v>
      </c>
      <c r="Y483" t="s">
        <v>64</v>
      </c>
    </row>
    <row r="484" spans="1:28" x14ac:dyDescent="0.2">
      <c r="A484" s="3">
        <v>42605</v>
      </c>
      <c r="B484">
        <v>501</v>
      </c>
      <c r="C484">
        <v>9</v>
      </c>
      <c r="D484" t="s">
        <v>142</v>
      </c>
      <c r="E484" t="s">
        <v>34</v>
      </c>
      <c r="F484" t="s">
        <v>188</v>
      </c>
      <c r="G484" t="s">
        <v>30</v>
      </c>
      <c r="H484" s="17" t="s">
        <v>1720</v>
      </c>
      <c r="J484" t="s">
        <v>31</v>
      </c>
      <c r="L484" t="s">
        <v>51</v>
      </c>
      <c r="M484" t="s">
        <v>493</v>
      </c>
      <c r="N484" t="s">
        <v>32</v>
      </c>
      <c r="Q484">
        <v>1</v>
      </c>
      <c r="R484" t="s">
        <v>759</v>
      </c>
      <c r="T484">
        <f>35-17.5</f>
        <v>17.5</v>
      </c>
      <c r="U484">
        <v>30</v>
      </c>
      <c r="V484">
        <v>12.9</v>
      </c>
      <c r="W484">
        <v>26.3</v>
      </c>
      <c r="X484" t="s">
        <v>32</v>
      </c>
      <c r="Y484" t="s">
        <v>64</v>
      </c>
    </row>
    <row r="485" spans="1:28" x14ac:dyDescent="0.2">
      <c r="A485" s="3">
        <v>42605</v>
      </c>
      <c r="B485">
        <v>503</v>
      </c>
      <c r="C485">
        <v>1</v>
      </c>
      <c r="D485" t="s">
        <v>27</v>
      </c>
      <c r="E485" t="s">
        <v>28</v>
      </c>
      <c r="F485" t="s">
        <v>123</v>
      </c>
      <c r="G485" t="s">
        <v>35</v>
      </c>
      <c r="H485" s="17" t="s">
        <v>1126</v>
      </c>
      <c r="I485" s="17" t="s">
        <v>1124</v>
      </c>
      <c r="J485" t="s">
        <v>63</v>
      </c>
      <c r="L485" t="s">
        <v>51</v>
      </c>
      <c r="M485" t="s">
        <v>495</v>
      </c>
      <c r="N485" t="s">
        <v>260</v>
      </c>
      <c r="O485">
        <v>5</v>
      </c>
      <c r="P485" t="s">
        <v>759</v>
      </c>
      <c r="Q485">
        <v>6</v>
      </c>
      <c r="R485" t="s">
        <v>759</v>
      </c>
      <c r="T485">
        <f>30.5-16</f>
        <v>14.5</v>
      </c>
      <c r="U485">
        <v>19</v>
      </c>
      <c r="V485">
        <v>12.9</v>
      </c>
      <c r="W485">
        <v>26.3</v>
      </c>
      <c r="X485" t="s">
        <v>32</v>
      </c>
      <c r="Y485" t="s">
        <v>64</v>
      </c>
      <c r="Z485" t="s">
        <v>1722</v>
      </c>
    </row>
    <row r="486" spans="1:28" x14ac:dyDescent="0.2">
      <c r="A486" s="3">
        <v>42605</v>
      </c>
      <c r="B486">
        <v>503</v>
      </c>
      <c r="C486">
        <v>7</v>
      </c>
      <c r="D486" t="s">
        <v>52</v>
      </c>
      <c r="E486" t="s">
        <v>28</v>
      </c>
      <c r="F486" t="s">
        <v>29</v>
      </c>
      <c r="G486" t="s">
        <v>30</v>
      </c>
      <c r="H486" s="17" t="s">
        <v>1691</v>
      </c>
      <c r="J486" t="s">
        <v>31</v>
      </c>
      <c r="L486" t="s">
        <v>51</v>
      </c>
      <c r="M486" t="s">
        <v>495</v>
      </c>
      <c r="N486" t="s">
        <v>260</v>
      </c>
      <c r="O486">
        <v>2</v>
      </c>
      <c r="P486" t="s">
        <v>759</v>
      </c>
      <c r="Q486">
        <v>2</v>
      </c>
      <c r="R486" t="s">
        <v>759</v>
      </c>
      <c r="T486">
        <f>42-19</f>
        <v>23</v>
      </c>
      <c r="X486" t="s">
        <v>32</v>
      </c>
      <c r="Y486" t="s">
        <v>64</v>
      </c>
    </row>
    <row r="487" spans="1:28" x14ac:dyDescent="0.2">
      <c r="A487" s="3">
        <v>42605</v>
      </c>
      <c r="B487">
        <v>503</v>
      </c>
      <c r="C487">
        <v>9</v>
      </c>
      <c r="D487" t="s">
        <v>27</v>
      </c>
      <c r="E487" t="s">
        <v>28</v>
      </c>
      <c r="F487" t="s">
        <v>29</v>
      </c>
      <c r="G487" t="s">
        <v>35</v>
      </c>
      <c r="H487" s="17" t="s">
        <v>1250</v>
      </c>
      <c r="I487" s="17" t="s">
        <v>1251</v>
      </c>
      <c r="J487" t="s">
        <v>63</v>
      </c>
      <c r="L487" t="s">
        <v>51</v>
      </c>
      <c r="M487" t="s">
        <v>493</v>
      </c>
      <c r="N487" t="s">
        <v>260</v>
      </c>
      <c r="Q487">
        <v>6</v>
      </c>
      <c r="R487" t="s">
        <v>759</v>
      </c>
      <c r="T487">
        <f>37-18</f>
        <v>19</v>
      </c>
      <c r="U487">
        <v>19</v>
      </c>
      <c r="V487">
        <v>12.9</v>
      </c>
      <c r="W487">
        <v>27</v>
      </c>
      <c r="X487" t="s">
        <v>32</v>
      </c>
      <c r="Y487" t="s">
        <v>64</v>
      </c>
      <c r="Z487" t="s">
        <v>1728</v>
      </c>
    </row>
    <row r="488" spans="1:28" x14ac:dyDescent="0.2">
      <c r="A488" s="3">
        <v>42605</v>
      </c>
      <c r="B488">
        <v>503</v>
      </c>
      <c r="C488">
        <v>9</v>
      </c>
      <c r="D488" t="s">
        <v>139</v>
      </c>
      <c r="E488" t="s">
        <v>28</v>
      </c>
      <c r="F488" t="s">
        <v>29</v>
      </c>
      <c r="G488" t="s">
        <v>30</v>
      </c>
      <c r="H488" s="17" t="s">
        <v>1127</v>
      </c>
      <c r="J488" t="s">
        <v>75</v>
      </c>
      <c r="L488" t="s">
        <v>633</v>
      </c>
      <c r="M488" t="s">
        <v>260</v>
      </c>
      <c r="S488" t="s">
        <v>759</v>
      </c>
      <c r="T488">
        <f>133-50</f>
        <v>83</v>
      </c>
      <c r="U488">
        <v>30</v>
      </c>
      <c r="X488" t="s">
        <v>32</v>
      </c>
      <c r="Y488" t="s">
        <v>64</v>
      </c>
    </row>
    <row r="489" spans="1:28" x14ac:dyDescent="0.2">
      <c r="A489" s="3">
        <v>42605</v>
      </c>
      <c r="B489">
        <v>303</v>
      </c>
      <c r="C489">
        <v>1</v>
      </c>
      <c r="D489" t="s">
        <v>52</v>
      </c>
      <c r="E489" t="s">
        <v>34</v>
      </c>
      <c r="F489" t="s">
        <v>29</v>
      </c>
      <c r="G489" t="s">
        <v>30</v>
      </c>
      <c r="H489" s="17" t="s">
        <v>1730</v>
      </c>
      <c r="J489" t="s">
        <v>75</v>
      </c>
      <c r="L489" t="s">
        <v>51</v>
      </c>
      <c r="M489" t="s">
        <v>495</v>
      </c>
      <c r="N489" t="s">
        <v>260</v>
      </c>
      <c r="O489">
        <v>2</v>
      </c>
      <c r="P489" t="s">
        <v>759</v>
      </c>
      <c r="Q489">
        <v>2</v>
      </c>
      <c r="R489" t="s">
        <v>759</v>
      </c>
      <c r="T489">
        <f>42-13.5</f>
        <v>28.5</v>
      </c>
      <c r="U489">
        <v>18</v>
      </c>
      <c r="V489">
        <v>12.8</v>
      </c>
      <c r="W489">
        <v>26.6</v>
      </c>
      <c r="X489" t="s">
        <v>32</v>
      </c>
      <c r="Y489" t="s">
        <v>64</v>
      </c>
    </row>
    <row r="490" spans="1:28" x14ac:dyDescent="0.2">
      <c r="A490" s="3">
        <v>42605</v>
      </c>
      <c r="B490">
        <v>303</v>
      </c>
      <c r="C490">
        <v>2</v>
      </c>
      <c r="D490" t="s">
        <v>52</v>
      </c>
      <c r="E490" t="s">
        <v>28</v>
      </c>
      <c r="F490" t="s">
        <v>29</v>
      </c>
      <c r="G490" t="s">
        <v>35</v>
      </c>
      <c r="H490" s="17" t="s">
        <v>1130</v>
      </c>
      <c r="J490" t="s">
        <v>63</v>
      </c>
      <c r="L490" t="s">
        <v>51</v>
      </c>
      <c r="M490" t="s">
        <v>495</v>
      </c>
      <c r="N490" t="s">
        <v>260</v>
      </c>
      <c r="O490" t="s">
        <v>1335</v>
      </c>
      <c r="P490" t="s">
        <v>832</v>
      </c>
      <c r="Q490">
        <v>2</v>
      </c>
      <c r="R490" t="s">
        <v>832</v>
      </c>
      <c r="T490">
        <f>36.5-18</f>
        <v>18.5</v>
      </c>
      <c r="V490">
        <v>12.9</v>
      </c>
      <c r="W490">
        <v>27.4</v>
      </c>
      <c r="X490" t="s">
        <v>32</v>
      </c>
      <c r="Y490" t="s">
        <v>64</v>
      </c>
    </row>
    <row r="491" spans="1:28" x14ac:dyDescent="0.2">
      <c r="A491" s="3">
        <v>42605</v>
      </c>
      <c r="B491">
        <v>303</v>
      </c>
      <c r="C491">
        <v>4</v>
      </c>
      <c r="D491" t="s">
        <v>52</v>
      </c>
      <c r="E491" t="s">
        <v>28</v>
      </c>
      <c r="F491" t="s">
        <v>29</v>
      </c>
      <c r="G491" t="s">
        <v>35</v>
      </c>
      <c r="H491" s="17" t="s">
        <v>1696</v>
      </c>
      <c r="J491" t="s">
        <v>39</v>
      </c>
      <c r="L491" t="s">
        <v>51</v>
      </c>
      <c r="M491" t="s">
        <v>495</v>
      </c>
      <c r="N491" t="s">
        <v>260</v>
      </c>
      <c r="O491" t="s">
        <v>1732</v>
      </c>
      <c r="P491" t="s">
        <v>832</v>
      </c>
      <c r="Q491">
        <v>2</v>
      </c>
      <c r="R491" t="s">
        <v>832</v>
      </c>
      <c r="T491">
        <f>40-15.5</f>
        <v>24.5</v>
      </c>
      <c r="U491">
        <v>19</v>
      </c>
      <c r="V491">
        <v>13.2</v>
      </c>
      <c r="W491">
        <v>27.1</v>
      </c>
      <c r="X491" t="s">
        <v>145</v>
      </c>
      <c r="Y491" t="s">
        <v>64</v>
      </c>
      <c r="Z491" t="s">
        <v>1733</v>
      </c>
    </row>
    <row r="492" spans="1:28" x14ac:dyDescent="0.2">
      <c r="A492" s="3">
        <v>42605</v>
      </c>
      <c r="B492">
        <v>303</v>
      </c>
      <c r="C492">
        <v>5</v>
      </c>
      <c r="D492" t="s">
        <v>52</v>
      </c>
      <c r="E492" t="s">
        <v>28</v>
      </c>
      <c r="F492" t="s">
        <v>29</v>
      </c>
      <c r="G492" t="s">
        <v>30</v>
      </c>
      <c r="H492" s="17" t="s">
        <v>1136</v>
      </c>
      <c r="J492" t="s">
        <v>31</v>
      </c>
      <c r="L492" t="s">
        <v>51</v>
      </c>
      <c r="M492" t="s">
        <v>495</v>
      </c>
      <c r="N492" t="s">
        <v>260</v>
      </c>
      <c r="O492">
        <v>2</v>
      </c>
      <c r="P492" t="s">
        <v>759</v>
      </c>
      <c r="Q492" t="s">
        <v>1335</v>
      </c>
      <c r="R492" t="s">
        <v>759</v>
      </c>
      <c r="T492">
        <f>38-14</f>
        <v>24</v>
      </c>
      <c r="U492">
        <v>16.5</v>
      </c>
      <c r="V492">
        <v>13.1</v>
      </c>
      <c r="W492">
        <v>27</v>
      </c>
      <c r="X492" t="s">
        <v>32</v>
      </c>
      <c r="Y492" t="s">
        <v>64</v>
      </c>
      <c r="Z492" t="s">
        <v>1734</v>
      </c>
    </row>
    <row r="493" spans="1:28" x14ac:dyDescent="0.2">
      <c r="A493" s="3">
        <v>42605</v>
      </c>
      <c r="B493">
        <v>303</v>
      </c>
      <c r="C493">
        <v>10</v>
      </c>
      <c r="D493" t="s">
        <v>142</v>
      </c>
      <c r="E493" t="s">
        <v>34</v>
      </c>
      <c r="F493" t="s">
        <v>123</v>
      </c>
      <c r="G493" t="s">
        <v>30</v>
      </c>
      <c r="H493" s="17" t="s">
        <v>1735</v>
      </c>
      <c r="J493" t="s">
        <v>31</v>
      </c>
      <c r="L493" t="s">
        <v>51</v>
      </c>
      <c r="M493" t="s">
        <v>494</v>
      </c>
      <c r="N493" t="s">
        <v>145</v>
      </c>
      <c r="O493">
        <v>5</v>
      </c>
      <c r="P493" t="s">
        <v>759</v>
      </c>
      <c r="T493">
        <f>27-16</f>
        <v>11</v>
      </c>
      <c r="U493">
        <v>27</v>
      </c>
      <c r="V493">
        <v>12.7</v>
      </c>
      <c r="W493">
        <v>23</v>
      </c>
      <c r="X493" t="s">
        <v>32</v>
      </c>
      <c r="Y493" t="s">
        <v>64</v>
      </c>
    </row>
    <row r="494" spans="1:28" x14ac:dyDescent="0.2">
      <c r="A494" s="3">
        <v>42605</v>
      </c>
      <c r="B494">
        <v>303</v>
      </c>
      <c r="C494">
        <v>10</v>
      </c>
      <c r="D494" t="s">
        <v>52</v>
      </c>
      <c r="E494" t="s">
        <v>28</v>
      </c>
      <c r="F494" t="s">
        <v>29</v>
      </c>
      <c r="G494" t="s">
        <v>35</v>
      </c>
      <c r="H494" s="17" t="s">
        <v>1700</v>
      </c>
      <c r="J494" t="s">
        <v>39</v>
      </c>
      <c r="L494" t="s">
        <v>51</v>
      </c>
      <c r="M494" t="s">
        <v>495</v>
      </c>
      <c r="N494" t="s">
        <v>260</v>
      </c>
      <c r="O494">
        <v>2</v>
      </c>
      <c r="P494" t="s">
        <v>759</v>
      </c>
      <c r="Q494">
        <v>2</v>
      </c>
      <c r="R494" t="s">
        <v>759</v>
      </c>
      <c r="T494">
        <f>39.5-19</f>
        <v>20.5</v>
      </c>
      <c r="X494" t="s">
        <v>32</v>
      </c>
      <c r="Y494" t="s">
        <v>64</v>
      </c>
    </row>
    <row r="495" spans="1:28" x14ac:dyDescent="0.2">
      <c r="A495" s="3">
        <v>42605</v>
      </c>
      <c r="B495">
        <v>401</v>
      </c>
      <c r="C495">
        <v>3</v>
      </c>
      <c r="D495" t="s">
        <v>27</v>
      </c>
      <c r="E495" t="s">
        <v>28</v>
      </c>
      <c r="F495" t="s">
        <v>188</v>
      </c>
      <c r="G495" t="s">
        <v>30</v>
      </c>
      <c r="H495" s="17" t="s">
        <v>1258</v>
      </c>
      <c r="J495" t="s">
        <v>31</v>
      </c>
      <c r="L495" t="s">
        <v>51</v>
      </c>
      <c r="M495" t="s">
        <v>495</v>
      </c>
      <c r="N495" t="s">
        <v>260</v>
      </c>
      <c r="O495">
        <v>6</v>
      </c>
      <c r="P495" t="s">
        <v>759</v>
      </c>
      <c r="Q495" t="s">
        <v>924</v>
      </c>
      <c r="R495" t="s">
        <v>832</v>
      </c>
      <c r="T495">
        <f>36-16</f>
        <v>20</v>
      </c>
      <c r="U495">
        <v>20</v>
      </c>
      <c r="V495">
        <v>13.1</v>
      </c>
      <c r="W495">
        <v>28.5</v>
      </c>
      <c r="X495" t="s">
        <v>32</v>
      </c>
      <c r="Y495" t="s">
        <v>64</v>
      </c>
      <c r="Z495" t="s">
        <v>1736</v>
      </c>
      <c r="AB495" t="s">
        <v>1737</v>
      </c>
    </row>
    <row r="496" spans="1:28" x14ac:dyDescent="0.2">
      <c r="A496" s="3">
        <v>42605</v>
      </c>
      <c r="B496">
        <v>401</v>
      </c>
      <c r="C496">
        <v>4</v>
      </c>
      <c r="D496" t="s">
        <v>52</v>
      </c>
      <c r="E496" t="s">
        <v>28</v>
      </c>
      <c r="F496" t="s">
        <v>188</v>
      </c>
      <c r="G496" t="s">
        <v>35</v>
      </c>
      <c r="H496" s="17" t="s">
        <v>1146</v>
      </c>
      <c r="J496" t="s">
        <v>39</v>
      </c>
      <c r="L496" t="s">
        <v>51</v>
      </c>
      <c r="M496" t="s">
        <v>495</v>
      </c>
      <c r="N496" t="s">
        <v>260</v>
      </c>
      <c r="O496" t="s">
        <v>1335</v>
      </c>
      <c r="P496" t="s">
        <v>832</v>
      </c>
      <c r="Q496">
        <v>2</v>
      </c>
      <c r="R496" t="s">
        <v>832</v>
      </c>
      <c r="T496">
        <f>32-13</f>
        <v>19</v>
      </c>
      <c r="U496">
        <v>18</v>
      </c>
      <c r="V496">
        <v>13</v>
      </c>
      <c r="W496">
        <v>26.4</v>
      </c>
      <c r="X496" t="s">
        <v>32</v>
      </c>
      <c r="Y496" t="s">
        <v>64</v>
      </c>
    </row>
    <row r="497" spans="1:26" x14ac:dyDescent="0.2">
      <c r="A497" s="3">
        <v>42605</v>
      </c>
      <c r="B497">
        <v>401</v>
      </c>
      <c r="C497">
        <v>4</v>
      </c>
      <c r="D497" t="s">
        <v>52</v>
      </c>
      <c r="E497" t="s">
        <v>34</v>
      </c>
      <c r="F497" t="s">
        <v>188</v>
      </c>
      <c r="G497" t="s">
        <v>30</v>
      </c>
      <c r="H497" s="17" t="s">
        <v>1738</v>
      </c>
      <c r="J497" t="s">
        <v>31</v>
      </c>
      <c r="L497" t="s">
        <v>51</v>
      </c>
      <c r="M497" t="s">
        <v>495</v>
      </c>
      <c r="N497" t="s">
        <v>260</v>
      </c>
      <c r="O497">
        <v>2</v>
      </c>
      <c r="P497" t="s">
        <v>759</v>
      </c>
      <c r="Q497">
        <v>2</v>
      </c>
      <c r="R497" t="s">
        <v>759</v>
      </c>
      <c r="T497">
        <f>32-16</f>
        <v>16</v>
      </c>
      <c r="U497">
        <v>17</v>
      </c>
      <c r="V497">
        <v>13</v>
      </c>
      <c r="W497">
        <v>26.1</v>
      </c>
      <c r="X497" t="s">
        <v>32</v>
      </c>
      <c r="Y497" t="s">
        <v>64</v>
      </c>
    </row>
    <row r="498" spans="1:26" x14ac:dyDescent="0.2">
      <c r="A498" s="3">
        <v>42605</v>
      </c>
      <c r="B498">
        <v>401</v>
      </c>
      <c r="C498">
        <v>5</v>
      </c>
      <c r="D498" t="s">
        <v>27</v>
      </c>
      <c r="E498" t="s">
        <v>28</v>
      </c>
      <c r="F498" t="s">
        <v>29</v>
      </c>
      <c r="G498" t="s">
        <v>35</v>
      </c>
      <c r="H498" s="17" t="s">
        <v>1739</v>
      </c>
      <c r="I498" s="17" t="s">
        <v>1740</v>
      </c>
      <c r="J498" t="s">
        <v>63</v>
      </c>
      <c r="L498" t="s">
        <v>51</v>
      </c>
      <c r="M498" t="s">
        <v>495</v>
      </c>
      <c r="N498" t="s">
        <v>260</v>
      </c>
      <c r="O498">
        <v>6</v>
      </c>
      <c r="P498" t="s">
        <v>759</v>
      </c>
      <c r="Q498">
        <v>6</v>
      </c>
      <c r="R498" t="s">
        <v>759</v>
      </c>
      <c r="T498">
        <f>32-14</f>
        <v>18</v>
      </c>
      <c r="U498">
        <v>19</v>
      </c>
      <c r="V498">
        <v>13</v>
      </c>
      <c r="W498">
        <v>28</v>
      </c>
      <c r="X498" t="s">
        <v>32</v>
      </c>
      <c r="Y498" t="s">
        <v>64</v>
      </c>
    </row>
    <row r="499" spans="1:26" x14ac:dyDescent="0.2">
      <c r="A499" s="3">
        <v>42605</v>
      </c>
      <c r="B499">
        <v>401</v>
      </c>
      <c r="C499">
        <v>7</v>
      </c>
      <c r="D499" t="s">
        <v>142</v>
      </c>
      <c r="E499" t="s">
        <v>34</v>
      </c>
      <c r="F499" t="s">
        <v>29</v>
      </c>
      <c r="G499" t="s">
        <v>30</v>
      </c>
      <c r="I499" s="17" t="s">
        <v>1742</v>
      </c>
      <c r="J499" t="s">
        <v>31</v>
      </c>
      <c r="L499" t="s">
        <v>51</v>
      </c>
      <c r="M499" t="s">
        <v>495</v>
      </c>
      <c r="N499" t="s">
        <v>260</v>
      </c>
      <c r="O499">
        <v>1</v>
      </c>
      <c r="P499" t="s">
        <v>759</v>
      </c>
      <c r="Q499">
        <v>1</v>
      </c>
      <c r="R499" t="s">
        <v>759</v>
      </c>
      <c r="T499">
        <f>36-16</f>
        <v>20</v>
      </c>
      <c r="U499">
        <v>29</v>
      </c>
      <c r="V499">
        <v>13</v>
      </c>
      <c r="W499">
        <v>25.7</v>
      </c>
      <c r="X499" t="s">
        <v>32</v>
      </c>
      <c r="Y499" t="s">
        <v>64</v>
      </c>
      <c r="Z499" t="s">
        <v>1745</v>
      </c>
    </row>
    <row r="500" spans="1:26" x14ac:dyDescent="0.2">
      <c r="A500" s="3">
        <v>42605</v>
      </c>
      <c r="B500">
        <v>401</v>
      </c>
      <c r="C500">
        <v>10</v>
      </c>
      <c r="D500" t="s">
        <v>52</v>
      </c>
      <c r="E500" t="s">
        <v>28</v>
      </c>
      <c r="F500" t="s">
        <v>29</v>
      </c>
      <c r="G500" t="s">
        <v>35</v>
      </c>
      <c r="H500" s="17" t="s">
        <v>1712</v>
      </c>
      <c r="J500" t="s">
        <v>63</v>
      </c>
      <c r="L500" t="s">
        <v>51</v>
      </c>
      <c r="M500" t="s">
        <v>495</v>
      </c>
      <c r="N500" t="s">
        <v>260</v>
      </c>
      <c r="O500">
        <v>2</v>
      </c>
      <c r="P500" t="s">
        <v>832</v>
      </c>
      <c r="Q500">
        <v>2</v>
      </c>
      <c r="R500" t="s">
        <v>759</v>
      </c>
      <c r="T500">
        <f>32-14</f>
        <v>18</v>
      </c>
      <c r="U500">
        <v>16</v>
      </c>
      <c r="V500">
        <v>13</v>
      </c>
      <c r="W500">
        <v>26.4</v>
      </c>
      <c r="X500" t="s">
        <v>32</v>
      </c>
      <c r="Y500" t="s">
        <v>64</v>
      </c>
    </row>
    <row r="501" spans="1:26" x14ac:dyDescent="0.2">
      <c r="A501" s="3">
        <v>42606</v>
      </c>
      <c r="B501">
        <v>501</v>
      </c>
      <c r="C501">
        <v>1</v>
      </c>
      <c r="D501" t="s">
        <v>27</v>
      </c>
      <c r="E501" t="s">
        <v>28</v>
      </c>
      <c r="F501" t="s">
        <v>188</v>
      </c>
      <c r="G501" t="s">
        <v>35</v>
      </c>
      <c r="H501" s="17" t="s">
        <v>1119</v>
      </c>
      <c r="I501" s="17" t="s">
        <v>1120</v>
      </c>
      <c r="J501" t="s">
        <v>63</v>
      </c>
      <c r="L501" t="s">
        <v>51</v>
      </c>
      <c r="M501" t="s">
        <v>493</v>
      </c>
      <c r="N501" t="s">
        <v>260</v>
      </c>
      <c r="Q501">
        <v>1</v>
      </c>
      <c r="R501" t="s">
        <v>759</v>
      </c>
      <c r="T501">
        <f>31-16</f>
        <v>15</v>
      </c>
      <c r="U501">
        <v>20</v>
      </c>
      <c r="V501">
        <v>13.1</v>
      </c>
      <c r="W501">
        <v>28.3</v>
      </c>
      <c r="X501" t="s">
        <v>32</v>
      </c>
      <c r="Y501" t="s">
        <v>64</v>
      </c>
      <c r="Z501" t="s">
        <v>1728</v>
      </c>
    </row>
    <row r="502" spans="1:26" x14ac:dyDescent="0.2">
      <c r="A502" s="3">
        <v>42606</v>
      </c>
      <c r="B502">
        <v>501</v>
      </c>
      <c r="C502">
        <v>3</v>
      </c>
      <c r="D502" t="s">
        <v>27</v>
      </c>
      <c r="E502" t="s">
        <v>34</v>
      </c>
      <c r="F502" t="s">
        <v>123</v>
      </c>
      <c r="G502" t="s">
        <v>35</v>
      </c>
      <c r="H502" s="17" t="s">
        <v>1748</v>
      </c>
      <c r="I502" s="17" t="s">
        <v>1749</v>
      </c>
      <c r="J502" t="s">
        <v>63</v>
      </c>
      <c r="L502" t="s">
        <v>51</v>
      </c>
      <c r="M502" t="s">
        <v>495</v>
      </c>
      <c r="N502" t="s">
        <v>260</v>
      </c>
      <c r="O502" t="s">
        <v>1750</v>
      </c>
      <c r="P502" t="s">
        <v>759</v>
      </c>
      <c r="Q502">
        <v>7</v>
      </c>
      <c r="R502" t="s">
        <v>759</v>
      </c>
      <c r="T502">
        <f>30-15</f>
        <v>15</v>
      </c>
      <c r="U502">
        <v>19</v>
      </c>
      <c r="V502">
        <v>12.8</v>
      </c>
      <c r="W502">
        <v>26.5</v>
      </c>
      <c r="X502" t="s">
        <v>32</v>
      </c>
      <c r="Y502" t="s">
        <v>64</v>
      </c>
      <c r="Z502" t="s">
        <v>1751</v>
      </c>
    </row>
    <row r="503" spans="1:26" x14ac:dyDescent="0.2">
      <c r="A503" s="3">
        <v>42606</v>
      </c>
      <c r="B503">
        <v>501</v>
      </c>
      <c r="C503">
        <v>3</v>
      </c>
      <c r="D503" t="s">
        <v>52</v>
      </c>
      <c r="E503" t="s">
        <v>28</v>
      </c>
      <c r="F503" t="s">
        <v>29</v>
      </c>
      <c r="G503" t="s">
        <v>35</v>
      </c>
      <c r="H503" s="17" t="s">
        <v>1678</v>
      </c>
      <c r="J503" t="s">
        <v>63</v>
      </c>
      <c r="L503" t="s">
        <v>51</v>
      </c>
      <c r="M503" t="s">
        <v>495</v>
      </c>
      <c r="N503" t="s">
        <v>260</v>
      </c>
      <c r="O503">
        <v>2</v>
      </c>
      <c r="P503" t="s">
        <v>759</v>
      </c>
      <c r="Q503">
        <v>2</v>
      </c>
      <c r="R503" t="s">
        <v>832</v>
      </c>
      <c r="T503">
        <f>36-17</f>
        <v>19</v>
      </c>
      <c r="U503">
        <v>17.5</v>
      </c>
      <c r="V503">
        <v>12.8</v>
      </c>
      <c r="W503">
        <v>27.5</v>
      </c>
      <c r="X503" t="s">
        <v>32</v>
      </c>
      <c r="Y503" t="s">
        <v>64</v>
      </c>
      <c r="Z503" t="s">
        <v>1752</v>
      </c>
    </row>
    <row r="504" spans="1:26" x14ac:dyDescent="0.2">
      <c r="A504" s="3">
        <v>42606</v>
      </c>
      <c r="B504">
        <v>501</v>
      </c>
      <c r="C504">
        <v>4</v>
      </c>
      <c r="D504" t="s">
        <v>52</v>
      </c>
      <c r="E504" t="s">
        <v>28</v>
      </c>
      <c r="F504" t="s">
        <v>123</v>
      </c>
      <c r="G504" t="s">
        <v>35</v>
      </c>
      <c r="H504" s="17" t="s">
        <v>1677</v>
      </c>
      <c r="J504" t="s">
        <v>63</v>
      </c>
      <c r="L504" t="s">
        <v>51</v>
      </c>
      <c r="M504" t="s">
        <v>495</v>
      </c>
      <c r="N504" t="s">
        <v>260</v>
      </c>
      <c r="O504" t="s">
        <v>1584</v>
      </c>
      <c r="P504" t="s">
        <v>759</v>
      </c>
      <c r="Q504" t="s">
        <v>1584</v>
      </c>
      <c r="R504" t="s">
        <v>832</v>
      </c>
      <c r="T504">
        <f>26.5-13.5</f>
        <v>13</v>
      </c>
      <c r="U504">
        <v>17</v>
      </c>
      <c r="V504">
        <v>12.8</v>
      </c>
      <c r="W504">
        <v>25.2</v>
      </c>
      <c r="X504" t="s">
        <v>32</v>
      </c>
      <c r="Y504" t="s">
        <v>64</v>
      </c>
    </row>
    <row r="505" spans="1:26" x14ac:dyDescent="0.2">
      <c r="A505" s="3">
        <v>42606</v>
      </c>
      <c r="B505">
        <v>501</v>
      </c>
      <c r="C505">
        <v>4</v>
      </c>
      <c r="D505" t="s">
        <v>52</v>
      </c>
      <c r="E505" t="s">
        <v>34</v>
      </c>
      <c r="F505" t="s">
        <v>29</v>
      </c>
      <c r="G505" t="s">
        <v>35</v>
      </c>
      <c r="H505" s="17" t="s">
        <v>1753</v>
      </c>
      <c r="J505" t="s">
        <v>39</v>
      </c>
      <c r="L505" t="s">
        <v>51</v>
      </c>
      <c r="M505" t="s">
        <v>495</v>
      </c>
      <c r="N505" t="s">
        <v>260</v>
      </c>
      <c r="O505">
        <v>2</v>
      </c>
      <c r="P505" t="s">
        <v>832</v>
      </c>
      <c r="Q505">
        <v>2</v>
      </c>
      <c r="R505" t="s">
        <v>832</v>
      </c>
      <c r="T505">
        <f>34-13</f>
        <v>21</v>
      </c>
      <c r="U505">
        <v>18</v>
      </c>
      <c r="V505">
        <v>12.9</v>
      </c>
      <c r="W505">
        <v>26.4</v>
      </c>
      <c r="X505" t="s">
        <v>32</v>
      </c>
      <c r="Y505" t="s">
        <v>64</v>
      </c>
    </row>
    <row r="506" spans="1:26" x14ac:dyDescent="0.2">
      <c r="A506" s="3">
        <v>42606</v>
      </c>
      <c r="B506">
        <v>501</v>
      </c>
      <c r="C506">
        <v>7</v>
      </c>
      <c r="D506" t="s">
        <v>142</v>
      </c>
      <c r="E506" t="s">
        <v>34</v>
      </c>
      <c r="F506" t="s">
        <v>188</v>
      </c>
      <c r="G506" t="s">
        <v>35</v>
      </c>
      <c r="H506" s="17" t="s">
        <v>1754</v>
      </c>
      <c r="J506" t="s">
        <v>63</v>
      </c>
      <c r="L506" t="s">
        <v>51</v>
      </c>
      <c r="M506" t="s">
        <v>495</v>
      </c>
      <c r="N506" t="s">
        <v>260</v>
      </c>
      <c r="O506">
        <v>7</v>
      </c>
      <c r="P506" t="s">
        <v>759</v>
      </c>
      <c r="Q506">
        <v>7</v>
      </c>
      <c r="R506" t="s">
        <v>759</v>
      </c>
      <c r="T506">
        <f>32.5-13</f>
        <v>19.5</v>
      </c>
      <c r="U506">
        <v>29</v>
      </c>
      <c r="V506">
        <v>13</v>
      </c>
      <c r="W506">
        <v>24.8</v>
      </c>
      <c r="X506" t="s">
        <v>32</v>
      </c>
      <c r="Y506" t="s">
        <v>64</v>
      </c>
    </row>
    <row r="507" spans="1:26" x14ac:dyDescent="0.2">
      <c r="A507" s="3">
        <v>42606</v>
      </c>
      <c r="B507">
        <v>501</v>
      </c>
      <c r="C507">
        <v>8</v>
      </c>
      <c r="D507" t="s">
        <v>142</v>
      </c>
      <c r="E507" t="s">
        <v>28</v>
      </c>
      <c r="F507" t="s">
        <v>29</v>
      </c>
      <c r="G507" t="s">
        <v>30</v>
      </c>
      <c r="I507" s="17" t="s">
        <v>1755</v>
      </c>
      <c r="J507" t="s">
        <v>31</v>
      </c>
      <c r="L507" t="s">
        <v>51</v>
      </c>
      <c r="M507" t="s">
        <v>494</v>
      </c>
      <c r="N507" t="s">
        <v>32</v>
      </c>
      <c r="O507">
        <v>7</v>
      </c>
      <c r="P507" t="s">
        <v>759</v>
      </c>
      <c r="T507">
        <f>35-13</f>
        <v>22</v>
      </c>
      <c r="U507">
        <v>29</v>
      </c>
      <c r="V507">
        <v>13</v>
      </c>
      <c r="W507">
        <v>26</v>
      </c>
      <c r="X507" t="s">
        <v>32</v>
      </c>
      <c r="Y507" t="s">
        <v>64</v>
      </c>
      <c r="Z507" t="s">
        <v>1757</v>
      </c>
    </row>
    <row r="508" spans="1:26" x14ac:dyDescent="0.2">
      <c r="A508" s="3">
        <v>42606</v>
      </c>
      <c r="B508">
        <v>501</v>
      </c>
      <c r="C508">
        <v>9</v>
      </c>
      <c r="D508" t="s">
        <v>139</v>
      </c>
      <c r="E508" t="s">
        <v>28</v>
      </c>
      <c r="F508" t="s">
        <v>29</v>
      </c>
      <c r="G508" t="s">
        <v>30</v>
      </c>
      <c r="I508" s="17" t="s">
        <v>1758</v>
      </c>
      <c r="J508" t="s">
        <v>75</v>
      </c>
      <c r="L508" t="s">
        <v>633</v>
      </c>
      <c r="M508" t="s">
        <v>260</v>
      </c>
      <c r="S508" t="s">
        <v>759</v>
      </c>
      <c r="T508">
        <f>153-51</f>
        <v>102</v>
      </c>
      <c r="U508">
        <v>36</v>
      </c>
      <c r="V508">
        <v>22.5</v>
      </c>
      <c r="W508">
        <v>42.2</v>
      </c>
      <c r="X508" t="s">
        <v>32</v>
      </c>
      <c r="Y508" t="s">
        <v>64</v>
      </c>
      <c r="Z508" t="s">
        <v>1759</v>
      </c>
    </row>
    <row r="509" spans="1:26" x14ac:dyDescent="0.2">
      <c r="A509" s="3">
        <v>42606</v>
      </c>
      <c r="B509">
        <v>503</v>
      </c>
      <c r="C509">
        <v>1</v>
      </c>
      <c r="D509" t="s">
        <v>52</v>
      </c>
      <c r="E509" t="s">
        <v>28</v>
      </c>
      <c r="F509" t="s">
        <v>29</v>
      </c>
      <c r="G509" t="s">
        <v>35</v>
      </c>
      <c r="H509" s="17" t="s">
        <v>1761</v>
      </c>
      <c r="J509" t="s">
        <v>39</v>
      </c>
      <c r="L509" t="s">
        <v>51</v>
      </c>
      <c r="M509" t="s">
        <v>495</v>
      </c>
      <c r="N509" t="s">
        <v>260</v>
      </c>
      <c r="O509" t="s">
        <v>1335</v>
      </c>
      <c r="P509" t="s">
        <v>759</v>
      </c>
      <c r="Q509">
        <v>2</v>
      </c>
      <c r="R509" t="s">
        <v>759</v>
      </c>
      <c r="T509">
        <f>46-16</f>
        <v>30</v>
      </c>
      <c r="U509">
        <v>16</v>
      </c>
      <c r="V509">
        <v>13</v>
      </c>
      <c r="W509">
        <v>26</v>
      </c>
      <c r="X509" t="s">
        <v>32</v>
      </c>
      <c r="Y509" t="s">
        <v>64</v>
      </c>
      <c r="Z509" t="s">
        <v>1763</v>
      </c>
    </row>
    <row r="510" spans="1:26" x14ac:dyDescent="0.2">
      <c r="A510" s="3">
        <v>42606</v>
      </c>
      <c r="B510">
        <v>503</v>
      </c>
      <c r="C510">
        <v>1</v>
      </c>
      <c r="D510" t="s">
        <v>139</v>
      </c>
      <c r="E510" t="s">
        <v>34</v>
      </c>
      <c r="F510" t="s">
        <v>123</v>
      </c>
      <c r="G510" t="s">
        <v>30</v>
      </c>
      <c r="H510" s="17" t="s">
        <v>1764</v>
      </c>
      <c r="J510" t="s">
        <v>31</v>
      </c>
      <c r="L510" t="s">
        <v>633</v>
      </c>
      <c r="M510" t="s">
        <v>260</v>
      </c>
      <c r="S510" t="s">
        <v>759</v>
      </c>
      <c r="T510">
        <f>112-52</f>
        <v>60</v>
      </c>
      <c r="U510">
        <v>30</v>
      </c>
      <c r="V510">
        <v>21.3</v>
      </c>
      <c r="W510">
        <v>38</v>
      </c>
      <c r="X510" t="s">
        <v>32</v>
      </c>
      <c r="Y510" t="s">
        <v>64</v>
      </c>
    </row>
    <row r="511" spans="1:26" x14ac:dyDescent="0.2">
      <c r="A511" s="3">
        <v>42606</v>
      </c>
      <c r="B511">
        <v>503</v>
      </c>
      <c r="C511">
        <v>3</v>
      </c>
      <c r="D511" t="s">
        <v>27</v>
      </c>
      <c r="E511" t="s">
        <v>28</v>
      </c>
      <c r="F511" t="s">
        <v>123</v>
      </c>
      <c r="G511" t="s">
        <v>35</v>
      </c>
      <c r="H511" s="17" t="s">
        <v>1126</v>
      </c>
      <c r="I511" s="17" t="s">
        <v>1124</v>
      </c>
      <c r="J511" t="s">
        <v>63</v>
      </c>
      <c r="L511" t="s">
        <v>51</v>
      </c>
      <c r="M511" t="s">
        <v>494</v>
      </c>
      <c r="N511" t="s">
        <v>260</v>
      </c>
      <c r="O511">
        <v>5</v>
      </c>
      <c r="P511" t="s">
        <v>759</v>
      </c>
      <c r="T511">
        <f>31.5-17</f>
        <v>14.5</v>
      </c>
      <c r="U511">
        <v>18</v>
      </c>
      <c r="V511">
        <v>12.8</v>
      </c>
      <c r="W511">
        <v>26.2</v>
      </c>
      <c r="X511" t="s">
        <v>32</v>
      </c>
      <c r="Y511" t="s">
        <v>64</v>
      </c>
      <c r="Z511" t="s">
        <v>1728</v>
      </c>
    </row>
    <row r="512" spans="1:26" x14ac:dyDescent="0.2">
      <c r="A512" s="3">
        <v>42606</v>
      </c>
      <c r="B512">
        <v>503</v>
      </c>
      <c r="C512">
        <v>6</v>
      </c>
      <c r="D512" t="s">
        <v>52</v>
      </c>
      <c r="E512" t="s">
        <v>28</v>
      </c>
      <c r="F512" t="s">
        <v>29</v>
      </c>
      <c r="G512" t="s">
        <v>35</v>
      </c>
      <c r="H512" s="17" t="s">
        <v>1694</v>
      </c>
      <c r="J512" t="s">
        <v>63</v>
      </c>
      <c r="L512" t="s">
        <v>51</v>
      </c>
      <c r="M512" t="s">
        <v>495</v>
      </c>
      <c r="N512" t="s">
        <v>260</v>
      </c>
      <c r="O512">
        <v>2</v>
      </c>
      <c r="P512" t="s">
        <v>759</v>
      </c>
      <c r="Q512">
        <v>2</v>
      </c>
      <c r="R512" t="s">
        <v>759</v>
      </c>
      <c r="T512">
        <f>32-15.5</f>
        <v>16.5</v>
      </c>
      <c r="U512">
        <v>17.5</v>
      </c>
      <c r="V512">
        <v>13.1</v>
      </c>
      <c r="W512">
        <v>25.8</v>
      </c>
      <c r="X512" t="s">
        <v>32</v>
      </c>
      <c r="Y512" t="s">
        <v>64</v>
      </c>
    </row>
    <row r="513" spans="1:29" x14ac:dyDescent="0.2">
      <c r="A513" s="3">
        <v>42606</v>
      </c>
      <c r="B513">
        <v>503</v>
      </c>
      <c r="C513">
        <v>8</v>
      </c>
      <c r="D513" t="s">
        <v>139</v>
      </c>
      <c r="E513" t="s">
        <v>28</v>
      </c>
      <c r="F513" t="s">
        <v>29</v>
      </c>
      <c r="G513" t="s">
        <v>30</v>
      </c>
      <c r="H513" s="17" t="s">
        <v>1127</v>
      </c>
      <c r="J513" t="s">
        <v>75</v>
      </c>
      <c r="L513" t="s">
        <v>633</v>
      </c>
      <c r="M513" t="s">
        <v>260</v>
      </c>
      <c r="S513" t="s">
        <v>759</v>
      </c>
      <c r="T513">
        <f>140-52</f>
        <v>88</v>
      </c>
      <c r="U513">
        <v>32</v>
      </c>
      <c r="V513">
        <v>22.3</v>
      </c>
      <c r="W513">
        <v>42.7</v>
      </c>
      <c r="X513" t="s">
        <v>32</v>
      </c>
      <c r="Y513" t="s">
        <v>64</v>
      </c>
      <c r="AA513" s="20"/>
    </row>
    <row r="514" spans="1:29" x14ac:dyDescent="0.2">
      <c r="A514" s="3">
        <v>42606</v>
      </c>
      <c r="B514">
        <v>303</v>
      </c>
      <c r="C514">
        <v>2</v>
      </c>
      <c r="D514" t="s">
        <v>52</v>
      </c>
      <c r="E514" t="s">
        <v>28</v>
      </c>
      <c r="F514" t="s">
        <v>29</v>
      </c>
      <c r="G514" t="s">
        <v>35</v>
      </c>
      <c r="H514" s="17" t="s">
        <v>1703</v>
      </c>
      <c r="J514" t="s">
        <v>39</v>
      </c>
      <c r="K514" t="s">
        <v>1769</v>
      </c>
      <c r="L514" t="s">
        <v>51</v>
      </c>
      <c r="M514" t="s">
        <v>495</v>
      </c>
      <c r="N514" t="s">
        <v>260</v>
      </c>
      <c r="O514" t="s">
        <v>1584</v>
      </c>
      <c r="P514" t="s">
        <v>832</v>
      </c>
      <c r="Q514">
        <v>2</v>
      </c>
      <c r="R514" t="s">
        <v>832</v>
      </c>
      <c r="T514">
        <f>35-14.5</f>
        <v>20.5</v>
      </c>
      <c r="U514">
        <v>17.5</v>
      </c>
      <c r="V514">
        <v>13</v>
      </c>
      <c r="X514" t="s">
        <v>32</v>
      </c>
      <c r="Y514" t="s">
        <v>64</v>
      </c>
      <c r="Z514" t="s">
        <v>1770</v>
      </c>
      <c r="AA514" t="s">
        <v>1771</v>
      </c>
      <c r="AC514" t="s">
        <v>1772</v>
      </c>
    </row>
    <row r="515" spans="1:29" x14ac:dyDescent="0.2">
      <c r="A515" s="3">
        <v>42606</v>
      </c>
      <c r="B515">
        <v>303</v>
      </c>
      <c r="C515">
        <v>3</v>
      </c>
      <c r="D515" t="s">
        <v>52</v>
      </c>
      <c r="E515" t="s">
        <v>28</v>
      </c>
      <c r="F515" t="s">
        <v>188</v>
      </c>
      <c r="G515" t="s">
        <v>35</v>
      </c>
      <c r="H515" s="17" t="s">
        <v>1130</v>
      </c>
      <c r="J515" t="s">
        <v>63</v>
      </c>
      <c r="L515" t="s">
        <v>51</v>
      </c>
      <c r="M515" t="s">
        <v>495</v>
      </c>
      <c r="N515" t="s">
        <v>260</v>
      </c>
      <c r="O515" t="s">
        <v>923</v>
      </c>
      <c r="P515" t="s">
        <v>832</v>
      </c>
      <c r="Q515">
        <v>2</v>
      </c>
      <c r="R515" t="s">
        <v>832</v>
      </c>
      <c r="T515">
        <f>32.5-15.5</f>
        <v>17</v>
      </c>
      <c r="U515">
        <v>18</v>
      </c>
      <c r="V515">
        <v>12.8</v>
      </c>
      <c r="W515">
        <v>26.9</v>
      </c>
      <c r="X515" t="s">
        <v>32</v>
      </c>
      <c r="Y515" t="s">
        <v>64</v>
      </c>
      <c r="Z515" t="s">
        <v>1773</v>
      </c>
    </row>
    <row r="516" spans="1:29" x14ac:dyDescent="0.2">
      <c r="A516" s="3">
        <v>42606</v>
      </c>
      <c r="B516">
        <v>303</v>
      </c>
      <c r="C516">
        <v>4</v>
      </c>
      <c r="D516" t="s">
        <v>27</v>
      </c>
      <c r="E516" t="s">
        <v>28</v>
      </c>
      <c r="F516" t="s">
        <v>123</v>
      </c>
      <c r="G516" t="s">
        <v>30</v>
      </c>
      <c r="H516" s="17" t="s">
        <v>1255</v>
      </c>
      <c r="I516" s="17" t="s">
        <v>1256</v>
      </c>
      <c r="J516" t="s">
        <v>31</v>
      </c>
      <c r="L516" t="s">
        <v>51</v>
      </c>
      <c r="M516" t="s">
        <v>495</v>
      </c>
      <c r="N516" t="s">
        <v>260</v>
      </c>
      <c r="O516">
        <v>6</v>
      </c>
      <c r="P516" t="s">
        <v>759</v>
      </c>
      <c r="Q516">
        <v>6</v>
      </c>
      <c r="R516" t="s">
        <v>759</v>
      </c>
      <c r="T516">
        <f>28-14</f>
        <v>14</v>
      </c>
      <c r="U516">
        <v>17</v>
      </c>
      <c r="V516">
        <v>13</v>
      </c>
      <c r="W516">
        <v>27.1</v>
      </c>
      <c r="X516" t="s">
        <v>32</v>
      </c>
      <c r="Y516" t="s">
        <v>64</v>
      </c>
    </row>
    <row r="517" spans="1:29" x14ac:dyDescent="0.2">
      <c r="A517" s="3">
        <v>42606</v>
      </c>
      <c r="B517">
        <v>303</v>
      </c>
      <c r="C517">
        <v>5</v>
      </c>
      <c r="D517" t="s">
        <v>52</v>
      </c>
      <c r="E517" t="s">
        <v>28</v>
      </c>
      <c r="F517" t="s">
        <v>29</v>
      </c>
      <c r="G517" t="s">
        <v>30</v>
      </c>
      <c r="H517" s="17" t="s">
        <v>1136</v>
      </c>
      <c r="J517" t="s">
        <v>31</v>
      </c>
      <c r="L517" t="s">
        <v>51</v>
      </c>
      <c r="M517" t="s">
        <v>495</v>
      </c>
      <c r="N517" t="s">
        <v>260</v>
      </c>
      <c r="O517" t="s">
        <v>1335</v>
      </c>
      <c r="P517" t="s">
        <v>759</v>
      </c>
      <c r="Q517">
        <v>2</v>
      </c>
      <c r="R517" t="s">
        <v>759</v>
      </c>
      <c r="T517">
        <f>36-14</f>
        <v>22</v>
      </c>
      <c r="U517">
        <v>17</v>
      </c>
      <c r="V517">
        <v>13.1</v>
      </c>
      <c r="W517">
        <v>27.1</v>
      </c>
      <c r="X517" t="s">
        <v>32</v>
      </c>
      <c r="Y517" t="s">
        <v>64</v>
      </c>
      <c r="Z517" t="s">
        <v>1775</v>
      </c>
    </row>
    <row r="518" spans="1:29" x14ac:dyDescent="0.2">
      <c r="A518" s="3">
        <v>42606</v>
      </c>
      <c r="B518">
        <v>303</v>
      </c>
      <c r="C518">
        <v>7</v>
      </c>
      <c r="D518" t="s">
        <v>27</v>
      </c>
      <c r="E518" t="s">
        <v>28</v>
      </c>
      <c r="F518" t="s">
        <v>188</v>
      </c>
      <c r="G518" t="s">
        <v>35</v>
      </c>
      <c r="H518" s="17" t="s">
        <v>1134</v>
      </c>
      <c r="I518" s="17" t="s">
        <v>1135</v>
      </c>
      <c r="J518" t="s">
        <v>63</v>
      </c>
      <c r="L518" t="s">
        <v>51</v>
      </c>
      <c r="M518" t="s">
        <v>493</v>
      </c>
      <c r="N518" t="s">
        <v>260</v>
      </c>
      <c r="Q518">
        <v>6</v>
      </c>
      <c r="R518" t="s">
        <v>759</v>
      </c>
      <c r="T518">
        <f>31.5-16</f>
        <v>15.5</v>
      </c>
      <c r="U518">
        <v>19</v>
      </c>
      <c r="V518">
        <v>13.1</v>
      </c>
      <c r="W518">
        <v>26.5</v>
      </c>
      <c r="X518" t="s">
        <v>32</v>
      </c>
      <c r="Y518" t="s">
        <v>64</v>
      </c>
      <c r="Z518" t="s">
        <v>1728</v>
      </c>
    </row>
    <row r="519" spans="1:29" x14ac:dyDescent="0.2">
      <c r="A519" s="3">
        <v>42606</v>
      </c>
      <c r="B519">
        <v>303</v>
      </c>
      <c r="C519">
        <v>7</v>
      </c>
      <c r="D519" t="s">
        <v>27</v>
      </c>
      <c r="E519" t="s">
        <v>28</v>
      </c>
      <c r="F519" t="s">
        <v>123</v>
      </c>
      <c r="G519" t="s">
        <v>30</v>
      </c>
      <c r="H519" s="17" t="s">
        <v>1280</v>
      </c>
      <c r="I519" s="17" t="s">
        <v>1776</v>
      </c>
      <c r="J519" t="s">
        <v>31</v>
      </c>
      <c r="L519" t="s">
        <v>51</v>
      </c>
      <c r="M519" t="s">
        <v>493</v>
      </c>
      <c r="N519" t="s">
        <v>260</v>
      </c>
      <c r="Q519" t="s">
        <v>923</v>
      </c>
      <c r="R519" t="s">
        <v>759</v>
      </c>
      <c r="T519">
        <f>28-14</f>
        <v>14</v>
      </c>
      <c r="U519">
        <v>18</v>
      </c>
      <c r="V519">
        <v>12.8</v>
      </c>
      <c r="W519">
        <v>26</v>
      </c>
      <c r="X519" t="s">
        <v>32</v>
      </c>
      <c r="Y519" t="s">
        <v>64</v>
      </c>
    </row>
    <row r="520" spans="1:29" x14ac:dyDescent="0.2">
      <c r="A520" s="3">
        <v>42606</v>
      </c>
      <c r="B520">
        <v>303</v>
      </c>
      <c r="C520">
        <v>9</v>
      </c>
      <c r="D520" t="s">
        <v>52</v>
      </c>
      <c r="E520" t="s">
        <v>34</v>
      </c>
      <c r="F520" t="s">
        <v>29</v>
      </c>
      <c r="G520" t="s">
        <v>35</v>
      </c>
      <c r="H520" s="17" t="s">
        <v>1777</v>
      </c>
      <c r="J520" t="s">
        <v>39</v>
      </c>
      <c r="L520" t="s">
        <v>51</v>
      </c>
      <c r="M520" t="s">
        <v>495</v>
      </c>
      <c r="N520" t="s">
        <v>260</v>
      </c>
      <c r="O520">
        <v>2</v>
      </c>
      <c r="P520" t="s">
        <v>832</v>
      </c>
      <c r="Q520">
        <v>2</v>
      </c>
      <c r="R520" t="s">
        <v>832</v>
      </c>
      <c r="T520">
        <f>35-15</f>
        <v>20</v>
      </c>
      <c r="U520">
        <v>17</v>
      </c>
      <c r="V520">
        <v>13</v>
      </c>
      <c r="W520">
        <v>26.9</v>
      </c>
      <c r="X520" t="s">
        <v>32</v>
      </c>
      <c r="Y520" t="s">
        <v>64</v>
      </c>
      <c r="Z520" t="s">
        <v>1752</v>
      </c>
    </row>
    <row r="521" spans="1:29" x14ac:dyDescent="0.2">
      <c r="A521" s="3">
        <v>42606</v>
      </c>
      <c r="B521">
        <v>303</v>
      </c>
      <c r="C521">
        <v>9</v>
      </c>
      <c r="D521" t="s">
        <v>52</v>
      </c>
      <c r="E521" t="s">
        <v>28</v>
      </c>
      <c r="F521" t="s">
        <v>188</v>
      </c>
      <c r="G521" t="s">
        <v>35</v>
      </c>
      <c r="H521" s="17" t="s">
        <v>1700</v>
      </c>
      <c r="J521" t="s">
        <v>63</v>
      </c>
      <c r="L521" t="s">
        <v>51</v>
      </c>
      <c r="M521" t="s">
        <v>495</v>
      </c>
      <c r="N521" t="s">
        <v>260</v>
      </c>
      <c r="O521">
        <v>2</v>
      </c>
      <c r="P521" t="s">
        <v>759</v>
      </c>
      <c r="Q521">
        <v>2</v>
      </c>
      <c r="R521" t="s">
        <v>759</v>
      </c>
      <c r="T521">
        <f>31.5-13.5</f>
        <v>18</v>
      </c>
      <c r="U521">
        <v>17</v>
      </c>
      <c r="V521">
        <v>12.9</v>
      </c>
      <c r="W521">
        <v>26.9</v>
      </c>
      <c r="X521" t="s">
        <v>32</v>
      </c>
      <c r="Y521" t="s">
        <v>64</v>
      </c>
    </row>
    <row r="522" spans="1:29" x14ac:dyDescent="0.2">
      <c r="A522" s="3">
        <v>42606</v>
      </c>
      <c r="B522">
        <v>401</v>
      </c>
      <c r="C522">
        <v>1</v>
      </c>
      <c r="D522" t="s">
        <v>52</v>
      </c>
      <c r="E522" t="s">
        <v>28</v>
      </c>
      <c r="F522" t="s">
        <v>29</v>
      </c>
      <c r="G522" t="s">
        <v>30</v>
      </c>
      <c r="H522" s="17" t="s">
        <v>1257</v>
      </c>
      <c r="J522" t="s">
        <v>75</v>
      </c>
      <c r="L522" t="s">
        <v>51</v>
      </c>
      <c r="M522" t="s">
        <v>495</v>
      </c>
      <c r="N522" t="s">
        <v>260</v>
      </c>
      <c r="O522" t="s">
        <v>1335</v>
      </c>
      <c r="P522" t="s">
        <v>832</v>
      </c>
      <c r="Q522">
        <v>2</v>
      </c>
      <c r="R522" t="s">
        <v>832</v>
      </c>
      <c r="T522">
        <f>39-13</f>
        <v>26</v>
      </c>
      <c r="U522">
        <v>17</v>
      </c>
      <c r="X522" t="s">
        <v>32</v>
      </c>
      <c r="Y522" t="s">
        <v>64</v>
      </c>
      <c r="Z522" t="s">
        <v>1779</v>
      </c>
    </row>
    <row r="523" spans="1:29" x14ac:dyDescent="0.2">
      <c r="A523" s="3">
        <v>42606</v>
      </c>
      <c r="B523">
        <v>401</v>
      </c>
      <c r="C523">
        <v>1</v>
      </c>
      <c r="D523" t="s">
        <v>27</v>
      </c>
      <c r="E523" t="s">
        <v>28</v>
      </c>
      <c r="F523" t="s">
        <v>188</v>
      </c>
      <c r="G523" t="s">
        <v>30</v>
      </c>
      <c r="H523" s="17" t="s">
        <v>1258</v>
      </c>
      <c r="I523" s="17" t="s">
        <v>1259</v>
      </c>
      <c r="J523" t="s">
        <v>31</v>
      </c>
      <c r="L523" t="s">
        <v>51</v>
      </c>
      <c r="M523" t="s">
        <v>495</v>
      </c>
      <c r="N523" t="s">
        <v>260</v>
      </c>
      <c r="O523" t="s">
        <v>923</v>
      </c>
      <c r="P523" t="s">
        <v>759</v>
      </c>
      <c r="Q523">
        <v>6</v>
      </c>
      <c r="R523" t="s">
        <v>759</v>
      </c>
      <c r="T523">
        <f>36-17</f>
        <v>19</v>
      </c>
      <c r="U523">
        <v>20</v>
      </c>
      <c r="V523">
        <v>13</v>
      </c>
      <c r="W523">
        <v>28.4</v>
      </c>
      <c r="X523" t="s">
        <v>32</v>
      </c>
      <c r="Y523" t="s">
        <v>64</v>
      </c>
      <c r="Z523" t="s">
        <v>1780</v>
      </c>
    </row>
    <row r="524" spans="1:29" x14ac:dyDescent="0.2">
      <c r="A524" s="3">
        <v>42606</v>
      </c>
      <c r="B524">
        <v>401</v>
      </c>
      <c r="C524">
        <v>3</v>
      </c>
      <c r="D524" t="s">
        <v>52</v>
      </c>
      <c r="E524" t="s">
        <v>28</v>
      </c>
      <c r="F524" t="s">
        <v>188</v>
      </c>
      <c r="G524" t="s">
        <v>30</v>
      </c>
      <c r="H524" s="17" t="s">
        <v>1738</v>
      </c>
      <c r="J524" t="s">
        <v>31</v>
      </c>
      <c r="L524" t="s">
        <v>51</v>
      </c>
      <c r="M524" t="s">
        <v>495</v>
      </c>
      <c r="N524" t="s">
        <v>260</v>
      </c>
      <c r="O524">
        <v>2</v>
      </c>
      <c r="P524" t="s">
        <v>759</v>
      </c>
      <c r="Q524">
        <v>2</v>
      </c>
      <c r="R524" t="s">
        <v>759</v>
      </c>
      <c r="T524">
        <f>33-17</f>
        <v>16</v>
      </c>
      <c r="U524">
        <v>17</v>
      </c>
      <c r="V524">
        <v>13.5</v>
      </c>
      <c r="W524">
        <v>26</v>
      </c>
      <c r="X524" t="s">
        <v>32</v>
      </c>
      <c r="Y524" t="s">
        <v>64</v>
      </c>
    </row>
    <row r="525" spans="1:29" x14ac:dyDescent="0.2">
      <c r="A525" s="3">
        <v>42606</v>
      </c>
      <c r="B525">
        <v>401</v>
      </c>
      <c r="C525">
        <v>4</v>
      </c>
      <c r="D525" t="s">
        <v>27</v>
      </c>
      <c r="E525" t="s">
        <v>28</v>
      </c>
      <c r="F525" t="s">
        <v>188</v>
      </c>
      <c r="G525" t="s">
        <v>35</v>
      </c>
      <c r="H525" s="17" t="s">
        <v>1282</v>
      </c>
      <c r="I525" s="17" t="s">
        <v>1283</v>
      </c>
      <c r="J525" t="s">
        <v>63</v>
      </c>
      <c r="L525" t="s">
        <v>51</v>
      </c>
      <c r="M525" t="s">
        <v>495</v>
      </c>
      <c r="N525" t="s">
        <v>260</v>
      </c>
      <c r="O525">
        <v>6</v>
      </c>
      <c r="P525" t="s">
        <v>759</v>
      </c>
      <c r="Q525">
        <v>6</v>
      </c>
      <c r="R525" t="s">
        <v>759</v>
      </c>
      <c r="T525">
        <f>34-17</f>
        <v>17</v>
      </c>
      <c r="U525">
        <v>19.5</v>
      </c>
      <c r="V525">
        <v>13.1</v>
      </c>
      <c r="W525">
        <v>26.4</v>
      </c>
      <c r="X525" t="s">
        <v>32</v>
      </c>
      <c r="Y525" t="s">
        <v>64</v>
      </c>
    </row>
    <row r="526" spans="1:29" x14ac:dyDescent="0.2">
      <c r="A526" s="3">
        <v>42606</v>
      </c>
      <c r="B526">
        <v>401</v>
      </c>
      <c r="C526">
        <v>5</v>
      </c>
      <c r="D526" t="s">
        <v>142</v>
      </c>
      <c r="E526" t="s">
        <v>28</v>
      </c>
      <c r="F526" t="s">
        <v>188</v>
      </c>
      <c r="G526" t="s">
        <v>30</v>
      </c>
      <c r="I526" s="17" t="s">
        <v>1742</v>
      </c>
      <c r="J526" t="s">
        <v>31</v>
      </c>
      <c r="L526" t="s">
        <v>51</v>
      </c>
      <c r="M526" t="s">
        <v>495</v>
      </c>
      <c r="N526" t="s">
        <v>260</v>
      </c>
      <c r="O526">
        <v>7</v>
      </c>
      <c r="P526" t="s">
        <v>759</v>
      </c>
      <c r="Q526">
        <v>7</v>
      </c>
      <c r="R526" t="s">
        <v>759</v>
      </c>
      <c r="T526">
        <f>31-13</f>
        <v>18</v>
      </c>
      <c r="U526">
        <v>28</v>
      </c>
      <c r="V526">
        <v>13.1</v>
      </c>
      <c r="W526">
        <v>26.3</v>
      </c>
      <c r="X526" t="s">
        <v>32</v>
      </c>
      <c r="Y526" t="s">
        <v>64</v>
      </c>
      <c r="Z526" t="s">
        <v>1782</v>
      </c>
    </row>
    <row r="527" spans="1:29" x14ac:dyDescent="0.2">
      <c r="A527" s="3">
        <v>42606</v>
      </c>
      <c r="B527">
        <v>401</v>
      </c>
      <c r="C527">
        <v>8</v>
      </c>
      <c r="D527" t="s">
        <v>52</v>
      </c>
      <c r="E527" t="s">
        <v>34</v>
      </c>
      <c r="F527" t="s">
        <v>188</v>
      </c>
      <c r="G527" t="s">
        <v>35</v>
      </c>
      <c r="H527" s="17" t="s">
        <v>1783</v>
      </c>
      <c r="J527" t="s">
        <v>63</v>
      </c>
      <c r="L527" t="s">
        <v>909</v>
      </c>
      <c r="M527" t="s">
        <v>495</v>
      </c>
      <c r="N527" t="s">
        <v>260</v>
      </c>
      <c r="O527">
        <v>2</v>
      </c>
      <c r="P527" t="s">
        <v>832</v>
      </c>
      <c r="Q527">
        <v>2</v>
      </c>
      <c r="R527" t="s">
        <v>832</v>
      </c>
      <c r="S527" t="s">
        <v>759</v>
      </c>
      <c r="T527">
        <f>30-13</f>
        <v>17</v>
      </c>
      <c r="U527">
        <v>18</v>
      </c>
      <c r="V527">
        <v>12.7</v>
      </c>
      <c r="W527">
        <v>26.4</v>
      </c>
      <c r="X527" t="s">
        <v>32</v>
      </c>
      <c r="Y527" t="s">
        <v>64</v>
      </c>
      <c r="Z527" t="s">
        <v>1785</v>
      </c>
    </row>
    <row r="528" spans="1:29" x14ac:dyDescent="0.2">
      <c r="A528" s="3">
        <v>42606</v>
      </c>
      <c r="B528">
        <v>401</v>
      </c>
      <c r="C528">
        <v>10</v>
      </c>
      <c r="D528" t="s">
        <v>52</v>
      </c>
      <c r="E528" t="s">
        <v>28</v>
      </c>
      <c r="F528" t="s">
        <v>29</v>
      </c>
      <c r="G528" t="s">
        <v>30</v>
      </c>
      <c r="H528" s="17" t="s">
        <v>1786</v>
      </c>
      <c r="J528" t="s">
        <v>75</v>
      </c>
      <c r="L528" t="s">
        <v>51</v>
      </c>
      <c r="M528" t="s">
        <v>495</v>
      </c>
      <c r="N528" t="s">
        <v>260</v>
      </c>
      <c r="O528">
        <v>2</v>
      </c>
      <c r="P528" t="s">
        <v>832</v>
      </c>
      <c r="Q528">
        <v>2</v>
      </c>
      <c r="R528" t="s">
        <v>832</v>
      </c>
      <c r="T528">
        <f>40-13</f>
        <v>27</v>
      </c>
      <c r="U528">
        <v>17</v>
      </c>
      <c r="V528">
        <v>13.1</v>
      </c>
      <c r="W528">
        <v>26.7</v>
      </c>
      <c r="X528" t="s">
        <v>32</v>
      </c>
      <c r="Y528" t="s">
        <v>64</v>
      </c>
    </row>
    <row r="529" spans="1:25" x14ac:dyDescent="0.2">
      <c r="A529" s="3">
        <v>42606</v>
      </c>
      <c r="B529">
        <v>703</v>
      </c>
      <c r="C529">
        <v>5</v>
      </c>
      <c r="D529" t="s">
        <v>52</v>
      </c>
      <c r="E529" t="s">
        <v>28</v>
      </c>
      <c r="F529" t="s">
        <v>188</v>
      </c>
      <c r="G529" t="s">
        <v>35</v>
      </c>
      <c r="I529" s="17" t="s">
        <v>1393</v>
      </c>
      <c r="J529" t="s">
        <v>39</v>
      </c>
      <c r="L529" t="s">
        <v>51</v>
      </c>
      <c r="M529" t="s">
        <v>495</v>
      </c>
      <c r="N529" t="s">
        <v>260</v>
      </c>
      <c r="O529">
        <v>1</v>
      </c>
      <c r="P529" t="s">
        <v>759</v>
      </c>
      <c r="Q529" t="s">
        <v>1228</v>
      </c>
      <c r="R529" t="s">
        <v>832</v>
      </c>
      <c r="T529">
        <f>33-16</f>
        <v>17</v>
      </c>
      <c r="U529">
        <v>16</v>
      </c>
      <c r="V529">
        <v>12.5</v>
      </c>
      <c r="W529">
        <v>24.9</v>
      </c>
      <c r="X529" t="s">
        <v>32</v>
      </c>
      <c r="Y529" t="s">
        <v>24</v>
      </c>
    </row>
    <row r="530" spans="1:25" x14ac:dyDescent="0.2">
      <c r="A530" s="3">
        <v>42606</v>
      </c>
      <c r="B530">
        <v>701</v>
      </c>
      <c r="C530">
        <v>4</v>
      </c>
      <c r="D530" t="s">
        <v>27</v>
      </c>
      <c r="E530" t="s">
        <v>28</v>
      </c>
      <c r="F530" t="s">
        <v>29</v>
      </c>
      <c r="G530" t="s">
        <v>30</v>
      </c>
      <c r="H530" s="17" t="s">
        <v>1363</v>
      </c>
      <c r="I530" s="17" t="s">
        <v>1364</v>
      </c>
      <c r="J530" t="s">
        <v>31</v>
      </c>
      <c r="L530" t="s">
        <v>51</v>
      </c>
      <c r="M530" t="s">
        <v>493</v>
      </c>
      <c r="N530" t="s">
        <v>260</v>
      </c>
      <c r="Q530">
        <v>1</v>
      </c>
      <c r="R530" t="s">
        <v>759</v>
      </c>
      <c r="T530">
        <f>34-14</f>
        <v>20</v>
      </c>
      <c r="U530">
        <v>19</v>
      </c>
      <c r="V530">
        <v>13.1</v>
      </c>
      <c r="W530">
        <v>28</v>
      </c>
      <c r="X530" t="s">
        <v>32</v>
      </c>
      <c r="Y530" t="s">
        <v>24</v>
      </c>
    </row>
    <row r="531" spans="1:25" x14ac:dyDescent="0.2">
      <c r="A531" s="3">
        <v>42606</v>
      </c>
      <c r="B531">
        <v>701</v>
      </c>
      <c r="C531">
        <v>5</v>
      </c>
      <c r="D531" t="s">
        <v>142</v>
      </c>
      <c r="E531" t="s">
        <v>28</v>
      </c>
      <c r="F531" t="s">
        <v>29</v>
      </c>
      <c r="G531" t="s">
        <v>35</v>
      </c>
      <c r="H531" s="17" t="s">
        <v>1873</v>
      </c>
      <c r="J531" t="s">
        <v>63</v>
      </c>
      <c r="L531" t="s">
        <v>51</v>
      </c>
      <c r="M531" t="s">
        <v>494</v>
      </c>
      <c r="N531" t="s">
        <v>145</v>
      </c>
      <c r="O531">
        <v>1</v>
      </c>
      <c r="P531" t="s">
        <v>759</v>
      </c>
      <c r="T531">
        <f>34.5-13</f>
        <v>21.5</v>
      </c>
      <c r="U531">
        <v>30</v>
      </c>
      <c r="V531">
        <v>12.6</v>
      </c>
      <c r="W531">
        <v>26</v>
      </c>
      <c r="X531" t="s">
        <v>32</v>
      </c>
      <c r="Y531" t="s">
        <v>24</v>
      </c>
    </row>
    <row r="532" spans="1:25" x14ac:dyDescent="0.2">
      <c r="A532" s="3">
        <v>42606</v>
      </c>
      <c r="B532">
        <v>801</v>
      </c>
      <c r="C532">
        <v>6</v>
      </c>
      <c r="D532" t="s">
        <v>27</v>
      </c>
      <c r="E532" t="s">
        <v>28</v>
      </c>
      <c r="F532" t="s">
        <v>188</v>
      </c>
      <c r="G532" t="s">
        <v>30</v>
      </c>
      <c r="H532" s="17" t="s">
        <v>1517</v>
      </c>
      <c r="I532" s="17" t="s">
        <v>1518</v>
      </c>
      <c r="L532" t="s">
        <v>51</v>
      </c>
      <c r="M532" t="s">
        <v>493</v>
      </c>
      <c r="N532" t="s">
        <v>260</v>
      </c>
      <c r="Q532">
        <v>6</v>
      </c>
      <c r="R532" t="s">
        <v>759</v>
      </c>
      <c r="T532">
        <f>32.5-16</f>
        <v>16.5</v>
      </c>
      <c r="U532">
        <v>19</v>
      </c>
      <c r="V532">
        <v>12.9</v>
      </c>
      <c r="W532">
        <v>27.3</v>
      </c>
      <c r="X532" t="s">
        <v>32</v>
      </c>
      <c r="Y532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0.6640625" bestFit="1" customWidth="1"/>
    <col min="10" max="10" width="23" customWidth="1"/>
    <col min="11" max="11" width="11" customWidth="1"/>
    <col min="12" max="12" width="14.6640625" customWidth="1"/>
  </cols>
  <sheetData>
    <row r="1" spans="1:13" s="2" customFormat="1" x14ac:dyDescent="0.2">
      <c r="A1" s="2" t="s">
        <v>0</v>
      </c>
      <c r="B1" s="2" t="s">
        <v>2</v>
      </c>
      <c r="C1" s="2" t="s">
        <v>3</v>
      </c>
      <c r="D1" s="2" t="s">
        <v>8</v>
      </c>
      <c r="E1" s="2" t="s">
        <v>9</v>
      </c>
      <c r="F1" s="2" t="s">
        <v>11</v>
      </c>
      <c r="G1" s="2" t="s">
        <v>10</v>
      </c>
      <c r="H1" s="2" t="s">
        <v>1444</v>
      </c>
      <c r="I1" s="2" t="s">
        <v>1445</v>
      </c>
      <c r="J1" s="2" t="s">
        <v>79</v>
      </c>
      <c r="K1" s="2" t="s">
        <v>16</v>
      </c>
      <c r="L1" s="2" t="s">
        <v>438</v>
      </c>
      <c r="M1" s="2" t="s">
        <v>5</v>
      </c>
    </row>
    <row r="2" spans="1:13" x14ac:dyDescent="0.2">
      <c r="A2" s="3">
        <v>42598</v>
      </c>
      <c r="B2">
        <v>201</v>
      </c>
      <c r="C2">
        <v>1</v>
      </c>
      <c r="D2" t="s">
        <v>27</v>
      </c>
      <c r="E2" t="s">
        <v>28</v>
      </c>
      <c r="F2" t="s">
        <v>188</v>
      </c>
      <c r="G2" t="s">
        <v>30</v>
      </c>
      <c r="H2">
        <v>50780</v>
      </c>
      <c r="I2">
        <v>50779</v>
      </c>
      <c r="J2" t="s">
        <v>75</v>
      </c>
      <c r="K2">
        <f>31-14</f>
        <v>17</v>
      </c>
      <c r="L2" t="s">
        <v>1530</v>
      </c>
      <c r="M2" t="s">
        <v>64</v>
      </c>
    </row>
    <row r="3" spans="1:13" x14ac:dyDescent="0.2">
      <c r="A3" s="3">
        <v>42598</v>
      </c>
      <c r="B3">
        <v>201</v>
      </c>
      <c r="C3">
        <v>4</v>
      </c>
      <c r="D3" t="s">
        <v>27</v>
      </c>
      <c r="E3" t="s">
        <v>28</v>
      </c>
      <c r="F3" t="s">
        <v>188</v>
      </c>
      <c r="G3" t="s">
        <v>35</v>
      </c>
      <c r="H3">
        <v>50850</v>
      </c>
      <c r="I3">
        <v>50849</v>
      </c>
      <c r="J3" t="s">
        <v>39</v>
      </c>
      <c r="K3">
        <f>32-14</f>
        <v>18</v>
      </c>
      <c r="L3" t="s">
        <v>1538</v>
      </c>
      <c r="M3" t="s">
        <v>64</v>
      </c>
    </row>
    <row r="4" spans="1:13" x14ac:dyDescent="0.2">
      <c r="A4" s="3">
        <v>42598</v>
      </c>
      <c r="B4">
        <v>201</v>
      </c>
      <c r="C4">
        <v>6</v>
      </c>
      <c r="D4" t="s">
        <v>27</v>
      </c>
      <c r="E4" t="s">
        <v>28</v>
      </c>
      <c r="F4" t="s">
        <v>188</v>
      </c>
      <c r="G4" t="s">
        <v>35</v>
      </c>
      <c r="H4">
        <v>50848</v>
      </c>
      <c r="I4">
        <v>50847</v>
      </c>
      <c r="J4" t="s">
        <v>39</v>
      </c>
      <c r="K4">
        <f>33-17.5</f>
        <v>15.5</v>
      </c>
      <c r="L4" t="s">
        <v>1540</v>
      </c>
      <c r="M4" t="s">
        <v>64</v>
      </c>
    </row>
    <row r="5" spans="1:13" x14ac:dyDescent="0.2">
      <c r="A5" s="3">
        <v>42598</v>
      </c>
      <c r="B5">
        <v>203</v>
      </c>
      <c r="C5">
        <v>2</v>
      </c>
      <c r="D5" t="s">
        <v>27</v>
      </c>
      <c r="E5" t="s">
        <v>28</v>
      </c>
      <c r="F5" t="s">
        <v>188</v>
      </c>
      <c r="G5" t="s">
        <v>30</v>
      </c>
      <c r="H5">
        <v>50842</v>
      </c>
      <c r="I5">
        <v>50932</v>
      </c>
      <c r="J5" t="s">
        <v>31</v>
      </c>
      <c r="K5">
        <f>31.5-15.5</f>
        <v>16</v>
      </c>
      <c r="L5" t="s">
        <v>1552</v>
      </c>
      <c r="M5" t="s">
        <v>64</v>
      </c>
    </row>
    <row r="6" spans="1:13" x14ac:dyDescent="0.2">
      <c r="A6" s="3">
        <v>42598</v>
      </c>
      <c r="B6">
        <v>203</v>
      </c>
      <c r="C6">
        <v>9</v>
      </c>
      <c r="D6" t="s">
        <v>27</v>
      </c>
      <c r="E6" t="s">
        <v>34</v>
      </c>
      <c r="F6" t="s">
        <v>123</v>
      </c>
      <c r="G6" t="s">
        <v>30</v>
      </c>
      <c r="H6">
        <v>2877</v>
      </c>
      <c r="I6">
        <v>2876</v>
      </c>
      <c r="J6" t="s">
        <v>31</v>
      </c>
      <c r="K6">
        <f>23.5-13.5</f>
        <v>10</v>
      </c>
      <c r="L6" t="s">
        <v>1564</v>
      </c>
      <c r="M6" t="s">
        <v>64</v>
      </c>
    </row>
    <row r="7" spans="1:13" x14ac:dyDescent="0.2">
      <c r="A7" s="3">
        <v>42598</v>
      </c>
      <c r="B7">
        <v>203</v>
      </c>
      <c r="C7">
        <v>10</v>
      </c>
      <c r="D7" t="s">
        <v>27</v>
      </c>
      <c r="E7" t="s">
        <v>28</v>
      </c>
      <c r="F7" t="s">
        <v>29</v>
      </c>
      <c r="G7" t="s">
        <v>30</v>
      </c>
      <c r="H7">
        <v>50633</v>
      </c>
      <c r="I7">
        <v>50634</v>
      </c>
      <c r="J7" t="s">
        <v>75</v>
      </c>
      <c r="K7">
        <v>20</v>
      </c>
      <c r="L7" t="s">
        <v>1565</v>
      </c>
      <c r="M7" t="s">
        <v>64</v>
      </c>
    </row>
    <row r="8" spans="1:13" x14ac:dyDescent="0.2">
      <c r="A8" s="3">
        <v>42598</v>
      </c>
      <c r="B8">
        <v>203</v>
      </c>
      <c r="C8">
        <v>10</v>
      </c>
      <c r="D8" t="s">
        <v>27</v>
      </c>
      <c r="E8" t="s">
        <v>28</v>
      </c>
      <c r="F8" t="s">
        <v>188</v>
      </c>
      <c r="G8" t="s">
        <v>30</v>
      </c>
      <c r="H8">
        <v>50836</v>
      </c>
      <c r="I8">
        <v>50935</v>
      </c>
      <c r="J8" t="s">
        <v>31</v>
      </c>
      <c r="K8">
        <f>33-17</f>
        <v>16</v>
      </c>
      <c r="L8" t="s">
        <v>1566</v>
      </c>
      <c r="M8" t="s">
        <v>64</v>
      </c>
    </row>
    <row r="9" spans="1:13" x14ac:dyDescent="0.2">
      <c r="A9" s="3">
        <v>42598</v>
      </c>
      <c r="B9">
        <v>202</v>
      </c>
      <c r="C9">
        <v>5</v>
      </c>
      <c r="D9" t="s">
        <v>27</v>
      </c>
      <c r="E9" t="s">
        <v>28</v>
      </c>
      <c r="F9" t="s">
        <v>188</v>
      </c>
      <c r="G9" t="s">
        <v>35</v>
      </c>
      <c r="H9">
        <v>50786</v>
      </c>
      <c r="I9">
        <v>50785</v>
      </c>
      <c r="J9" t="s">
        <v>63</v>
      </c>
      <c r="L9" t="s">
        <v>1572</v>
      </c>
      <c r="M9" t="s">
        <v>64</v>
      </c>
    </row>
    <row r="10" spans="1:13" x14ac:dyDescent="0.2">
      <c r="A10" s="3">
        <v>42598</v>
      </c>
      <c r="B10">
        <v>202</v>
      </c>
      <c r="C10">
        <v>8</v>
      </c>
      <c r="D10" t="s">
        <v>27</v>
      </c>
      <c r="E10" t="s">
        <v>28</v>
      </c>
      <c r="F10" t="s">
        <v>123</v>
      </c>
      <c r="G10" t="s">
        <v>35</v>
      </c>
      <c r="H10" s="17" t="s">
        <v>861</v>
      </c>
      <c r="I10" s="17" t="s">
        <v>862</v>
      </c>
      <c r="J10" t="s">
        <v>63</v>
      </c>
      <c r="K10">
        <f>35-20</f>
        <v>15</v>
      </c>
      <c r="L10" t="s">
        <v>1581</v>
      </c>
      <c r="M10" t="s">
        <v>64</v>
      </c>
    </row>
    <row r="11" spans="1:13" x14ac:dyDescent="0.2">
      <c r="A11" s="3">
        <v>42598</v>
      </c>
      <c r="B11">
        <v>111</v>
      </c>
      <c r="C11">
        <v>9</v>
      </c>
      <c r="D11" t="s">
        <v>27</v>
      </c>
      <c r="E11" t="s">
        <v>28</v>
      </c>
      <c r="F11" t="s">
        <v>188</v>
      </c>
      <c r="G11" t="s">
        <v>35</v>
      </c>
      <c r="H11" s="17" t="s">
        <v>1071</v>
      </c>
      <c r="I11" s="17" t="s">
        <v>1072</v>
      </c>
      <c r="J11" t="s">
        <v>63</v>
      </c>
      <c r="K11">
        <f>28.5-13</f>
        <v>15.5</v>
      </c>
      <c r="L11" t="s">
        <v>1815</v>
      </c>
      <c r="M11" t="s">
        <v>24</v>
      </c>
    </row>
    <row r="12" spans="1:13" x14ac:dyDescent="0.2">
      <c r="A12" s="3">
        <v>42598</v>
      </c>
      <c r="B12">
        <v>112</v>
      </c>
      <c r="C12">
        <v>2</v>
      </c>
      <c r="D12" t="s">
        <v>27</v>
      </c>
      <c r="E12" t="s">
        <v>28</v>
      </c>
      <c r="F12" t="s">
        <v>29</v>
      </c>
      <c r="G12" t="s">
        <v>35</v>
      </c>
      <c r="H12" s="17" t="s">
        <v>1049</v>
      </c>
      <c r="I12" s="17" t="s">
        <v>1050</v>
      </c>
      <c r="J12" t="s">
        <v>39</v>
      </c>
      <c r="K12">
        <f>38.5-18.5</f>
        <v>20</v>
      </c>
      <c r="L12" t="s">
        <v>1816</v>
      </c>
      <c r="M12" t="s">
        <v>24</v>
      </c>
    </row>
    <row r="13" spans="1:13" x14ac:dyDescent="0.2">
      <c r="A13" s="3">
        <v>42598</v>
      </c>
      <c r="B13">
        <v>112</v>
      </c>
      <c r="C13">
        <v>8</v>
      </c>
      <c r="D13" t="s">
        <v>142</v>
      </c>
      <c r="E13" t="s">
        <v>34</v>
      </c>
      <c r="F13" t="s">
        <v>188</v>
      </c>
      <c r="G13" t="s">
        <v>30</v>
      </c>
      <c r="H13" s="17" t="s">
        <v>1610</v>
      </c>
      <c r="I13" s="17"/>
      <c r="J13" t="s">
        <v>31</v>
      </c>
      <c r="K13">
        <f>31-13.5</f>
        <v>17.5</v>
      </c>
      <c r="L13" t="s">
        <v>1817</v>
      </c>
      <c r="M13" t="s">
        <v>24</v>
      </c>
    </row>
    <row r="14" spans="1:13" x14ac:dyDescent="0.2">
      <c r="A14" s="3">
        <v>42598</v>
      </c>
      <c r="B14">
        <v>112</v>
      </c>
      <c r="C14">
        <v>10</v>
      </c>
      <c r="D14" t="s">
        <v>27</v>
      </c>
      <c r="E14" t="s">
        <v>28</v>
      </c>
      <c r="F14" t="s">
        <v>29</v>
      </c>
      <c r="G14" t="s">
        <v>35</v>
      </c>
      <c r="H14" s="17" t="s">
        <v>971</v>
      </c>
      <c r="I14" s="17" t="s">
        <v>972</v>
      </c>
      <c r="J14" t="s">
        <v>63</v>
      </c>
      <c r="K14">
        <f>35.5-14</f>
        <v>21.5</v>
      </c>
      <c r="L14" t="s">
        <v>1818</v>
      </c>
      <c r="M14" t="s">
        <v>24</v>
      </c>
    </row>
    <row r="15" spans="1:13" x14ac:dyDescent="0.2">
      <c r="A15" s="3">
        <v>42598</v>
      </c>
      <c r="B15">
        <v>113</v>
      </c>
      <c r="C15">
        <v>2</v>
      </c>
      <c r="D15" t="s">
        <v>27</v>
      </c>
      <c r="E15" t="s">
        <v>28</v>
      </c>
      <c r="F15" t="s">
        <v>29</v>
      </c>
      <c r="G15" t="s">
        <v>35</v>
      </c>
      <c r="H15" s="17" t="s">
        <v>1058</v>
      </c>
      <c r="I15" s="17" t="s">
        <v>1059</v>
      </c>
      <c r="J15" t="s">
        <v>39</v>
      </c>
      <c r="K15">
        <f>34-16</f>
        <v>18</v>
      </c>
      <c r="L15" t="s">
        <v>1819</v>
      </c>
      <c r="M15" t="s">
        <v>24</v>
      </c>
    </row>
    <row r="16" spans="1:13" x14ac:dyDescent="0.2">
      <c r="A16" s="3">
        <v>42598</v>
      </c>
      <c r="B16">
        <v>113</v>
      </c>
      <c r="C16">
        <v>8</v>
      </c>
      <c r="D16" t="s">
        <v>27</v>
      </c>
      <c r="E16" t="s">
        <v>28</v>
      </c>
      <c r="F16" t="s">
        <v>188</v>
      </c>
      <c r="G16" t="s">
        <v>35</v>
      </c>
      <c r="H16" s="17" t="s">
        <v>981</v>
      </c>
      <c r="I16" s="17" t="s">
        <v>982</v>
      </c>
      <c r="J16" t="s">
        <v>63</v>
      </c>
      <c r="K16">
        <f>31-15</f>
        <v>16</v>
      </c>
      <c r="L16" t="s">
        <v>1820</v>
      </c>
      <c r="M16" t="s">
        <v>24</v>
      </c>
    </row>
    <row r="17" spans="1:13" x14ac:dyDescent="0.2">
      <c r="A17" s="3">
        <v>42599</v>
      </c>
      <c r="B17">
        <v>111</v>
      </c>
      <c r="C17">
        <v>10</v>
      </c>
      <c r="D17" t="s">
        <v>27</v>
      </c>
      <c r="E17" t="s">
        <v>28</v>
      </c>
      <c r="F17" t="s">
        <v>188</v>
      </c>
      <c r="G17" t="s">
        <v>35</v>
      </c>
      <c r="H17" s="17" t="s">
        <v>1045</v>
      </c>
      <c r="I17" s="17" t="s">
        <v>1046</v>
      </c>
      <c r="J17" t="s">
        <v>63</v>
      </c>
      <c r="K17">
        <f>31.5-14</f>
        <v>17.5</v>
      </c>
      <c r="L17" t="s">
        <v>1852</v>
      </c>
      <c r="M17" t="s">
        <v>24</v>
      </c>
    </row>
    <row r="18" spans="1:13" x14ac:dyDescent="0.2">
      <c r="A18" s="3">
        <v>42599</v>
      </c>
      <c r="B18">
        <v>112</v>
      </c>
      <c r="C18">
        <v>4</v>
      </c>
      <c r="D18" t="s">
        <v>27</v>
      </c>
      <c r="E18" t="s">
        <v>28</v>
      </c>
      <c r="F18" t="s">
        <v>188</v>
      </c>
      <c r="G18" t="s">
        <v>35</v>
      </c>
      <c r="H18" s="17" t="s">
        <v>962</v>
      </c>
      <c r="I18" s="17" t="s">
        <v>1170</v>
      </c>
      <c r="J18" t="s">
        <v>39</v>
      </c>
      <c r="K18">
        <v>18</v>
      </c>
      <c r="L18" t="s">
        <v>1853</v>
      </c>
      <c r="M18" t="s">
        <v>24</v>
      </c>
    </row>
    <row r="19" spans="1:13" x14ac:dyDescent="0.2">
      <c r="A19" s="3">
        <v>42599</v>
      </c>
      <c r="B19">
        <v>112</v>
      </c>
      <c r="C19">
        <v>7</v>
      </c>
      <c r="D19" t="s">
        <v>27</v>
      </c>
      <c r="E19" t="s">
        <v>28</v>
      </c>
      <c r="F19" t="s">
        <v>188</v>
      </c>
      <c r="G19" t="s">
        <v>30</v>
      </c>
      <c r="H19" s="17" t="s">
        <v>1077</v>
      </c>
      <c r="I19" s="17" t="s">
        <v>1078</v>
      </c>
      <c r="J19" t="s">
        <v>75</v>
      </c>
      <c r="K19">
        <f>35-15.5</f>
        <v>19.5</v>
      </c>
      <c r="L19" t="s">
        <v>1854</v>
      </c>
      <c r="M19" t="s">
        <v>24</v>
      </c>
    </row>
    <row r="20" spans="1:13" s="22" customFormat="1" x14ac:dyDescent="0.2">
      <c r="A20" s="21">
        <v>42599</v>
      </c>
      <c r="B20" s="22">
        <v>113</v>
      </c>
      <c r="C20" s="22">
        <v>3</v>
      </c>
      <c r="D20" s="22" t="s">
        <v>27</v>
      </c>
      <c r="E20" s="22" t="s">
        <v>34</v>
      </c>
      <c r="F20" s="22" t="s">
        <v>188</v>
      </c>
      <c r="G20" s="22" t="s">
        <v>35</v>
      </c>
      <c r="H20" s="23" t="s">
        <v>1834</v>
      </c>
      <c r="I20" s="23" t="s">
        <v>1835</v>
      </c>
      <c r="J20" s="22" t="s">
        <v>63</v>
      </c>
      <c r="K20" s="22">
        <f>30.5-14</f>
        <v>16.5</v>
      </c>
      <c r="L20" s="22" t="s">
        <v>1855</v>
      </c>
      <c r="M20" s="22" t="s">
        <v>24</v>
      </c>
    </row>
    <row r="21" spans="1:13" x14ac:dyDescent="0.2">
      <c r="A21" s="3">
        <v>42599</v>
      </c>
      <c r="B21">
        <v>113</v>
      </c>
      <c r="C21">
        <v>4</v>
      </c>
      <c r="D21" t="s">
        <v>27</v>
      </c>
      <c r="E21" t="s">
        <v>28</v>
      </c>
      <c r="F21" t="s">
        <v>29</v>
      </c>
      <c r="G21" t="s">
        <v>35</v>
      </c>
      <c r="H21" s="17" t="s">
        <v>1058</v>
      </c>
      <c r="I21" s="17" t="s">
        <v>1059</v>
      </c>
      <c r="J21" t="s">
        <v>39</v>
      </c>
      <c r="K21">
        <f>33-14</f>
        <v>19</v>
      </c>
      <c r="L21" t="s">
        <v>1856</v>
      </c>
      <c r="M21" t="s">
        <v>24</v>
      </c>
    </row>
    <row r="22" spans="1:13" x14ac:dyDescent="0.2">
      <c r="A22" s="3">
        <v>42599</v>
      </c>
      <c r="B22">
        <v>113</v>
      </c>
      <c r="C22">
        <v>8</v>
      </c>
      <c r="D22" t="s">
        <v>27</v>
      </c>
      <c r="E22" t="s">
        <v>28</v>
      </c>
      <c r="F22" t="s">
        <v>188</v>
      </c>
      <c r="G22" t="s">
        <v>35</v>
      </c>
      <c r="H22" s="17" t="s">
        <v>1180</v>
      </c>
      <c r="I22" s="17" t="s">
        <v>1181</v>
      </c>
      <c r="J22" t="s">
        <v>39</v>
      </c>
      <c r="K22">
        <f>37-19</f>
        <v>18</v>
      </c>
      <c r="L22" t="s">
        <v>1857</v>
      </c>
      <c r="M22" t="s">
        <v>24</v>
      </c>
    </row>
    <row r="23" spans="1:13" x14ac:dyDescent="0.2">
      <c r="A23" s="3">
        <v>42599</v>
      </c>
      <c r="B23">
        <v>113</v>
      </c>
      <c r="C23">
        <v>10</v>
      </c>
      <c r="D23" t="s">
        <v>27</v>
      </c>
      <c r="E23" t="s">
        <v>28</v>
      </c>
      <c r="F23" t="s">
        <v>188</v>
      </c>
      <c r="G23" t="s">
        <v>30</v>
      </c>
      <c r="H23" s="17" t="s">
        <v>1840</v>
      </c>
      <c r="I23" s="17" t="s">
        <v>1841</v>
      </c>
      <c r="J23" t="s">
        <v>31</v>
      </c>
      <c r="L23" t="s">
        <v>1858</v>
      </c>
      <c r="M23" t="s">
        <v>24</v>
      </c>
    </row>
    <row r="24" spans="1:13" s="22" customFormat="1" x14ac:dyDescent="0.2">
      <c r="A24" s="21">
        <v>42599</v>
      </c>
      <c r="B24" s="22">
        <v>113</v>
      </c>
      <c r="C24" s="22">
        <v>10</v>
      </c>
      <c r="D24" s="22" t="s">
        <v>27</v>
      </c>
      <c r="E24" s="22" t="s">
        <v>28</v>
      </c>
      <c r="F24" s="22" t="s">
        <v>123</v>
      </c>
      <c r="G24" s="22" t="s">
        <v>35</v>
      </c>
      <c r="H24" s="23" t="s">
        <v>1224</v>
      </c>
      <c r="I24" s="23" t="s">
        <v>1225</v>
      </c>
      <c r="J24" s="22" t="s">
        <v>63</v>
      </c>
      <c r="K24" s="22">
        <f>35.5-20.5</f>
        <v>15</v>
      </c>
      <c r="L24" s="22" t="s">
        <v>1855</v>
      </c>
      <c r="M24" s="22" t="s">
        <v>24</v>
      </c>
    </row>
    <row r="25" spans="1:13" x14ac:dyDescent="0.2">
      <c r="A25" s="3">
        <v>42599</v>
      </c>
      <c r="B25">
        <v>201</v>
      </c>
      <c r="C25">
        <v>4</v>
      </c>
      <c r="D25" t="s">
        <v>27</v>
      </c>
      <c r="E25" t="s">
        <v>28</v>
      </c>
      <c r="F25" t="s">
        <v>29</v>
      </c>
      <c r="G25" t="s">
        <v>35</v>
      </c>
      <c r="H25">
        <v>50335</v>
      </c>
      <c r="I25">
        <v>50334</v>
      </c>
      <c r="J25" t="s">
        <v>39</v>
      </c>
      <c r="K25">
        <f>35-14.5</f>
        <v>20.5</v>
      </c>
      <c r="L25" t="s">
        <v>1601</v>
      </c>
      <c r="M25" t="s">
        <v>64</v>
      </c>
    </row>
    <row r="26" spans="1:13" x14ac:dyDescent="0.2">
      <c r="A26" s="3">
        <v>42599</v>
      </c>
      <c r="B26">
        <v>201</v>
      </c>
      <c r="C26">
        <v>5</v>
      </c>
      <c r="D26" t="s">
        <v>27</v>
      </c>
      <c r="E26" t="s">
        <v>28</v>
      </c>
      <c r="F26" t="s">
        <v>188</v>
      </c>
      <c r="G26" t="s">
        <v>30</v>
      </c>
      <c r="H26">
        <v>50844</v>
      </c>
      <c r="I26">
        <v>50843</v>
      </c>
      <c r="J26" t="s">
        <v>31</v>
      </c>
      <c r="K26">
        <f>31-14</f>
        <v>17</v>
      </c>
      <c r="L26" t="s">
        <v>1602</v>
      </c>
      <c r="M26" t="s">
        <v>64</v>
      </c>
    </row>
    <row r="27" spans="1:13" x14ac:dyDescent="0.2">
      <c r="A27" s="3">
        <v>42599</v>
      </c>
      <c r="B27">
        <v>201</v>
      </c>
      <c r="C27">
        <v>7</v>
      </c>
      <c r="D27" t="s">
        <v>27</v>
      </c>
      <c r="E27" t="s">
        <v>28</v>
      </c>
      <c r="F27" t="s">
        <v>188</v>
      </c>
      <c r="G27" t="s">
        <v>35</v>
      </c>
      <c r="H27">
        <v>50850</v>
      </c>
      <c r="I27">
        <v>50849</v>
      </c>
      <c r="J27" t="s">
        <v>39</v>
      </c>
      <c r="K27">
        <f>32-16</f>
        <v>16</v>
      </c>
      <c r="L27" t="s">
        <v>1605</v>
      </c>
      <c r="M27" t="s">
        <v>64</v>
      </c>
    </row>
    <row r="28" spans="1:13" x14ac:dyDescent="0.2">
      <c r="A28" s="3">
        <v>42599</v>
      </c>
      <c r="B28">
        <v>201</v>
      </c>
      <c r="C28">
        <v>10</v>
      </c>
      <c r="D28" t="s">
        <v>27</v>
      </c>
      <c r="E28" t="s">
        <v>28</v>
      </c>
      <c r="F28" t="s">
        <v>188</v>
      </c>
      <c r="G28" t="s">
        <v>35</v>
      </c>
      <c r="H28">
        <v>50848</v>
      </c>
      <c r="I28">
        <v>50847</v>
      </c>
      <c r="J28" t="s">
        <v>39</v>
      </c>
      <c r="K28">
        <f>32-16</f>
        <v>16</v>
      </c>
      <c r="L28" t="s">
        <v>1617</v>
      </c>
      <c r="M28" t="s">
        <v>64</v>
      </c>
    </row>
    <row r="29" spans="1:13" x14ac:dyDescent="0.2">
      <c r="A29" s="3">
        <v>42599</v>
      </c>
      <c r="B29">
        <v>203</v>
      </c>
      <c r="C29">
        <v>2</v>
      </c>
      <c r="D29" t="s">
        <v>27</v>
      </c>
      <c r="E29" t="s">
        <v>34</v>
      </c>
      <c r="F29" t="s">
        <v>123</v>
      </c>
      <c r="G29" t="s">
        <v>30</v>
      </c>
      <c r="H29">
        <v>2886</v>
      </c>
      <c r="I29">
        <v>2885</v>
      </c>
      <c r="J29" t="s">
        <v>31</v>
      </c>
      <c r="K29">
        <f>27.5-14</f>
        <v>13.5</v>
      </c>
      <c r="L29" t="s">
        <v>1622</v>
      </c>
      <c r="M29" t="s">
        <v>64</v>
      </c>
    </row>
    <row r="30" spans="1:13" x14ac:dyDescent="0.2">
      <c r="A30" s="3">
        <v>42599</v>
      </c>
      <c r="B30">
        <v>203</v>
      </c>
      <c r="C30">
        <v>8</v>
      </c>
      <c r="D30" t="s">
        <v>27</v>
      </c>
      <c r="E30" t="s">
        <v>28</v>
      </c>
      <c r="F30" t="s">
        <v>29</v>
      </c>
      <c r="G30" t="s">
        <v>30</v>
      </c>
      <c r="H30">
        <v>50633</v>
      </c>
      <c r="I30">
        <v>50634</v>
      </c>
      <c r="J30" t="s">
        <v>31</v>
      </c>
      <c r="K30">
        <f>38-17</f>
        <v>21</v>
      </c>
      <c r="L30" t="s">
        <v>1631</v>
      </c>
      <c r="M30" t="s">
        <v>64</v>
      </c>
    </row>
    <row r="31" spans="1:13" x14ac:dyDescent="0.2">
      <c r="A31" s="3">
        <v>42599</v>
      </c>
      <c r="B31">
        <v>203</v>
      </c>
      <c r="C31">
        <v>10</v>
      </c>
      <c r="D31" t="s">
        <v>27</v>
      </c>
      <c r="E31" t="s">
        <v>28</v>
      </c>
      <c r="F31" t="s">
        <v>123</v>
      </c>
      <c r="G31" t="s">
        <v>30</v>
      </c>
      <c r="H31">
        <v>2877</v>
      </c>
      <c r="I31">
        <v>2876</v>
      </c>
      <c r="J31" t="s">
        <v>31</v>
      </c>
      <c r="K31">
        <f>32-21.5</f>
        <v>10.5</v>
      </c>
      <c r="L31" t="s">
        <v>1632</v>
      </c>
      <c r="M31" t="s">
        <v>64</v>
      </c>
    </row>
    <row r="32" spans="1:13" x14ac:dyDescent="0.2">
      <c r="A32" s="3">
        <v>42600</v>
      </c>
      <c r="B32">
        <v>111</v>
      </c>
      <c r="C32">
        <v>5</v>
      </c>
      <c r="D32" t="s">
        <v>27</v>
      </c>
      <c r="E32" t="s">
        <v>34</v>
      </c>
      <c r="F32" t="s">
        <v>188</v>
      </c>
      <c r="G32" t="s">
        <v>35</v>
      </c>
      <c r="H32">
        <v>17958</v>
      </c>
      <c r="I32">
        <v>11964</v>
      </c>
      <c r="J32" t="s">
        <v>63</v>
      </c>
      <c r="K32">
        <f>29.5-13</f>
        <v>16.5</v>
      </c>
      <c r="L32" t="s">
        <v>1859</v>
      </c>
      <c r="M32" t="s">
        <v>24</v>
      </c>
    </row>
    <row r="33" spans="1:13" x14ac:dyDescent="0.2">
      <c r="A33" s="3">
        <v>42600</v>
      </c>
      <c r="B33">
        <v>112</v>
      </c>
      <c r="C33">
        <v>8</v>
      </c>
      <c r="D33" t="s">
        <v>27</v>
      </c>
      <c r="E33" t="s">
        <v>28</v>
      </c>
      <c r="F33" t="s">
        <v>29</v>
      </c>
      <c r="G33" t="s">
        <v>35</v>
      </c>
      <c r="H33">
        <v>50595</v>
      </c>
      <c r="I33">
        <v>50594</v>
      </c>
      <c r="J33" t="s">
        <v>39</v>
      </c>
      <c r="K33">
        <f>34.5-14</f>
        <v>20.5</v>
      </c>
      <c r="L33" t="s">
        <v>1860</v>
      </c>
      <c r="M33" t="s">
        <v>24</v>
      </c>
    </row>
    <row r="34" spans="1:13" x14ac:dyDescent="0.2">
      <c r="A34" s="3">
        <v>42600</v>
      </c>
      <c r="B34">
        <v>113</v>
      </c>
      <c r="C34">
        <v>7</v>
      </c>
      <c r="D34" t="s">
        <v>27</v>
      </c>
      <c r="E34" t="s">
        <v>28</v>
      </c>
      <c r="F34" t="s">
        <v>123</v>
      </c>
      <c r="G34" t="s">
        <v>30</v>
      </c>
      <c r="H34">
        <v>4164</v>
      </c>
      <c r="I34">
        <v>4163</v>
      </c>
      <c r="J34" t="s">
        <v>31</v>
      </c>
      <c r="K34">
        <v>13</v>
      </c>
      <c r="L34" t="s">
        <v>1861</v>
      </c>
      <c r="M34" t="s">
        <v>24</v>
      </c>
    </row>
    <row r="35" spans="1:13" x14ac:dyDescent="0.2">
      <c r="A35" s="3">
        <v>42600</v>
      </c>
      <c r="B35">
        <v>201</v>
      </c>
      <c r="C35">
        <v>2</v>
      </c>
      <c r="D35" t="s">
        <v>27</v>
      </c>
      <c r="E35" t="s">
        <v>28</v>
      </c>
      <c r="F35" t="s">
        <v>29</v>
      </c>
      <c r="G35" t="s">
        <v>35</v>
      </c>
      <c r="H35">
        <v>50335</v>
      </c>
      <c r="I35">
        <v>50334</v>
      </c>
      <c r="J35" t="s">
        <v>39</v>
      </c>
      <c r="K35">
        <f>35-14</f>
        <v>21</v>
      </c>
      <c r="L35" t="s">
        <v>1649</v>
      </c>
      <c r="M35" t="s">
        <v>64</v>
      </c>
    </row>
    <row r="36" spans="1:13" x14ac:dyDescent="0.2">
      <c r="A36" s="3">
        <v>42600</v>
      </c>
      <c r="B36">
        <v>201</v>
      </c>
      <c r="C36">
        <v>3</v>
      </c>
      <c r="D36" t="s">
        <v>27</v>
      </c>
      <c r="E36" t="s">
        <v>28</v>
      </c>
      <c r="F36" t="s">
        <v>188</v>
      </c>
      <c r="G36" t="s">
        <v>30</v>
      </c>
      <c r="H36">
        <v>50844</v>
      </c>
      <c r="I36">
        <v>50843</v>
      </c>
      <c r="J36" t="s">
        <v>31</v>
      </c>
      <c r="K36">
        <f>33-16</f>
        <v>17</v>
      </c>
      <c r="L36" t="s">
        <v>1652</v>
      </c>
      <c r="M36" t="s">
        <v>64</v>
      </c>
    </row>
    <row r="37" spans="1:13" x14ac:dyDescent="0.2">
      <c r="A37" s="3">
        <v>42600</v>
      </c>
      <c r="B37">
        <v>203</v>
      </c>
      <c r="C37">
        <v>3</v>
      </c>
      <c r="D37" t="s">
        <v>142</v>
      </c>
      <c r="E37" t="s">
        <v>28</v>
      </c>
      <c r="F37" t="s">
        <v>29</v>
      </c>
      <c r="G37" t="s">
        <v>35</v>
      </c>
      <c r="I37">
        <v>2884</v>
      </c>
      <c r="J37" t="s">
        <v>63</v>
      </c>
      <c r="K37">
        <f>47-13</f>
        <v>34</v>
      </c>
      <c r="L37" t="s">
        <v>1657</v>
      </c>
      <c r="M37" t="s">
        <v>64</v>
      </c>
    </row>
    <row r="38" spans="1:13" x14ac:dyDescent="0.2">
      <c r="A38" s="3">
        <v>42600</v>
      </c>
      <c r="B38">
        <v>203</v>
      </c>
      <c r="C38">
        <v>8</v>
      </c>
      <c r="D38" t="s">
        <v>27</v>
      </c>
      <c r="E38" t="s">
        <v>28</v>
      </c>
      <c r="F38" t="s">
        <v>123</v>
      </c>
      <c r="G38" t="s">
        <v>30</v>
      </c>
      <c r="H38">
        <v>4109</v>
      </c>
      <c r="I38">
        <v>4108</v>
      </c>
      <c r="J38" t="s">
        <v>31</v>
      </c>
      <c r="K38">
        <f>25-15</f>
        <v>10</v>
      </c>
      <c r="L38" t="s">
        <v>1663</v>
      </c>
      <c r="M38" t="s">
        <v>64</v>
      </c>
    </row>
    <row r="39" spans="1:13" x14ac:dyDescent="0.2">
      <c r="A39" s="3">
        <v>42600</v>
      </c>
      <c r="B39">
        <v>203</v>
      </c>
      <c r="C39">
        <v>8</v>
      </c>
      <c r="D39" t="s">
        <v>27</v>
      </c>
      <c r="E39" t="s">
        <v>28</v>
      </c>
      <c r="F39" t="s">
        <v>123</v>
      </c>
      <c r="G39" t="s">
        <v>30</v>
      </c>
      <c r="H39">
        <v>2877</v>
      </c>
      <c r="I39">
        <v>2876</v>
      </c>
      <c r="J39" t="s">
        <v>31</v>
      </c>
      <c r="K39">
        <f>25-14.5</f>
        <v>10.5</v>
      </c>
      <c r="L39" t="s">
        <v>1664</v>
      </c>
      <c r="M39" t="s">
        <v>64</v>
      </c>
    </row>
    <row r="40" spans="1:13" x14ac:dyDescent="0.2">
      <c r="A40" s="3">
        <v>42600</v>
      </c>
      <c r="B40">
        <v>203</v>
      </c>
      <c r="C40">
        <v>10</v>
      </c>
      <c r="D40" t="s">
        <v>27</v>
      </c>
      <c r="E40" t="s">
        <v>28</v>
      </c>
      <c r="F40" t="s">
        <v>188</v>
      </c>
      <c r="G40" t="s">
        <v>30</v>
      </c>
      <c r="H40">
        <v>50836</v>
      </c>
      <c r="I40">
        <v>50935</v>
      </c>
      <c r="J40" t="s">
        <v>31</v>
      </c>
      <c r="K40">
        <f>31-15.5</f>
        <v>15.5</v>
      </c>
      <c r="L40" t="s">
        <v>1666</v>
      </c>
      <c r="M40" t="s">
        <v>64</v>
      </c>
    </row>
    <row r="41" spans="1:13" x14ac:dyDescent="0.2">
      <c r="A41" s="3">
        <v>42600</v>
      </c>
      <c r="B41">
        <v>304</v>
      </c>
      <c r="C41">
        <v>3</v>
      </c>
      <c r="D41" t="s">
        <v>27</v>
      </c>
      <c r="E41" t="s">
        <v>34</v>
      </c>
      <c r="F41" t="s">
        <v>188</v>
      </c>
      <c r="G41" t="s">
        <v>35</v>
      </c>
      <c r="H41">
        <v>2580</v>
      </c>
      <c r="I41">
        <v>2579</v>
      </c>
      <c r="J41" t="s">
        <v>63</v>
      </c>
      <c r="K41">
        <f>34-18</f>
        <v>16</v>
      </c>
      <c r="L41" t="s">
        <v>1675</v>
      </c>
      <c r="M41" t="s">
        <v>64</v>
      </c>
    </row>
    <row r="42" spans="1:13" x14ac:dyDescent="0.2">
      <c r="A42" s="3">
        <v>42604</v>
      </c>
      <c r="B42">
        <v>703</v>
      </c>
      <c r="C42">
        <v>9</v>
      </c>
      <c r="D42" t="s">
        <v>27</v>
      </c>
      <c r="E42" t="s">
        <v>28</v>
      </c>
      <c r="F42" t="s">
        <v>29</v>
      </c>
      <c r="G42" t="s">
        <v>35</v>
      </c>
      <c r="H42">
        <v>50866</v>
      </c>
      <c r="I42">
        <v>50865</v>
      </c>
      <c r="J42" t="s">
        <v>63</v>
      </c>
      <c r="K42">
        <f>36.5-14</f>
        <v>22.5</v>
      </c>
      <c r="L42" t="s">
        <v>1894</v>
      </c>
      <c r="M42" t="s">
        <v>24</v>
      </c>
    </row>
    <row r="43" spans="1:13" s="22" customFormat="1" x14ac:dyDescent="0.2">
      <c r="A43" s="21">
        <v>42604</v>
      </c>
      <c r="B43" s="22">
        <v>701</v>
      </c>
      <c r="C43" s="22">
        <v>3</v>
      </c>
      <c r="D43" s="22" t="s">
        <v>27</v>
      </c>
      <c r="E43" s="22" t="s">
        <v>28</v>
      </c>
      <c r="F43" s="22" t="s">
        <v>188</v>
      </c>
      <c r="G43" s="22" t="s">
        <v>35</v>
      </c>
      <c r="H43" s="22">
        <v>50506</v>
      </c>
      <c r="I43" s="22">
        <v>50505</v>
      </c>
      <c r="J43" s="22" t="s">
        <v>63</v>
      </c>
      <c r="K43" s="22">
        <f>30-13</f>
        <v>17</v>
      </c>
      <c r="L43" s="22" t="s">
        <v>1731</v>
      </c>
      <c r="M43" s="22" t="s">
        <v>24</v>
      </c>
    </row>
    <row r="44" spans="1:13" s="22" customFormat="1" x14ac:dyDescent="0.2">
      <c r="A44" s="3">
        <v>42604</v>
      </c>
      <c r="B44" s="9">
        <v>701</v>
      </c>
      <c r="C44" s="9">
        <v>9</v>
      </c>
      <c r="D44" s="9" t="s">
        <v>27</v>
      </c>
      <c r="E44" s="9" t="s">
        <v>28</v>
      </c>
      <c r="F44" s="9" t="s">
        <v>188</v>
      </c>
      <c r="G44" s="9" t="s">
        <v>35</v>
      </c>
      <c r="H44" s="9">
        <v>17905</v>
      </c>
      <c r="I44" s="9">
        <v>17904</v>
      </c>
      <c r="J44" s="9" t="s">
        <v>63</v>
      </c>
      <c r="K44" s="9">
        <f>34-16</f>
        <v>18</v>
      </c>
      <c r="L44" s="9" t="s">
        <v>1895</v>
      </c>
      <c r="M44" s="9" t="s">
        <v>24</v>
      </c>
    </row>
    <row r="45" spans="1:13" x14ac:dyDescent="0.2">
      <c r="A45" s="3">
        <v>42604</v>
      </c>
      <c r="B45">
        <v>501</v>
      </c>
      <c r="C45">
        <v>6</v>
      </c>
      <c r="D45" t="s">
        <v>27</v>
      </c>
      <c r="E45" t="s">
        <v>34</v>
      </c>
      <c r="F45" t="s">
        <v>29</v>
      </c>
      <c r="G45" t="s">
        <v>30</v>
      </c>
      <c r="H45">
        <v>2592</v>
      </c>
      <c r="I45">
        <v>2591</v>
      </c>
      <c r="J45" t="s">
        <v>31</v>
      </c>
      <c r="K45">
        <f>40-15.5</f>
        <v>24.5</v>
      </c>
      <c r="L45" t="s">
        <v>1681</v>
      </c>
      <c r="M45" t="s">
        <v>64</v>
      </c>
    </row>
    <row r="46" spans="1:13" x14ac:dyDescent="0.2">
      <c r="A46" s="3">
        <v>42604</v>
      </c>
      <c r="B46">
        <v>501</v>
      </c>
      <c r="C46">
        <v>7</v>
      </c>
      <c r="D46" t="s">
        <v>27</v>
      </c>
      <c r="E46" t="s">
        <v>34</v>
      </c>
      <c r="F46" t="s">
        <v>123</v>
      </c>
      <c r="G46" t="s">
        <v>30</v>
      </c>
      <c r="H46">
        <v>2594</v>
      </c>
      <c r="I46">
        <v>2593</v>
      </c>
      <c r="J46" t="s">
        <v>31</v>
      </c>
      <c r="K46">
        <f>31-15.5</f>
        <v>15.5</v>
      </c>
      <c r="L46" t="s">
        <v>1684</v>
      </c>
      <c r="M46" t="s">
        <v>64</v>
      </c>
    </row>
    <row r="47" spans="1:13" x14ac:dyDescent="0.2">
      <c r="A47" s="3">
        <v>42604</v>
      </c>
      <c r="B47">
        <v>503</v>
      </c>
      <c r="C47">
        <v>3</v>
      </c>
      <c r="D47" t="s">
        <v>27</v>
      </c>
      <c r="E47" t="s">
        <v>28</v>
      </c>
      <c r="F47" t="s">
        <v>123</v>
      </c>
      <c r="G47" t="s">
        <v>35</v>
      </c>
      <c r="I47">
        <v>17969</v>
      </c>
      <c r="J47" t="s">
        <v>63</v>
      </c>
      <c r="K47">
        <f>32-17</f>
        <v>15</v>
      </c>
      <c r="L47" t="s">
        <v>1687</v>
      </c>
      <c r="M47" t="s">
        <v>64</v>
      </c>
    </row>
    <row r="48" spans="1:13" x14ac:dyDescent="0.2">
      <c r="A48" s="3">
        <v>42604</v>
      </c>
      <c r="B48">
        <v>503</v>
      </c>
      <c r="C48">
        <v>5</v>
      </c>
      <c r="D48" t="s">
        <v>27</v>
      </c>
      <c r="E48" t="s">
        <v>34</v>
      </c>
      <c r="F48" t="s">
        <v>123</v>
      </c>
      <c r="G48" t="s">
        <v>30</v>
      </c>
      <c r="H48">
        <v>2597</v>
      </c>
      <c r="I48">
        <v>2596</v>
      </c>
      <c r="J48" t="s">
        <v>31</v>
      </c>
      <c r="K48">
        <f>36.5</f>
        <v>36.5</v>
      </c>
      <c r="L48" t="s">
        <v>1690</v>
      </c>
      <c r="M48" t="s">
        <v>64</v>
      </c>
    </row>
    <row r="49" spans="1:13" x14ac:dyDescent="0.2">
      <c r="A49" s="3">
        <v>42604</v>
      </c>
      <c r="B49">
        <v>401</v>
      </c>
      <c r="C49">
        <v>3</v>
      </c>
      <c r="D49" t="s">
        <v>27</v>
      </c>
      <c r="E49" t="s">
        <v>28</v>
      </c>
      <c r="F49" t="s">
        <v>188</v>
      </c>
      <c r="G49" t="s">
        <v>35</v>
      </c>
      <c r="H49">
        <v>17957</v>
      </c>
      <c r="I49">
        <v>17962</v>
      </c>
      <c r="J49" t="s">
        <v>63</v>
      </c>
      <c r="K49">
        <f>32-15</f>
        <v>17</v>
      </c>
      <c r="L49" t="s">
        <v>1709</v>
      </c>
      <c r="M49" t="s">
        <v>64</v>
      </c>
    </row>
    <row r="50" spans="1:13" x14ac:dyDescent="0.2">
      <c r="A50" s="3">
        <v>42604</v>
      </c>
      <c r="B50">
        <v>401</v>
      </c>
      <c r="C50">
        <v>10</v>
      </c>
      <c r="D50" t="s">
        <v>142</v>
      </c>
      <c r="E50" t="s">
        <v>34</v>
      </c>
      <c r="F50" t="s">
        <v>29</v>
      </c>
      <c r="G50" t="s">
        <v>30</v>
      </c>
      <c r="H50">
        <v>2530</v>
      </c>
      <c r="J50" t="s">
        <v>31</v>
      </c>
      <c r="K50">
        <f>37-17.5</f>
        <v>19.5</v>
      </c>
      <c r="L50" t="s">
        <v>1711</v>
      </c>
      <c r="M50" t="s">
        <v>64</v>
      </c>
    </row>
    <row r="51" spans="1:13" x14ac:dyDescent="0.2">
      <c r="A51" s="3">
        <v>42605</v>
      </c>
      <c r="B51">
        <v>703</v>
      </c>
      <c r="C51">
        <v>1</v>
      </c>
      <c r="D51" t="s">
        <v>27</v>
      </c>
      <c r="E51" t="s">
        <v>28</v>
      </c>
      <c r="F51" t="s">
        <v>188</v>
      </c>
      <c r="G51" t="s">
        <v>35</v>
      </c>
      <c r="H51">
        <v>50384</v>
      </c>
      <c r="I51">
        <v>50383</v>
      </c>
      <c r="J51" t="s">
        <v>63</v>
      </c>
      <c r="K51">
        <f>30-13</f>
        <v>17</v>
      </c>
      <c r="L51" t="s">
        <v>1916</v>
      </c>
      <c r="M51" t="s">
        <v>24</v>
      </c>
    </row>
    <row r="52" spans="1:13" x14ac:dyDescent="0.2">
      <c r="A52" s="3">
        <v>42605</v>
      </c>
      <c r="B52">
        <v>703</v>
      </c>
      <c r="C52">
        <v>8</v>
      </c>
      <c r="D52" t="s">
        <v>27</v>
      </c>
      <c r="E52" t="s">
        <v>28</v>
      </c>
      <c r="F52" t="s">
        <v>29</v>
      </c>
      <c r="G52" t="s">
        <v>35</v>
      </c>
      <c r="H52">
        <v>50866</v>
      </c>
      <c r="I52">
        <v>50865</v>
      </c>
      <c r="J52" t="s">
        <v>63</v>
      </c>
      <c r="K52">
        <v>20</v>
      </c>
      <c r="L52" t="s">
        <v>1917</v>
      </c>
      <c r="M52" t="s">
        <v>24</v>
      </c>
    </row>
    <row r="53" spans="1:13" x14ac:dyDescent="0.2">
      <c r="A53" s="3">
        <v>42605</v>
      </c>
      <c r="B53">
        <v>701</v>
      </c>
      <c r="C53">
        <v>1</v>
      </c>
      <c r="D53" t="s">
        <v>27</v>
      </c>
      <c r="E53" t="s">
        <v>28</v>
      </c>
      <c r="F53" t="s">
        <v>188</v>
      </c>
      <c r="G53" t="s">
        <v>35</v>
      </c>
      <c r="H53">
        <v>50506</v>
      </c>
      <c r="I53">
        <v>50505</v>
      </c>
      <c r="J53" t="s">
        <v>63</v>
      </c>
      <c r="K53">
        <f>34-16.5</f>
        <v>17.5</v>
      </c>
      <c r="L53" t="s">
        <v>1918</v>
      </c>
      <c r="M53" t="s">
        <v>24</v>
      </c>
    </row>
    <row r="54" spans="1:13" x14ac:dyDescent="0.2">
      <c r="A54" s="3">
        <v>42605</v>
      </c>
      <c r="B54">
        <v>701</v>
      </c>
      <c r="C54">
        <v>6</v>
      </c>
      <c r="D54" t="s">
        <v>27</v>
      </c>
      <c r="E54" t="s">
        <v>28</v>
      </c>
      <c r="F54" t="s">
        <v>188</v>
      </c>
      <c r="G54" t="s">
        <v>35</v>
      </c>
      <c r="H54">
        <v>17916</v>
      </c>
      <c r="I54">
        <v>17915</v>
      </c>
      <c r="J54" t="s">
        <v>63</v>
      </c>
      <c r="K54">
        <f>27.5-13.5</f>
        <v>14</v>
      </c>
      <c r="L54" t="s">
        <v>1919</v>
      </c>
      <c r="M54" t="s">
        <v>24</v>
      </c>
    </row>
    <row r="55" spans="1:13" x14ac:dyDescent="0.2">
      <c r="A55" s="3">
        <v>42605</v>
      </c>
      <c r="B55">
        <v>701</v>
      </c>
      <c r="C55">
        <v>7</v>
      </c>
      <c r="D55" t="s">
        <v>27</v>
      </c>
      <c r="E55" t="s">
        <v>28</v>
      </c>
      <c r="F55" t="s">
        <v>188</v>
      </c>
      <c r="G55" t="s">
        <v>35</v>
      </c>
      <c r="H55">
        <v>50760</v>
      </c>
      <c r="I55">
        <v>50761</v>
      </c>
      <c r="J55" t="s">
        <v>63</v>
      </c>
      <c r="K55">
        <f>30-13.5</f>
        <v>16.5</v>
      </c>
      <c r="L55" t="s">
        <v>1920</v>
      </c>
      <c r="M55" t="s">
        <v>24</v>
      </c>
    </row>
    <row r="56" spans="1:13" x14ac:dyDescent="0.2">
      <c r="A56" s="3">
        <v>42605</v>
      </c>
      <c r="B56">
        <v>701</v>
      </c>
      <c r="C56">
        <v>8</v>
      </c>
      <c r="D56" t="s">
        <v>27</v>
      </c>
      <c r="E56" t="s">
        <v>28</v>
      </c>
      <c r="F56" t="s">
        <v>29</v>
      </c>
      <c r="G56" t="s">
        <v>35</v>
      </c>
      <c r="H56">
        <v>50758</v>
      </c>
      <c r="I56">
        <v>50757</v>
      </c>
      <c r="J56" t="s">
        <v>63</v>
      </c>
      <c r="K56">
        <f>32-13</f>
        <v>19</v>
      </c>
      <c r="L56" t="s">
        <v>1921</v>
      </c>
      <c r="M56" t="s">
        <v>24</v>
      </c>
    </row>
    <row r="57" spans="1:13" x14ac:dyDescent="0.2">
      <c r="A57" s="3">
        <v>42605</v>
      </c>
      <c r="B57">
        <v>701</v>
      </c>
      <c r="C57">
        <v>10</v>
      </c>
      <c r="D57" t="s">
        <v>27</v>
      </c>
      <c r="E57" t="s">
        <v>28</v>
      </c>
      <c r="F57" t="s">
        <v>188</v>
      </c>
      <c r="G57" t="s">
        <v>35</v>
      </c>
      <c r="H57">
        <v>17905</v>
      </c>
      <c r="I57">
        <v>17904</v>
      </c>
      <c r="J57" t="s">
        <v>63</v>
      </c>
      <c r="K57">
        <f>32-14</f>
        <v>18</v>
      </c>
      <c r="L57" t="s">
        <v>1922</v>
      </c>
      <c r="M57" t="s">
        <v>24</v>
      </c>
    </row>
    <row r="58" spans="1:13" x14ac:dyDescent="0.2">
      <c r="A58" s="3">
        <v>42605</v>
      </c>
      <c r="B58">
        <v>901</v>
      </c>
      <c r="C58">
        <v>2</v>
      </c>
      <c r="D58" t="s">
        <v>27</v>
      </c>
      <c r="E58" t="s">
        <v>28</v>
      </c>
      <c r="F58" t="s">
        <v>188</v>
      </c>
      <c r="G58" t="s">
        <v>35</v>
      </c>
      <c r="H58">
        <v>50799</v>
      </c>
      <c r="I58">
        <v>50798</v>
      </c>
      <c r="J58" t="s">
        <v>63</v>
      </c>
      <c r="K58">
        <f>30-13.5</f>
        <v>16.5</v>
      </c>
      <c r="L58" t="s">
        <v>1923</v>
      </c>
      <c r="M58" t="s">
        <v>24</v>
      </c>
    </row>
    <row r="59" spans="1:13" x14ac:dyDescent="0.2">
      <c r="A59" s="3">
        <v>42605</v>
      </c>
      <c r="B59">
        <v>901</v>
      </c>
      <c r="C59">
        <v>2</v>
      </c>
      <c r="D59" t="s">
        <v>27</v>
      </c>
      <c r="E59" t="s">
        <v>28</v>
      </c>
      <c r="F59" t="s">
        <v>188</v>
      </c>
      <c r="G59" t="s">
        <v>35</v>
      </c>
      <c r="H59">
        <v>2938</v>
      </c>
      <c r="I59">
        <v>2937</v>
      </c>
      <c r="J59" t="s">
        <v>63</v>
      </c>
      <c r="K59">
        <f>30-14</f>
        <v>16</v>
      </c>
      <c r="L59" t="s">
        <v>1924</v>
      </c>
      <c r="M59" t="s">
        <v>24</v>
      </c>
    </row>
    <row r="60" spans="1:13" x14ac:dyDescent="0.2">
      <c r="A60" s="3">
        <v>42605</v>
      </c>
      <c r="B60">
        <v>501</v>
      </c>
      <c r="C60">
        <v>2</v>
      </c>
      <c r="D60" t="s">
        <v>27</v>
      </c>
      <c r="E60" t="s">
        <v>28</v>
      </c>
      <c r="F60" t="s">
        <v>188</v>
      </c>
      <c r="G60" t="s">
        <v>35</v>
      </c>
      <c r="H60">
        <v>17998</v>
      </c>
      <c r="I60">
        <v>17997</v>
      </c>
      <c r="J60" t="s">
        <v>63</v>
      </c>
      <c r="K60">
        <f>32-16</f>
        <v>16</v>
      </c>
      <c r="L60" t="s">
        <v>1715</v>
      </c>
      <c r="M60" t="s">
        <v>64</v>
      </c>
    </row>
    <row r="61" spans="1:13" x14ac:dyDescent="0.2">
      <c r="A61" s="3">
        <v>42605</v>
      </c>
      <c r="B61">
        <v>501</v>
      </c>
      <c r="C61">
        <v>4</v>
      </c>
      <c r="D61" t="s">
        <v>27</v>
      </c>
      <c r="E61" t="s">
        <v>34</v>
      </c>
      <c r="F61" t="s">
        <v>123</v>
      </c>
      <c r="G61" t="s">
        <v>30</v>
      </c>
      <c r="H61">
        <v>2533</v>
      </c>
      <c r="I61">
        <v>2532</v>
      </c>
      <c r="J61" t="s">
        <v>31</v>
      </c>
      <c r="K61">
        <f>28-15</f>
        <v>13</v>
      </c>
      <c r="L61" t="s">
        <v>1718</v>
      </c>
      <c r="M61" t="s">
        <v>64</v>
      </c>
    </row>
    <row r="62" spans="1:13" x14ac:dyDescent="0.2">
      <c r="A62" s="3">
        <v>42605</v>
      </c>
      <c r="B62">
        <v>503</v>
      </c>
      <c r="C62">
        <v>1</v>
      </c>
      <c r="D62" t="s">
        <v>27</v>
      </c>
      <c r="E62" t="s">
        <v>28</v>
      </c>
      <c r="F62" t="s">
        <v>123</v>
      </c>
      <c r="G62" t="s">
        <v>35</v>
      </c>
      <c r="H62">
        <v>50971</v>
      </c>
      <c r="I62">
        <v>50970</v>
      </c>
      <c r="J62" t="s">
        <v>63</v>
      </c>
      <c r="K62">
        <f>30.5-16</f>
        <v>14.5</v>
      </c>
      <c r="L62" t="s">
        <v>1725</v>
      </c>
      <c r="M62" t="s">
        <v>64</v>
      </c>
    </row>
    <row r="63" spans="1:13" x14ac:dyDescent="0.2">
      <c r="A63" s="3">
        <v>42605</v>
      </c>
      <c r="B63">
        <v>503</v>
      </c>
      <c r="C63">
        <v>7</v>
      </c>
      <c r="D63" t="s">
        <v>27</v>
      </c>
      <c r="E63" t="s">
        <v>34</v>
      </c>
      <c r="F63" t="s">
        <v>188</v>
      </c>
      <c r="G63" t="s">
        <v>35</v>
      </c>
      <c r="H63">
        <v>2537</v>
      </c>
      <c r="I63">
        <v>2536</v>
      </c>
      <c r="J63" t="s">
        <v>63</v>
      </c>
      <c r="K63">
        <f>30-14.5</f>
        <v>15.5</v>
      </c>
      <c r="L63" t="s">
        <v>1726</v>
      </c>
      <c r="M63" t="s">
        <v>64</v>
      </c>
    </row>
    <row r="64" spans="1:13" s="22" customFormat="1" x14ac:dyDescent="0.2">
      <c r="A64" s="21">
        <v>42605</v>
      </c>
      <c r="B64" s="22">
        <v>303</v>
      </c>
      <c r="C64" s="22">
        <v>3</v>
      </c>
      <c r="D64" s="22" t="s">
        <v>27</v>
      </c>
      <c r="E64" s="22" t="s">
        <v>28</v>
      </c>
      <c r="F64" s="22" t="s">
        <v>29</v>
      </c>
      <c r="G64" s="22" t="s">
        <v>30</v>
      </c>
      <c r="H64" s="22">
        <v>17986</v>
      </c>
      <c r="I64" s="22">
        <v>17985</v>
      </c>
      <c r="J64" s="22" t="s">
        <v>31</v>
      </c>
      <c r="K64" s="22">
        <f>37-13.5</f>
        <v>23.5</v>
      </c>
      <c r="L64" s="22" t="s">
        <v>1731</v>
      </c>
      <c r="M64" s="22" t="s">
        <v>64</v>
      </c>
    </row>
    <row r="65" spans="1:14" x14ac:dyDescent="0.2">
      <c r="A65" s="3">
        <v>42605</v>
      </c>
      <c r="B65">
        <v>401</v>
      </c>
      <c r="C65">
        <v>5</v>
      </c>
      <c r="D65" t="s">
        <v>27</v>
      </c>
      <c r="E65" t="s">
        <v>28</v>
      </c>
      <c r="F65" t="s">
        <v>29</v>
      </c>
      <c r="G65" t="s">
        <v>35</v>
      </c>
      <c r="H65">
        <v>17957</v>
      </c>
      <c r="I65">
        <v>17962</v>
      </c>
      <c r="J65" t="s">
        <v>63</v>
      </c>
      <c r="K65">
        <f>32-14</f>
        <v>18</v>
      </c>
      <c r="L65" t="s">
        <v>1741</v>
      </c>
      <c r="M65" t="s">
        <v>64</v>
      </c>
    </row>
    <row r="66" spans="1:14" x14ac:dyDescent="0.2">
      <c r="A66" s="3">
        <v>42605</v>
      </c>
      <c r="B66">
        <v>401</v>
      </c>
      <c r="C66">
        <v>7</v>
      </c>
      <c r="D66" t="s">
        <v>142</v>
      </c>
      <c r="E66" t="s">
        <v>34</v>
      </c>
      <c r="F66" t="s">
        <v>29</v>
      </c>
      <c r="G66" t="s">
        <v>30</v>
      </c>
      <c r="I66">
        <v>2541</v>
      </c>
      <c r="J66" t="s">
        <v>31</v>
      </c>
      <c r="K66">
        <f>36-16</f>
        <v>20</v>
      </c>
      <c r="L66" t="s">
        <v>1746</v>
      </c>
      <c r="M66" t="s">
        <v>64</v>
      </c>
    </row>
    <row r="67" spans="1:14" x14ac:dyDescent="0.2">
      <c r="A67" s="3">
        <v>42606</v>
      </c>
      <c r="B67">
        <v>503</v>
      </c>
      <c r="C67">
        <v>2</v>
      </c>
      <c r="D67" t="s">
        <v>27</v>
      </c>
      <c r="E67" t="s">
        <v>34</v>
      </c>
      <c r="F67" t="s">
        <v>123</v>
      </c>
      <c r="G67" t="s">
        <v>35</v>
      </c>
      <c r="H67">
        <v>2548</v>
      </c>
      <c r="I67">
        <v>2547</v>
      </c>
      <c r="J67" t="s">
        <v>63</v>
      </c>
      <c r="K67">
        <f>26-13</f>
        <v>13</v>
      </c>
      <c r="L67" t="s">
        <v>1767</v>
      </c>
      <c r="M67" t="s">
        <v>64</v>
      </c>
    </row>
    <row r="68" spans="1:14" x14ac:dyDescent="0.2">
      <c r="A68" s="3">
        <v>42606</v>
      </c>
      <c r="B68">
        <v>503</v>
      </c>
      <c r="C68">
        <v>4</v>
      </c>
      <c r="D68" t="s">
        <v>27</v>
      </c>
      <c r="E68" t="s">
        <v>28</v>
      </c>
      <c r="F68" t="s">
        <v>123</v>
      </c>
      <c r="G68" t="s">
        <v>30</v>
      </c>
      <c r="H68">
        <v>17986</v>
      </c>
      <c r="I68">
        <v>17985</v>
      </c>
      <c r="J68" t="s">
        <v>31</v>
      </c>
      <c r="K68">
        <v>14</v>
      </c>
      <c r="L68" t="s">
        <v>1774</v>
      </c>
      <c r="M68" t="s">
        <v>64</v>
      </c>
    </row>
    <row r="69" spans="1:14" x14ac:dyDescent="0.2">
      <c r="A69" s="3">
        <v>42606</v>
      </c>
      <c r="B69">
        <v>401</v>
      </c>
      <c r="C69">
        <v>4</v>
      </c>
      <c r="D69" t="s">
        <v>27</v>
      </c>
      <c r="E69" t="s">
        <v>28</v>
      </c>
      <c r="F69" t="s">
        <v>188</v>
      </c>
      <c r="G69" t="s">
        <v>35</v>
      </c>
      <c r="H69">
        <v>17957</v>
      </c>
      <c r="I69">
        <v>17962</v>
      </c>
      <c r="J69" t="s">
        <v>63</v>
      </c>
      <c r="K69">
        <f>34-17</f>
        <v>17</v>
      </c>
      <c r="L69" t="s">
        <v>1781</v>
      </c>
      <c r="M69" t="s">
        <v>64</v>
      </c>
    </row>
    <row r="70" spans="1:14" x14ac:dyDescent="0.2">
      <c r="A70" s="3">
        <v>42606</v>
      </c>
      <c r="B70">
        <v>401</v>
      </c>
      <c r="C70">
        <v>10</v>
      </c>
      <c r="D70" t="s">
        <v>142</v>
      </c>
      <c r="E70" t="s">
        <v>28</v>
      </c>
      <c r="F70" t="s">
        <v>29</v>
      </c>
      <c r="G70" t="s">
        <v>30</v>
      </c>
      <c r="H70">
        <v>2536</v>
      </c>
      <c r="J70" t="s">
        <v>31</v>
      </c>
      <c r="K70">
        <f>34-13</f>
        <v>21</v>
      </c>
      <c r="L70" t="s">
        <v>1787</v>
      </c>
      <c r="M70" t="s">
        <v>64</v>
      </c>
    </row>
    <row r="71" spans="1:14" x14ac:dyDescent="0.2">
      <c r="A71" s="3">
        <v>42606</v>
      </c>
      <c r="B71">
        <v>701</v>
      </c>
      <c r="C71">
        <v>9</v>
      </c>
      <c r="D71" t="s">
        <v>27</v>
      </c>
      <c r="E71" t="s">
        <v>28</v>
      </c>
      <c r="F71" t="s">
        <v>188</v>
      </c>
      <c r="G71" t="s">
        <v>35</v>
      </c>
      <c r="H71">
        <v>17905</v>
      </c>
      <c r="I71">
        <v>17904</v>
      </c>
      <c r="J71" t="s">
        <v>63</v>
      </c>
      <c r="K71">
        <f>30.5-13</f>
        <v>17.5</v>
      </c>
      <c r="L71" t="s">
        <v>1937</v>
      </c>
      <c r="M71" t="s">
        <v>24</v>
      </c>
    </row>
    <row r="72" spans="1:14" x14ac:dyDescent="0.2">
      <c r="A72" s="3">
        <v>42606</v>
      </c>
      <c r="B72">
        <v>901</v>
      </c>
      <c r="C72">
        <v>2</v>
      </c>
      <c r="D72" t="s">
        <v>27</v>
      </c>
      <c r="E72" t="s">
        <v>28</v>
      </c>
      <c r="F72" t="s">
        <v>188</v>
      </c>
      <c r="G72" t="s">
        <v>35</v>
      </c>
      <c r="H72">
        <v>50799</v>
      </c>
      <c r="I72">
        <v>50798</v>
      </c>
      <c r="J72" t="s">
        <v>63</v>
      </c>
      <c r="K72">
        <f>31-14.5</f>
        <v>16.5</v>
      </c>
      <c r="L72" t="s">
        <v>1938</v>
      </c>
      <c r="M72" t="s">
        <v>24</v>
      </c>
      <c r="N72" t="s">
        <v>1939</v>
      </c>
    </row>
    <row r="73" spans="1:14" x14ac:dyDescent="0.2">
      <c r="A73" s="3"/>
    </row>
    <row r="74" spans="1:14" x14ac:dyDescent="0.2">
      <c r="A74" s="3"/>
    </row>
    <row r="75" spans="1:14" x14ac:dyDescent="0.2">
      <c r="A75" s="3"/>
    </row>
    <row r="76" spans="1:14" x14ac:dyDescent="0.2">
      <c r="A7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06"/>
  <sheetViews>
    <sheetView topLeftCell="I1" workbookViewId="0">
      <pane ySplit="1" topLeftCell="A2" activePane="bottomLeft" state="frozen"/>
      <selection pane="bottomLeft" activeCell="K17" sqref="K17"/>
    </sheetView>
  </sheetViews>
  <sheetFormatPr baseColWidth="10" defaultColWidth="8.83203125" defaultRowHeight="15" x14ac:dyDescent="0.2"/>
  <cols>
    <col min="1" max="1" width="10.6640625" bestFit="1" customWidth="1"/>
    <col min="6" max="6" width="13.1640625" style="9" customWidth="1"/>
    <col min="7" max="7" width="24.5" customWidth="1"/>
    <col min="8" max="8" width="18.83203125" customWidth="1"/>
    <col min="9" max="14" width="19" customWidth="1"/>
    <col min="15" max="15" width="21.5" customWidth="1"/>
    <col min="16" max="16" width="19" customWidth="1"/>
    <col min="29" max="29" width="11.5" customWidth="1"/>
  </cols>
  <sheetData>
    <row r="1" spans="1:43" s="14" customFormat="1" x14ac:dyDescent="0.2">
      <c r="A1" s="12" t="s">
        <v>0</v>
      </c>
      <c r="B1" s="12" t="s">
        <v>76</v>
      </c>
      <c r="C1" s="12" t="s">
        <v>77</v>
      </c>
      <c r="D1" s="12" t="s">
        <v>78</v>
      </c>
      <c r="E1" s="12" t="s">
        <v>11</v>
      </c>
      <c r="F1" s="12" t="s">
        <v>4</v>
      </c>
      <c r="G1" s="12" t="s">
        <v>79</v>
      </c>
      <c r="H1" s="12" t="s">
        <v>80</v>
      </c>
      <c r="I1" s="12" t="s">
        <v>10</v>
      </c>
      <c r="J1" s="12" t="s">
        <v>49</v>
      </c>
      <c r="K1" s="12" t="s">
        <v>51</v>
      </c>
      <c r="L1" s="12" t="s">
        <v>136</v>
      </c>
      <c r="M1" s="12" t="s">
        <v>137</v>
      </c>
      <c r="N1" s="12" t="s">
        <v>171</v>
      </c>
      <c r="O1" s="12" t="s">
        <v>174</v>
      </c>
      <c r="P1" s="12" t="s">
        <v>175</v>
      </c>
      <c r="Q1" s="12" t="s">
        <v>5</v>
      </c>
      <c r="R1" s="12" t="s">
        <v>103</v>
      </c>
      <c r="S1" s="13"/>
      <c r="T1" s="12"/>
      <c r="U1" s="13"/>
      <c r="V1" s="13"/>
      <c r="W1" s="12"/>
      <c r="X1" s="13"/>
      <c r="Y1" s="13"/>
      <c r="Z1" s="12"/>
      <c r="AA1" s="13"/>
      <c r="AB1" s="13"/>
      <c r="AC1" s="12"/>
      <c r="AD1" s="13"/>
      <c r="AE1" s="13"/>
      <c r="AF1" s="12"/>
      <c r="AG1" s="13"/>
      <c r="AH1" s="13"/>
      <c r="AI1" s="12"/>
      <c r="AJ1" s="13"/>
      <c r="AK1" s="13"/>
      <c r="AL1" s="12"/>
      <c r="AM1" s="13"/>
      <c r="AN1" s="13"/>
      <c r="AO1" s="12"/>
      <c r="AP1" s="13"/>
      <c r="AQ1" s="13"/>
    </row>
    <row r="2" spans="1:43" x14ac:dyDescent="0.2">
      <c r="A2" s="3">
        <v>42496</v>
      </c>
      <c r="B2">
        <v>26623</v>
      </c>
      <c r="C2">
        <v>26627</v>
      </c>
      <c r="D2">
        <f>29.5-11</f>
        <v>18.5</v>
      </c>
      <c r="E2" t="s">
        <v>29</v>
      </c>
      <c r="G2" t="s">
        <v>31</v>
      </c>
      <c r="H2" t="s">
        <v>32</v>
      </c>
      <c r="I2" t="s">
        <v>30</v>
      </c>
      <c r="Q2" t="s">
        <v>24</v>
      </c>
    </row>
    <row r="3" spans="1:43" x14ac:dyDescent="0.2">
      <c r="A3" s="3">
        <v>42496</v>
      </c>
      <c r="B3">
        <v>50329</v>
      </c>
      <c r="C3">
        <v>50328</v>
      </c>
      <c r="D3">
        <v>25</v>
      </c>
      <c r="E3" t="s">
        <v>29</v>
      </c>
      <c r="G3" t="s">
        <v>61</v>
      </c>
      <c r="H3" t="s">
        <v>32</v>
      </c>
      <c r="I3" t="s">
        <v>30</v>
      </c>
      <c r="Q3" t="s">
        <v>64</v>
      </c>
    </row>
    <row r="4" spans="1:43" x14ac:dyDescent="0.2">
      <c r="A4" s="3">
        <v>42499</v>
      </c>
      <c r="B4">
        <v>50397</v>
      </c>
      <c r="C4">
        <v>50396</v>
      </c>
      <c r="D4">
        <f>31-8</f>
        <v>23</v>
      </c>
      <c r="E4" t="s">
        <v>29</v>
      </c>
      <c r="G4" t="s">
        <v>61</v>
      </c>
      <c r="H4" t="s">
        <v>32</v>
      </c>
      <c r="I4" t="s">
        <v>30</v>
      </c>
      <c r="Q4" t="s">
        <v>64</v>
      </c>
    </row>
    <row r="5" spans="1:43" x14ac:dyDescent="0.2">
      <c r="A5" s="3">
        <v>42499</v>
      </c>
      <c r="B5">
        <v>26641</v>
      </c>
      <c r="C5">
        <v>26640</v>
      </c>
      <c r="D5">
        <f>38-17</f>
        <v>21</v>
      </c>
      <c r="E5" t="s">
        <v>29</v>
      </c>
      <c r="G5" t="s">
        <v>39</v>
      </c>
      <c r="H5" t="s">
        <v>32</v>
      </c>
      <c r="I5" t="s">
        <v>35</v>
      </c>
      <c r="Q5" t="s">
        <v>64</v>
      </c>
    </row>
    <row r="6" spans="1:43" x14ac:dyDescent="0.2">
      <c r="A6" s="3">
        <v>42499</v>
      </c>
      <c r="B6">
        <v>26623</v>
      </c>
      <c r="C6">
        <v>26627</v>
      </c>
      <c r="D6">
        <f>26-7</f>
        <v>19</v>
      </c>
      <c r="E6" t="s">
        <v>29</v>
      </c>
      <c r="G6" t="s">
        <v>31</v>
      </c>
      <c r="H6" t="s">
        <v>32</v>
      </c>
      <c r="I6" t="s">
        <v>30</v>
      </c>
      <c r="Q6" t="s">
        <v>24</v>
      </c>
    </row>
    <row r="7" spans="1:43" x14ac:dyDescent="0.2">
      <c r="A7" s="3">
        <v>42499</v>
      </c>
      <c r="B7">
        <v>26602</v>
      </c>
      <c r="C7">
        <v>26601</v>
      </c>
      <c r="D7">
        <f>30-9</f>
        <v>21</v>
      </c>
      <c r="E7" t="s">
        <v>29</v>
      </c>
      <c r="G7" t="s">
        <v>67</v>
      </c>
      <c r="H7" t="s">
        <v>32</v>
      </c>
      <c r="I7" t="s">
        <v>30</v>
      </c>
      <c r="Q7" t="s">
        <v>24</v>
      </c>
    </row>
    <row r="8" spans="1:43" x14ac:dyDescent="0.2">
      <c r="A8" s="3">
        <v>42503</v>
      </c>
      <c r="B8">
        <v>50378</v>
      </c>
      <c r="C8">
        <v>50377</v>
      </c>
      <c r="D8">
        <f>42-15.5</f>
        <v>26.5</v>
      </c>
      <c r="E8" t="s">
        <v>29</v>
      </c>
      <c r="F8" s="9" t="s">
        <v>82</v>
      </c>
      <c r="G8" t="s">
        <v>89</v>
      </c>
      <c r="H8" t="s">
        <v>32</v>
      </c>
      <c r="I8" t="s">
        <v>30</v>
      </c>
      <c r="Q8" t="s">
        <v>64</v>
      </c>
    </row>
    <row r="9" spans="1:43" x14ac:dyDescent="0.2">
      <c r="A9" s="3">
        <v>42503</v>
      </c>
      <c r="B9">
        <v>50324</v>
      </c>
      <c r="C9">
        <v>50323</v>
      </c>
      <c r="D9">
        <f>38-17</f>
        <v>21</v>
      </c>
      <c r="E9" t="s">
        <v>29</v>
      </c>
      <c r="F9" s="9" t="s">
        <v>84</v>
      </c>
      <c r="G9" t="s">
        <v>83</v>
      </c>
      <c r="H9" t="s">
        <v>32</v>
      </c>
      <c r="I9" t="s">
        <v>30</v>
      </c>
      <c r="Q9" t="s">
        <v>64</v>
      </c>
    </row>
    <row r="10" spans="1:43" x14ac:dyDescent="0.2">
      <c r="A10" s="3">
        <v>42503</v>
      </c>
      <c r="B10">
        <v>50322</v>
      </c>
      <c r="D10">
        <f>43-23</f>
        <v>20</v>
      </c>
      <c r="E10" t="s">
        <v>29</v>
      </c>
      <c r="F10" s="9" t="s">
        <v>85</v>
      </c>
      <c r="G10" t="s">
        <v>39</v>
      </c>
      <c r="H10" t="s">
        <v>32</v>
      </c>
      <c r="I10" t="s">
        <v>35</v>
      </c>
      <c r="Q10" t="s">
        <v>64</v>
      </c>
    </row>
    <row r="11" spans="1:43" x14ac:dyDescent="0.2">
      <c r="A11" s="3">
        <v>42503</v>
      </c>
      <c r="B11">
        <v>50329</v>
      </c>
      <c r="C11">
        <v>50328</v>
      </c>
      <c r="D11">
        <f>37.5-16</f>
        <v>21.5</v>
      </c>
      <c r="E11" t="s">
        <v>29</v>
      </c>
      <c r="F11" s="9" t="s">
        <v>86</v>
      </c>
      <c r="G11" t="s">
        <v>61</v>
      </c>
      <c r="H11" t="s">
        <v>32</v>
      </c>
      <c r="I11" t="s">
        <v>30</v>
      </c>
      <c r="Q11" t="s">
        <v>24</v>
      </c>
    </row>
    <row r="12" spans="1:43" x14ac:dyDescent="0.2">
      <c r="A12" s="3">
        <v>42503</v>
      </c>
      <c r="B12">
        <v>26609</v>
      </c>
      <c r="C12">
        <v>26610</v>
      </c>
      <c r="D12">
        <f>44.5-19</f>
        <v>25.5</v>
      </c>
      <c r="E12" t="s">
        <v>29</v>
      </c>
      <c r="F12" s="9" t="s">
        <v>87</v>
      </c>
      <c r="G12" t="s">
        <v>88</v>
      </c>
      <c r="H12" t="s">
        <v>32</v>
      </c>
      <c r="I12" t="s">
        <v>30</v>
      </c>
      <c r="Q12" t="s">
        <v>24</v>
      </c>
    </row>
    <row r="13" spans="1:43" x14ac:dyDescent="0.2">
      <c r="A13" s="3">
        <v>42503</v>
      </c>
      <c r="B13">
        <v>2626</v>
      </c>
      <c r="C13">
        <v>2627</v>
      </c>
      <c r="D13">
        <v>22</v>
      </c>
      <c r="E13" t="s">
        <v>29</v>
      </c>
      <c r="F13" s="9" t="s">
        <v>90</v>
      </c>
      <c r="G13" t="s">
        <v>91</v>
      </c>
      <c r="H13" t="s">
        <v>32</v>
      </c>
      <c r="I13" t="s">
        <v>30</v>
      </c>
      <c r="Q13" t="s">
        <v>66</v>
      </c>
    </row>
    <row r="14" spans="1:43" x14ac:dyDescent="0.2">
      <c r="A14" s="3">
        <v>42503</v>
      </c>
      <c r="B14">
        <v>2677</v>
      </c>
      <c r="C14">
        <v>2676</v>
      </c>
      <c r="D14">
        <v>21</v>
      </c>
      <c r="E14" t="s">
        <v>29</v>
      </c>
      <c r="F14" s="9" t="s">
        <v>92</v>
      </c>
      <c r="G14" t="s">
        <v>91</v>
      </c>
      <c r="H14" t="s">
        <v>32</v>
      </c>
      <c r="I14" t="s">
        <v>30</v>
      </c>
      <c r="Q14" t="s">
        <v>66</v>
      </c>
    </row>
    <row r="15" spans="1:43" x14ac:dyDescent="0.2">
      <c r="A15" s="3">
        <v>42503</v>
      </c>
      <c r="B15">
        <v>2652</v>
      </c>
      <c r="C15">
        <v>2651</v>
      </c>
      <c r="D15">
        <v>24.5</v>
      </c>
      <c r="E15" t="s">
        <v>29</v>
      </c>
      <c r="F15" s="9" t="s">
        <v>93</v>
      </c>
      <c r="G15" t="s">
        <v>94</v>
      </c>
      <c r="H15" t="s">
        <v>32</v>
      </c>
      <c r="I15" t="s">
        <v>30</v>
      </c>
      <c r="Q15" t="s">
        <v>66</v>
      </c>
      <c r="R15" t="s">
        <v>95</v>
      </c>
    </row>
    <row r="16" spans="1:43" x14ac:dyDescent="0.2">
      <c r="A16" s="3">
        <v>42503</v>
      </c>
      <c r="B16">
        <v>2636</v>
      </c>
      <c r="C16">
        <v>2637</v>
      </c>
      <c r="D16">
        <v>19</v>
      </c>
      <c r="E16" t="s">
        <v>29</v>
      </c>
      <c r="F16" s="9" t="s">
        <v>96</v>
      </c>
      <c r="G16" t="s">
        <v>91</v>
      </c>
      <c r="H16" t="s">
        <v>32</v>
      </c>
      <c r="I16" t="s">
        <v>30</v>
      </c>
      <c r="Q16" t="s">
        <v>66</v>
      </c>
    </row>
    <row r="17" spans="1:17" x14ac:dyDescent="0.2">
      <c r="A17" s="3">
        <v>42503</v>
      </c>
      <c r="B17">
        <v>26640</v>
      </c>
      <c r="C17">
        <v>26641</v>
      </c>
      <c r="D17">
        <v>19</v>
      </c>
      <c r="E17" t="s">
        <v>29</v>
      </c>
      <c r="F17" s="9" t="s">
        <v>97</v>
      </c>
      <c r="G17" t="s">
        <v>39</v>
      </c>
      <c r="H17" t="s">
        <v>32</v>
      </c>
      <c r="I17" t="s">
        <v>35</v>
      </c>
      <c r="Q17" t="s">
        <v>66</v>
      </c>
    </row>
    <row r="18" spans="1:17" x14ac:dyDescent="0.2">
      <c r="A18" s="3">
        <v>42503</v>
      </c>
      <c r="B18">
        <v>2629</v>
      </c>
      <c r="C18">
        <v>2628</v>
      </c>
      <c r="D18">
        <v>20</v>
      </c>
      <c r="E18" t="s">
        <v>29</v>
      </c>
      <c r="F18" s="9" t="s">
        <v>98</v>
      </c>
      <c r="G18" t="s">
        <v>39</v>
      </c>
      <c r="H18" t="s">
        <v>32</v>
      </c>
      <c r="I18" t="s">
        <v>35</v>
      </c>
      <c r="Q18" t="s">
        <v>66</v>
      </c>
    </row>
    <row r="19" spans="1:17" x14ac:dyDescent="0.2">
      <c r="A19" s="3">
        <v>42503</v>
      </c>
      <c r="B19">
        <v>2754</v>
      </c>
      <c r="D19">
        <v>24</v>
      </c>
      <c r="E19" t="s">
        <v>29</v>
      </c>
      <c r="F19" s="9" t="s">
        <v>99</v>
      </c>
      <c r="G19" t="s">
        <v>39</v>
      </c>
      <c r="H19" t="s">
        <v>32</v>
      </c>
      <c r="I19" t="s">
        <v>35</v>
      </c>
      <c r="Q19" t="s">
        <v>65</v>
      </c>
    </row>
    <row r="20" spans="1:17" x14ac:dyDescent="0.2">
      <c r="A20" s="3">
        <v>42503</v>
      </c>
      <c r="B20">
        <v>2771</v>
      </c>
      <c r="D20">
        <v>23.5</v>
      </c>
      <c r="E20" t="s">
        <v>29</v>
      </c>
      <c r="F20" s="9" t="s">
        <v>100</v>
      </c>
      <c r="G20" t="s">
        <v>39</v>
      </c>
      <c r="H20" t="s">
        <v>32</v>
      </c>
      <c r="I20" t="s">
        <v>35</v>
      </c>
      <c r="Q20" t="s">
        <v>65</v>
      </c>
    </row>
    <row r="21" spans="1:17" x14ac:dyDescent="0.2">
      <c r="A21" s="3">
        <v>42503</v>
      </c>
      <c r="B21">
        <v>2755</v>
      </c>
      <c r="C21">
        <v>2756</v>
      </c>
      <c r="D21">
        <v>26.5</v>
      </c>
      <c r="E21" t="s">
        <v>29</v>
      </c>
      <c r="F21" s="9" t="s">
        <v>101</v>
      </c>
      <c r="G21" t="s">
        <v>83</v>
      </c>
      <c r="H21" t="s">
        <v>32</v>
      </c>
      <c r="I21" t="s">
        <v>30</v>
      </c>
      <c r="Q21" t="s">
        <v>65</v>
      </c>
    </row>
    <row r="22" spans="1:17" x14ac:dyDescent="0.2">
      <c r="A22" s="3">
        <v>42506</v>
      </c>
      <c r="B22">
        <v>2636</v>
      </c>
      <c r="C22">
        <v>2637</v>
      </c>
      <c r="D22">
        <v>24.5</v>
      </c>
      <c r="E22" t="s">
        <v>29</v>
      </c>
      <c r="F22" s="9" t="s">
        <v>96</v>
      </c>
      <c r="G22" t="s">
        <v>31</v>
      </c>
      <c r="H22" t="s">
        <v>32</v>
      </c>
      <c r="I22" t="s">
        <v>30</v>
      </c>
      <c r="Q22" t="s">
        <v>66</v>
      </c>
    </row>
    <row r="23" spans="1:17" x14ac:dyDescent="0.2">
      <c r="A23" s="3">
        <v>42506</v>
      </c>
      <c r="B23">
        <v>26640</v>
      </c>
      <c r="C23">
        <v>26641</v>
      </c>
      <c r="D23">
        <v>21.25</v>
      </c>
      <c r="E23" t="s">
        <v>29</v>
      </c>
      <c r="F23" s="9" t="s">
        <v>102</v>
      </c>
      <c r="G23" t="s">
        <v>39</v>
      </c>
      <c r="H23" t="s">
        <v>32</v>
      </c>
      <c r="I23" t="s">
        <v>35</v>
      </c>
      <c r="Q23" t="s">
        <v>66</v>
      </c>
    </row>
    <row r="24" spans="1:17" x14ac:dyDescent="0.2">
      <c r="A24" s="3">
        <v>42506</v>
      </c>
      <c r="B24">
        <v>2625</v>
      </c>
      <c r="D24">
        <v>20</v>
      </c>
      <c r="E24" t="s">
        <v>29</v>
      </c>
      <c r="F24" s="9" t="s">
        <v>104</v>
      </c>
      <c r="G24" t="s">
        <v>39</v>
      </c>
      <c r="H24" t="s">
        <v>32</v>
      </c>
      <c r="I24" t="s">
        <v>35</v>
      </c>
      <c r="Q24" t="s">
        <v>66</v>
      </c>
    </row>
    <row r="25" spans="1:17" x14ac:dyDescent="0.2">
      <c r="A25" s="3">
        <v>42506</v>
      </c>
      <c r="B25">
        <v>2623</v>
      </c>
      <c r="C25">
        <v>2624</v>
      </c>
      <c r="D25">
        <v>27.5</v>
      </c>
      <c r="E25" t="s">
        <v>29</v>
      </c>
      <c r="F25" s="9" t="s">
        <v>105</v>
      </c>
      <c r="G25" t="s">
        <v>94</v>
      </c>
      <c r="H25" t="s">
        <v>32</v>
      </c>
      <c r="I25" t="s">
        <v>30</v>
      </c>
      <c r="Q25" t="s">
        <v>66</v>
      </c>
    </row>
    <row r="26" spans="1:17" x14ac:dyDescent="0.2">
      <c r="A26" s="3">
        <v>42506</v>
      </c>
      <c r="B26">
        <v>2626</v>
      </c>
      <c r="C26">
        <v>2627</v>
      </c>
      <c r="D26">
        <v>20</v>
      </c>
      <c r="E26" t="s">
        <v>29</v>
      </c>
      <c r="F26" s="9" t="s">
        <v>106</v>
      </c>
      <c r="G26" t="s">
        <v>31</v>
      </c>
      <c r="H26" t="s">
        <v>32</v>
      </c>
      <c r="I26" t="s">
        <v>30</v>
      </c>
      <c r="Q26" t="s">
        <v>65</v>
      </c>
    </row>
    <row r="27" spans="1:17" x14ac:dyDescent="0.2">
      <c r="A27" s="3">
        <v>42506</v>
      </c>
      <c r="B27">
        <v>2628</v>
      </c>
      <c r="C27">
        <v>2629</v>
      </c>
      <c r="D27">
        <v>22</v>
      </c>
      <c r="E27" t="s">
        <v>29</v>
      </c>
      <c r="F27" s="9" t="s">
        <v>98</v>
      </c>
      <c r="G27" t="s">
        <v>39</v>
      </c>
      <c r="H27" t="s">
        <v>32</v>
      </c>
      <c r="I27" t="s">
        <v>35</v>
      </c>
      <c r="Q27" t="s">
        <v>65</v>
      </c>
    </row>
    <row r="28" spans="1:17" x14ac:dyDescent="0.2">
      <c r="A28" s="3">
        <v>42506</v>
      </c>
      <c r="B28">
        <v>2771</v>
      </c>
      <c r="D28">
        <v>20.5</v>
      </c>
      <c r="E28" t="s">
        <v>29</v>
      </c>
      <c r="F28" s="9" t="s">
        <v>107</v>
      </c>
      <c r="G28" t="s">
        <v>39</v>
      </c>
      <c r="H28" t="s">
        <v>32</v>
      </c>
      <c r="I28" t="s">
        <v>35</v>
      </c>
      <c r="Q28" t="s">
        <v>24</v>
      </c>
    </row>
    <row r="29" spans="1:17" x14ac:dyDescent="0.2">
      <c r="A29" s="3">
        <v>42506</v>
      </c>
      <c r="B29">
        <v>26611</v>
      </c>
      <c r="D29">
        <v>24.5</v>
      </c>
      <c r="E29" t="s">
        <v>29</v>
      </c>
      <c r="F29" s="9" t="s">
        <v>108</v>
      </c>
      <c r="G29" t="s">
        <v>39</v>
      </c>
      <c r="H29" t="s">
        <v>32</v>
      </c>
      <c r="I29" t="s">
        <v>35</v>
      </c>
      <c r="Q29" t="s">
        <v>24</v>
      </c>
    </row>
    <row r="30" spans="1:17" x14ac:dyDescent="0.2">
      <c r="A30" s="3">
        <v>42506</v>
      </c>
      <c r="B30">
        <v>26612</v>
      </c>
      <c r="D30">
        <v>21</v>
      </c>
      <c r="E30" t="s">
        <v>29</v>
      </c>
      <c r="F30" s="9" t="s">
        <v>109</v>
      </c>
      <c r="G30" t="s">
        <v>63</v>
      </c>
      <c r="H30" t="s">
        <v>32</v>
      </c>
      <c r="I30" t="s">
        <v>35</v>
      </c>
      <c r="Q30" t="s">
        <v>24</v>
      </c>
    </row>
    <row r="31" spans="1:17" x14ac:dyDescent="0.2">
      <c r="A31" s="3">
        <v>42506</v>
      </c>
      <c r="B31">
        <v>50378</v>
      </c>
      <c r="C31">
        <v>50377</v>
      </c>
      <c r="D31">
        <f>31-8</f>
        <v>23</v>
      </c>
      <c r="E31" t="s">
        <v>29</v>
      </c>
      <c r="F31" s="9" t="s">
        <v>110</v>
      </c>
      <c r="G31" t="s">
        <v>61</v>
      </c>
      <c r="H31" t="s">
        <v>32</v>
      </c>
      <c r="I31" t="s">
        <v>30</v>
      </c>
      <c r="Q31" t="s">
        <v>64</v>
      </c>
    </row>
    <row r="32" spans="1:17" x14ac:dyDescent="0.2">
      <c r="A32" s="3">
        <v>42506</v>
      </c>
      <c r="B32">
        <v>50332</v>
      </c>
      <c r="C32">
        <v>50331</v>
      </c>
      <c r="D32">
        <f>32.5-8</f>
        <v>24.5</v>
      </c>
      <c r="E32" t="s">
        <v>29</v>
      </c>
      <c r="F32" s="9" t="s">
        <v>111</v>
      </c>
      <c r="G32" t="s">
        <v>94</v>
      </c>
      <c r="H32" t="s">
        <v>32</v>
      </c>
      <c r="I32" t="s">
        <v>30</v>
      </c>
      <c r="Q32" t="s">
        <v>64</v>
      </c>
    </row>
    <row r="33" spans="1:17" x14ac:dyDescent="0.2">
      <c r="A33" s="3">
        <v>42506</v>
      </c>
      <c r="B33">
        <v>26609</v>
      </c>
      <c r="C33">
        <v>26610</v>
      </c>
      <c r="D33">
        <f>33-8</f>
        <v>25</v>
      </c>
      <c r="E33" t="s">
        <v>29</v>
      </c>
      <c r="F33" s="9" t="s">
        <v>112</v>
      </c>
      <c r="G33" t="s">
        <v>94</v>
      </c>
      <c r="H33" t="s">
        <v>32</v>
      </c>
      <c r="I33" t="s">
        <v>30</v>
      </c>
      <c r="Q33" t="s">
        <v>64</v>
      </c>
    </row>
    <row r="34" spans="1:17" x14ac:dyDescent="0.2">
      <c r="A34" s="3">
        <v>42510</v>
      </c>
      <c r="B34">
        <v>26612</v>
      </c>
      <c r="D34">
        <v>21.25</v>
      </c>
      <c r="E34" t="s">
        <v>29</v>
      </c>
      <c r="F34" s="9" t="s">
        <v>125</v>
      </c>
      <c r="G34" t="s">
        <v>39</v>
      </c>
      <c r="H34" t="s">
        <v>32</v>
      </c>
      <c r="I34" t="s">
        <v>35</v>
      </c>
      <c r="Q34" t="s">
        <v>66</v>
      </c>
    </row>
    <row r="35" spans="1:17" x14ac:dyDescent="0.2">
      <c r="A35" s="3">
        <v>42510</v>
      </c>
      <c r="B35">
        <v>2677</v>
      </c>
      <c r="C35">
        <v>2676</v>
      </c>
      <c r="D35">
        <v>20</v>
      </c>
      <c r="E35" t="s">
        <v>29</v>
      </c>
      <c r="F35" s="9" t="s">
        <v>126</v>
      </c>
      <c r="G35" t="s">
        <v>31</v>
      </c>
      <c r="H35" t="s">
        <v>32</v>
      </c>
      <c r="I35" t="s">
        <v>30</v>
      </c>
      <c r="Q35" t="s">
        <v>66</v>
      </c>
    </row>
    <row r="36" spans="1:17" x14ac:dyDescent="0.2">
      <c r="A36" s="3">
        <v>42510</v>
      </c>
      <c r="B36">
        <v>2619</v>
      </c>
      <c r="C36">
        <v>2620</v>
      </c>
      <c r="D36">
        <v>18.5</v>
      </c>
      <c r="E36" t="s">
        <v>29</v>
      </c>
      <c r="F36" s="9" t="s">
        <v>127</v>
      </c>
      <c r="G36" t="s">
        <v>31</v>
      </c>
      <c r="H36" t="s">
        <v>32</v>
      </c>
      <c r="I36" t="s">
        <v>30</v>
      </c>
      <c r="Q36" t="s">
        <v>66</v>
      </c>
    </row>
    <row r="37" spans="1:17" x14ac:dyDescent="0.2">
      <c r="A37" s="3">
        <v>42510</v>
      </c>
      <c r="B37">
        <v>26618</v>
      </c>
      <c r="C37">
        <v>26617</v>
      </c>
      <c r="D37">
        <v>21</v>
      </c>
      <c r="E37" t="s">
        <v>29</v>
      </c>
      <c r="F37" s="9" t="s">
        <v>128</v>
      </c>
      <c r="G37" t="s">
        <v>31</v>
      </c>
      <c r="H37" t="s">
        <v>32</v>
      </c>
      <c r="I37" t="s">
        <v>30</v>
      </c>
      <c r="Q37" t="s">
        <v>24</v>
      </c>
    </row>
    <row r="38" spans="1:17" x14ac:dyDescent="0.2">
      <c r="A38" s="3">
        <v>42510</v>
      </c>
      <c r="B38">
        <v>50378</v>
      </c>
      <c r="C38">
        <v>50377</v>
      </c>
      <c r="D38">
        <f>34-8.5</f>
        <v>25.5</v>
      </c>
      <c r="E38" t="s">
        <v>29</v>
      </c>
      <c r="F38" s="9" t="s">
        <v>129</v>
      </c>
      <c r="G38" t="s">
        <v>94</v>
      </c>
      <c r="H38" t="s">
        <v>32</v>
      </c>
      <c r="I38" t="s">
        <v>30</v>
      </c>
      <c r="Q38" t="s">
        <v>64</v>
      </c>
    </row>
    <row r="39" spans="1:17" x14ac:dyDescent="0.2">
      <c r="A39" s="3">
        <v>42513</v>
      </c>
      <c r="B39">
        <v>2758</v>
      </c>
      <c r="C39">
        <v>2757</v>
      </c>
      <c r="D39">
        <v>20</v>
      </c>
      <c r="E39" t="s">
        <v>29</v>
      </c>
      <c r="F39" s="9" t="s">
        <v>100</v>
      </c>
      <c r="G39" t="s">
        <v>31</v>
      </c>
      <c r="H39" t="s">
        <v>32</v>
      </c>
      <c r="I39" t="s">
        <v>30</v>
      </c>
      <c r="Q39" t="s">
        <v>65</v>
      </c>
    </row>
    <row r="40" spans="1:17" x14ac:dyDescent="0.2">
      <c r="A40" s="3">
        <v>42513</v>
      </c>
      <c r="B40">
        <v>26618</v>
      </c>
      <c r="C40">
        <v>26617</v>
      </c>
      <c r="D40">
        <v>21</v>
      </c>
      <c r="E40" t="s">
        <v>29</v>
      </c>
      <c r="F40" s="9" t="s">
        <v>128</v>
      </c>
      <c r="G40" t="s">
        <v>61</v>
      </c>
      <c r="H40" t="s">
        <v>32</v>
      </c>
      <c r="I40" t="s">
        <v>30</v>
      </c>
      <c r="Q40" t="s">
        <v>65</v>
      </c>
    </row>
    <row r="41" spans="1:17" x14ac:dyDescent="0.2">
      <c r="A41" s="3">
        <v>42513</v>
      </c>
      <c r="B41">
        <v>2771</v>
      </c>
      <c r="D41">
        <f>33.5-12.5</f>
        <v>21</v>
      </c>
      <c r="E41" t="s">
        <v>29</v>
      </c>
      <c r="F41" s="9" t="s">
        <v>130</v>
      </c>
      <c r="G41" t="s">
        <v>39</v>
      </c>
      <c r="H41" t="s">
        <v>32</v>
      </c>
      <c r="I41" t="s">
        <v>35</v>
      </c>
      <c r="Q41" t="s">
        <v>64</v>
      </c>
    </row>
    <row r="42" spans="1:17" x14ac:dyDescent="0.2">
      <c r="A42" s="3">
        <v>42513</v>
      </c>
      <c r="B42">
        <v>2619</v>
      </c>
      <c r="C42">
        <v>2620</v>
      </c>
      <c r="D42">
        <f>32-12</f>
        <v>20</v>
      </c>
      <c r="E42" t="s">
        <v>29</v>
      </c>
      <c r="F42" s="9" t="s">
        <v>132</v>
      </c>
      <c r="G42" t="s">
        <v>131</v>
      </c>
      <c r="H42" t="s">
        <v>32</v>
      </c>
      <c r="I42" t="s">
        <v>30</v>
      </c>
      <c r="Q42" t="s">
        <v>64</v>
      </c>
    </row>
    <row r="43" spans="1:17" x14ac:dyDescent="0.2">
      <c r="A43" s="3">
        <v>42513</v>
      </c>
      <c r="B43">
        <v>50378</v>
      </c>
      <c r="C43">
        <v>50377</v>
      </c>
      <c r="D43">
        <v>24.5</v>
      </c>
      <c r="E43" t="s">
        <v>29</v>
      </c>
      <c r="F43" s="9" t="s">
        <v>133</v>
      </c>
      <c r="G43" t="s">
        <v>94</v>
      </c>
      <c r="H43" t="s">
        <v>32</v>
      </c>
      <c r="I43" t="s">
        <v>30</v>
      </c>
      <c r="Q43" t="s">
        <v>66</v>
      </c>
    </row>
    <row r="44" spans="1:17" x14ac:dyDescent="0.2">
      <c r="A44" s="3">
        <v>42520</v>
      </c>
      <c r="B44">
        <v>2677</v>
      </c>
      <c r="D44">
        <v>20</v>
      </c>
      <c r="E44" t="s">
        <v>29</v>
      </c>
      <c r="F44" s="9" t="s">
        <v>159</v>
      </c>
      <c r="H44" t="s">
        <v>32</v>
      </c>
      <c r="Q44" t="s">
        <v>65</v>
      </c>
    </row>
    <row r="45" spans="1:17" x14ac:dyDescent="0.2">
      <c r="A45" s="3">
        <v>42520</v>
      </c>
      <c r="B45">
        <v>2769</v>
      </c>
      <c r="D45">
        <v>23</v>
      </c>
      <c r="E45" t="s">
        <v>29</v>
      </c>
      <c r="F45" s="9" t="s">
        <v>158</v>
      </c>
      <c r="G45" t="s">
        <v>39</v>
      </c>
      <c r="H45" t="s">
        <v>32</v>
      </c>
      <c r="I45" t="s">
        <v>35</v>
      </c>
      <c r="Q45" t="s">
        <v>65</v>
      </c>
    </row>
    <row r="46" spans="1:17" x14ac:dyDescent="0.2">
      <c r="A46" s="3">
        <v>42520</v>
      </c>
      <c r="B46">
        <v>2757</v>
      </c>
      <c r="C46">
        <v>2758</v>
      </c>
      <c r="D46">
        <v>23</v>
      </c>
      <c r="E46" t="s">
        <v>29</v>
      </c>
      <c r="F46" s="9" t="s">
        <v>157</v>
      </c>
      <c r="G46" t="s">
        <v>31</v>
      </c>
      <c r="H46" t="s">
        <v>32</v>
      </c>
      <c r="I46" t="s">
        <v>30</v>
      </c>
      <c r="Q46" t="s">
        <v>65</v>
      </c>
    </row>
    <row r="47" spans="1:17" x14ac:dyDescent="0.2">
      <c r="A47" s="3">
        <v>42520</v>
      </c>
      <c r="B47">
        <v>2771</v>
      </c>
      <c r="D47">
        <v>19</v>
      </c>
      <c r="E47" t="s">
        <v>29</v>
      </c>
      <c r="F47" s="9" t="s">
        <v>160</v>
      </c>
      <c r="G47" t="s">
        <v>39</v>
      </c>
      <c r="H47" t="s">
        <v>32</v>
      </c>
      <c r="I47" t="s">
        <v>35</v>
      </c>
      <c r="Q47" t="s">
        <v>66</v>
      </c>
    </row>
    <row r="48" spans="1:17" x14ac:dyDescent="0.2">
      <c r="A48" s="3">
        <v>42520</v>
      </c>
      <c r="B48">
        <v>2659</v>
      </c>
      <c r="C48">
        <v>2660</v>
      </c>
      <c r="D48">
        <v>23</v>
      </c>
      <c r="E48" t="s">
        <v>29</v>
      </c>
      <c r="F48" s="9" t="s">
        <v>161</v>
      </c>
      <c r="G48" t="s">
        <v>39</v>
      </c>
      <c r="H48" t="s">
        <v>32</v>
      </c>
      <c r="I48" t="s">
        <v>35</v>
      </c>
      <c r="Q48" t="s">
        <v>66</v>
      </c>
    </row>
    <row r="49" spans="1:17" x14ac:dyDescent="0.2">
      <c r="A49" s="3">
        <v>42520</v>
      </c>
      <c r="B49">
        <v>2619</v>
      </c>
      <c r="C49">
        <v>2620</v>
      </c>
      <c r="D49">
        <v>19</v>
      </c>
      <c r="E49" t="s">
        <v>29</v>
      </c>
      <c r="F49" s="9" t="s">
        <v>162</v>
      </c>
      <c r="G49" t="s">
        <v>31</v>
      </c>
      <c r="H49" t="s">
        <v>32</v>
      </c>
      <c r="I49" t="s">
        <v>30</v>
      </c>
      <c r="Q49" t="s">
        <v>66</v>
      </c>
    </row>
    <row r="50" spans="1:17" x14ac:dyDescent="0.2">
      <c r="A50" s="3">
        <v>42520</v>
      </c>
      <c r="B50">
        <v>50366</v>
      </c>
      <c r="C50">
        <v>50365</v>
      </c>
      <c r="D50">
        <v>22</v>
      </c>
      <c r="E50" t="s">
        <v>29</v>
      </c>
      <c r="F50" s="9" t="s">
        <v>163</v>
      </c>
      <c r="G50" t="s">
        <v>31</v>
      </c>
      <c r="H50" t="s">
        <v>32</v>
      </c>
      <c r="I50" t="s">
        <v>30</v>
      </c>
      <c r="Q50" t="s">
        <v>24</v>
      </c>
    </row>
    <row r="51" spans="1:17" x14ac:dyDescent="0.2">
      <c r="A51" s="3">
        <v>42520</v>
      </c>
      <c r="B51">
        <v>50364</v>
      </c>
      <c r="C51">
        <v>50363</v>
      </c>
      <c r="D51">
        <f>39.5-16</f>
        <v>23.5</v>
      </c>
      <c r="E51" t="s">
        <v>29</v>
      </c>
      <c r="F51" s="9" t="s">
        <v>164</v>
      </c>
      <c r="G51" t="s">
        <v>63</v>
      </c>
      <c r="H51" t="s">
        <v>32</v>
      </c>
      <c r="I51" t="s">
        <v>35</v>
      </c>
      <c r="Q51" t="s">
        <v>24</v>
      </c>
    </row>
    <row r="52" spans="1:17" x14ac:dyDescent="0.2">
      <c r="A52" s="3">
        <v>42520</v>
      </c>
      <c r="B52">
        <v>50362</v>
      </c>
      <c r="C52">
        <v>50361</v>
      </c>
      <c r="D52">
        <f>41-17.5</f>
        <v>23.5</v>
      </c>
      <c r="E52" t="s">
        <v>29</v>
      </c>
      <c r="F52" s="9" t="s">
        <v>165</v>
      </c>
      <c r="G52" t="s">
        <v>167</v>
      </c>
      <c r="H52" t="s">
        <v>32</v>
      </c>
      <c r="I52" t="s">
        <v>30</v>
      </c>
      <c r="Q52" t="s">
        <v>24</v>
      </c>
    </row>
    <row r="53" spans="1:17" x14ac:dyDescent="0.2">
      <c r="A53" s="3">
        <v>42520</v>
      </c>
      <c r="B53">
        <v>50360</v>
      </c>
      <c r="D53">
        <v>20</v>
      </c>
      <c r="E53" t="s">
        <v>29</v>
      </c>
      <c r="F53" s="9" t="s">
        <v>166</v>
      </c>
      <c r="G53" t="s">
        <v>63</v>
      </c>
      <c r="H53" t="s">
        <v>32</v>
      </c>
      <c r="I53" t="s">
        <v>35</v>
      </c>
      <c r="Q53" t="s">
        <v>24</v>
      </c>
    </row>
    <row r="54" spans="1:17" x14ac:dyDescent="0.2">
      <c r="A54" s="3">
        <v>42154</v>
      </c>
      <c r="B54">
        <v>50378</v>
      </c>
      <c r="C54">
        <v>50377</v>
      </c>
      <c r="D54">
        <f>37-15</f>
        <v>22</v>
      </c>
      <c r="E54" t="s">
        <v>29</v>
      </c>
      <c r="F54" s="9" t="s">
        <v>110</v>
      </c>
      <c r="G54" t="s">
        <v>131</v>
      </c>
      <c r="H54" t="s">
        <v>32</v>
      </c>
      <c r="I54" t="s">
        <v>30</v>
      </c>
      <c r="Q54" t="s">
        <v>64</v>
      </c>
    </row>
    <row r="55" spans="1:17" x14ac:dyDescent="0.2">
      <c r="A55" s="3">
        <v>42520</v>
      </c>
      <c r="B55">
        <v>50241</v>
      </c>
      <c r="F55" s="9" t="s">
        <v>168</v>
      </c>
      <c r="G55" t="s">
        <v>39</v>
      </c>
      <c r="H55" t="s">
        <v>32</v>
      </c>
      <c r="I55" t="s">
        <v>35</v>
      </c>
      <c r="Q55" t="s">
        <v>64</v>
      </c>
    </row>
    <row r="56" spans="1:17" x14ac:dyDescent="0.2">
      <c r="A56" s="3">
        <v>42527</v>
      </c>
      <c r="B56">
        <v>2661</v>
      </c>
      <c r="C56">
        <v>2662</v>
      </c>
      <c r="D56">
        <v>9</v>
      </c>
      <c r="E56" t="s">
        <v>123</v>
      </c>
      <c r="F56" s="9" t="s">
        <v>169</v>
      </c>
      <c r="G56" t="s">
        <v>31</v>
      </c>
      <c r="H56" t="s">
        <v>32</v>
      </c>
      <c r="I56" t="s">
        <v>30</v>
      </c>
      <c r="Q56" t="s">
        <v>66</v>
      </c>
    </row>
    <row r="57" spans="1:17" x14ac:dyDescent="0.2">
      <c r="A57" s="3">
        <v>42527</v>
      </c>
      <c r="B57">
        <v>50378</v>
      </c>
      <c r="C57">
        <v>50377</v>
      </c>
      <c r="D57">
        <f>34-12</f>
        <v>22</v>
      </c>
      <c r="E57" t="s">
        <v>29</v>
      </c>
      <c r="F57" s="9" t="s">
        <v>82</v>
      </c>
      <c r="G57" t="s">
        <v>170</v>
      </c>
      <c r="H57" t="s">
        <v>32</v>
      </c>
      <c r="I57" t="s">
        <v>30</v>
      </c>
      <c r="Q57" t="s">
        <v>64</v>
      </c>
    </row>
    <row r="58" spans="1:17" x14ac:dyDescent="0.2">
      <c r="A58" s="3">
        <v>42527</v>
      </c>
      <c r="B58">
        <v>50344</v>
      </c>
      <c r="C58">
        <v>50343</v>
      </c>
      <c r="D58">
        <v>29</v>
      </c>
      <c r="E58" t="s">
        <v>29</v>
      </c>
      <c r="F58" s="9" t="s">
        <v>172</v>
      </c>
      <c r="G58" t="s">
        <v>94</v>
      </c>
      <c r="H58" t="s">
        <v>145</v>
      </c>
      <c r="I58" t="s">
        <v>30</v>
      </c>
      <c r="N58" t="s">
        <v>173</v>
      </c>
      <c r="O58">
        <v>700</v>
      </c>
      <c r="P58">
        <v>0</v>
      </c>
      <c r="Q58" t="s">
        <v>64</v>
      </c>
    </row>
    <row r="59" spans="1:17" x14ac:dyDescent="0.2">
      <c r="A59" s="3">
        <v>42531</v>
      </c>
      <c r="B59">
        <v>2664</v>
      </c>
      <c r="C59">
        <v>2665</v>
      </c>
      <c r="D59">
        <v>11</v>
      </c>
      <c r="E59" t="s">
        <v>123</v>
      </c>
      <c r="F59" s="9" t="s">
        <v>90</v>
      </c>
      <c r="G59" t="s">
        <v>31</v>
      </c>
      <c r="H59" t="s">
        <v>32</v>
      </c>
      <c r="I59" t="s">
        <v>30</v>
      </c>
      <c r="Q59" t="s">
        <v>66</v>
      </c>
    </row>
    <row r="60" spans="1:17" x14ac:dyDescent="0.2">
      <c r="A60" s="3">
        <v>42534</v>
      </c>
      <c r="B60">
        <v>50378</v>
      </c>
      <c r="C60">
        <v>50377</v>
      </c>
      <c r="D60">
        <v>24</v>
      </c>
      <c r="E60" t="s">
        <v>29</v>
      </c>
      <c r="F60" s="9" t="s">
        <v>200</v>
      </c>
      <c r="G60" t="s">
        <v>94</v>
      </c>
      <c r="H60" t="s">
        <v>145</v>
      </c>
      <c r="I60" t="s">
        <v>30</v>
      </c>
      <c r="N60" t="s">
        <v>201</v>
      </c>
      <c r="O60" s="10">
        <v>0.24097222222222223</v>
      </c>
      <c r="P60">
        <v>0</v>
      </c>
      <c r="Q60" t="s">
        <v>66</v>
      </c>
    </row>
    <row r="61" spans="1:17" x14ac:dyDescent="0.2">
      <c r="A61" s="3">
        <v>42534</v>
      </c>
      <c r="D61">
        <v>16.5</v>
      </c>
      <c r="E61" t="s">
        <v>188</v>
      </c>
      <c r="F61" s="9" t="s">
        <v>202</v>
      </c>
      <c r="G61" t="s">
        <v>31</v>
      </c>
      <c r="H61" t="s">
        <v>32</v>
      </c>
      <c r="I61" t="s">
        <v>30</v>
      </c>
      <c r="Q61" t="s">
        <v>66</v>
      </c>
    </row>
    <row r="62" spans="1:17" x14ac:dyDescent="0.2">
      <c r="A62" s="3">
        <v>42534</v>
      </c>
      <c r="B62">
        <v>50453</v>
      </c>
      <c r="D62">
        <f>26-12.5</f>
        <v>13.5</v>
      </c>
      <c r="E62" t="s">
        <v>123</v>
      </c>
      <c r="F62" s="9" t="s">
        <v>84</v>
      </c>
      <c r="G62" t="s">
        <v>39</v>
      </c>
      <c r="H62" t="s">
        <v>32</v>
      </c>
      <c r="I62" t="s">
        <v>35</v>
      </c>
      <c r="Q62" t="s">
        <v>64</v>
      </c>
    </row>
    <row r="63" spans="1:17" x14ac:dyDescent="0.2">
      <c r="A63" s="3">
        <v>42534</v>
      </c>
      <c r="B63">
        <v>50500</v>
      </c>
      <c r="C63">
        <v>50600</v>
      </c>
      <c r="D63">
        <f>29-15</f>
        <v>14</v>
      </c>
      <c r="E63" t="s">
        <v>123</v>
      </c>
      <c r="F63" s="9" t="s">
        <v>203</v>
      </c>
      <c r="G63" t="s">
        <v>31</v>
      </c>
      <c r="H63" t="s">
        <v>32</v>
      </c>
      <c r="I63" t="s">
        <v>30</v>
      </c>
      <c r="Q63" t="s">
        <v>24</v>
      </c>
    </row>
    <row r="64" spans="1:17" x14ac:dyDescent="0.2">
      <c r="A64" s="3">
        <v>42534</v>
      </c>
      <c r="B64">
        <v>50577</v>
      </c>
      <c r="C64">
        <v>50576</v>
      </c>
      <c r="D64">
        <v>13.5</v>
      </c>
      <c r="E64" t="s">
        <v>123</v>
      </c>
      <c r="F64" s="9" t="s">
        <v>204</v>
      </c>
      <c r="G64" t="s">
        <v>31</v>
      </c>
      <c r="H64" t="s">
        <v>32</v>
      </c>
      <c r="I64" t="s">
        <v>30</v>
      </c>
      <c r="Q64" t="s">
        <v>24</v>
      </c>
    </row>
    <row r="65" spans="1:17" x14ac:dyDescent="0.2">
      <c r="A65" s="3">
        <v>42536</v>
      </c>
      <c r="B65">
        <v>2668</v>
      </c>
      <c r="C65">
        <v>2667</v>
      </c>
      <c r="D65">
        <v>16.5</v>
      </c>
      <c r="E65" t="s">
        <v>188</v>
      </c>
      <c r="F65" s="9" t="s">
        <v>210</v>
      </c>
      <c r="G65" t="s">
        <v>31</v>
      </c>
      <c r="H65" t="s">
        <v>32</v>
      </c>
      <c r="I65" t="s">
        <v>30</v>
      </c>
      <c r="Q65" t="s">
        <v>66</v>
      </c>
    </row>
    <row r="66" spans="1:17" x14ac:dyDescent="0.2">
      <c r="A66" s="3">
        <v>42538</v>
      </c>
      <c r="B66">
        <v>2671</v>
      </c>
      <c r="D66">
        <v>18</v>
      </c>
      <c r="E66" t="s">
        <v>188</v>
      </c>
      <c r="F66" s="9" t="s">
        <v>133</v>
      </c>
      <c r="G66" t="s">
        <v>39</v>
      </c>
      <c r="H66" t="s">
        <v>32</v>
      </c>
      <c r="I66" t="s">
        <v>35</v>
      </c>
      <c r="Q66" t="s">
        <v>66</v>
      </c>
    </row>
    <row r="67" spans="1:17" x14ac:dyDescent="0.2">
      <c r="A67" s="3">
        <v>42538</v>
      </c>
      <c r="B67">
        <v>2667</v>
      </c>
      <c r="D67">
        <v>16</v>
      </c>
      <c r="E67" t="s">
        <v>188</v>
      </c>
      <c r="F67" s="9" t="s">
        <v>220</v>
      </c>
      <c r="G67" t="s">
        <v>31</v>
      </c>
      <c r="H67" t="s">
        <v>32</v>
      </c>
      <c r="I67" t="s">
        <v>35</v>
      </c>
      <c r="Q67" t="s">
        <v>66</v>
      </c>
    </row>
    <row r="68" spans="1:17" x14ac:dyDescent="0.2">
      <c r="A68" s="3">
        <v>42538</v>
      </c>
      <c r="B68">
        <v>2675</v>
      </c>
      <c r="C68">
        <v>2674</v>
      </c>
      <c r="D68">
        <v>14.5</v>
      </c>
      <c r="E68" t="s">
        <v>123</v>
      </c>
      <c r="F68" s="9" t="s">
        <v>221</v>
      </c>
      <c r="G68" t="s">
        <v>31</v>
      </c>
      <c r="H68" t="s">
        <v>32</v>
      </c>
      <c r="I68" t="s">
        <v>30</v>
      </c>
      <c r="N68" t="s">
        <v>219</v>
      </c>
      <c r="O68" s="10">
        <v>0.29166666666666669</v>
      </c>
      <c r="P68">
        <v>0</v>
      </c>
      <c r="Q68" t="s">
        <v>66</v>
      </c>
    </row>
    <row r="69" spans="1:17" x14ac:dyDescent="0.2">
      <c r="A69" s="3">
        <v>42538</v>
      </c>
      <c r="B69">
        <v>50453</v>
      </c>
      <c r="D69">
        <f>32.5-18.5</f>
        <v>14</v>
      </c>
      <c r="E69" t="s">
        <v>123</v>
      </c>
      <c r="F69" s="9" t="s">
        <v>225</v>
      </c>
      <c r="G69" t="s">
        <v>63</v>
      </c>
      <c r="H69" t="s">
        <v>145</v>
      </c>
      <c r="I69" t="s">
        <v>35</v>
      </c>
      <c r="N69" t="s">
        <v>227</v>
      </c>
      <c r="O69" s="10">
        <v>0.23611111111111113</v>
      </c>
      <c r="P69">
        <v>0</v>
      </c>
      <c r="Q69" t="s">
        <v>24</v>
      </c>
    </row>
    <row r="70" spans="1:17" x14ac:dyDescent="0.2">
      <c r="A70" s="3">
        <v>42540</v>
      </c>
      <c r="B70">
        <v>50425</v>
      </c>
      <c r="D70">
        <f>27-3.5</f>
        <v>23.5</v>
      </c>
      <c r="E70" t="s">
        <v>29</v>
      </c>
      <c r="F70" s="9" t="s">
        <v>234</v>
      </c>
      <c r="G70" t="s">
        <v>39</v>
      </c>
      <c r="H70" t="s">
        <v>32</v>
      </c>
      <c r="I70" t="s">
        <v>35</v>
      </c>
      <c r="Q70" t="s">
        <v>64</v>
      </c>
    </row>
    <row r="71" spans="1:17" x14ac:dyDescent="0.2">
      <c r="A71" s="3">
        <v>42540</v>
      </c>
      <c r="B71">
        <v>2667</v>
      </c>
      <c r="D71">
        <f>29-14</f>
        <v>15</v>
      </c>
      <c r="E71" t="s">
        <v>123</v>
      </c>
      <c r="F71" s="9" t="s">
        <v>235</v>
      </c>
      <c r="G71" t="s">
        <v>39</v>
      </c>
      <c r="H71" t="s">
        <v>32</v>
      </c>
      <c r="I71" t="s">
        <v>35</v>
      </c>
      <c r="Q71" t="s">
        <v>64</v>
      </c>
    </row>
    <row r="72" spans="1:17" x14ac:dyDescent="0.2">
      <c r="A72" s="3">
        <v>42540</v>
      </c>
      <c r="B72">
        <v>50422</v>
      </c>
      <c r="C72">
        <v>50423</v>
      </c>
      <c r="D72">
        <f>35-11</f>
        <v>24</v>
      </c>
      <c r="E72" t="s">
        <v>29</v>
      </c>
      <c r="F72" s="9" t="s">
        <v>236</v>
      </c>
      <c r="G72" t="s">
        <v>131</v>
      </c>
      <c r="H72" t="s">
        <v>145</v>
      </c>
      <c r="I72" t="s">
        <v>30</v>
      </c>
      <c r="J72">
        <v>18</v>
      </c>
      <c r="K72">
        <v>12</v>
      </c>
      <c r="L72">
        <v>12.6</v>
      </c>
      <c r="M72">
        <v>28.7</v>
      </c>
      <c r="N72" t="s">
        <v>237</v>
      </c>
      <c r="O72" t="s">
        <v>238</v>
      </c>
      <c r="P72">
        <v>0</v>
      </c>
      <c r="Q72" t="s">
        <v>64</v>
      </c>
    </row>
    <row r="73" spans="1:17" x14ac:dyDescent="0.2">
      <c r="A73" s="3">
        <v>42540</v>
      </c>
      <c r="B73">
        <v>50361</v>
      </c>
      <c r="D73">
        <f>46-25.5</f>
        <v>20.5</v>
      </c>
      <c r="E73" t="s">
        <v>29</v>
      </c>
      <c r="F73" s="9" t="s">
        <v>239</v>
      </c>
      <c r="G73" t="s">
        <v>39</v>
      </c>
      <c r="H73" t="s">
        <v>32</v>
      </c>
      <c r="I73" t="s">
        <v>35</v>
      </c>
      <c r="J73">
        <v>20</v>
      </c>
      <c r="K73">
        <v>13</v>
      </c>
      <c r="L73">
        <v>12.8</v>
      </c>
      <c r="M73">
        <v>29.9</v>
      </c>
      <c r="N73" t="s">
        <v>240</v>
      </c>
      <c r="O73" t="s">
        <v>241</v>
      </c>
      <c r="Q73" t="s">
        <v>64</v>
      </c>
    </row>
    <row r="74" spans="1:17" x14ac:dyDescent="0.2">
      <c r="A74" s="3">
        <v>42540</v>
      </c>
      <c r="B74">
        <v>59421</v>
      </c>
      <c r="D74">
        <f>32.5-11</f>
        <v>21.5</v>
      </c>
      <c r="E74" t="s">
        <v>29</v>
      </c>
      <c r="F74" s="9" t="s">
        <v>242</v>
      </c>
      <c r="G74" t="s">
        <v>39</v>
      </c>
      <c r="H74" t="s">
        <v>32</v>
      </c>
      <c r="I74" t="s">
        <v>35</v>
      </c>
      <c r="J74">
        <v>19</v>
      </c>
      <c r="K74">
        <v>13</v>
      </c>
      <c r="L74">
        <v>13.5</v>
      </c>
      <c r="M74">
        <v>29.5</v>
      </c>
      <c r="Q74" t="s">
        <v>64</v>
      </c>
    </row>
    <row r="75" spans="1:17" x14ac:dyDescent="0.2">
      <c r="A75" s="3">
        <v>42540</v>
      </c>
      <c r="B75">
        <v>50406</v>
      </c>
      <c r="C75">
        <v>50405</v>
      </c>
      <c r="D75">
        <f>25-12</f>
        <v>13</v>
      </c>
      <c r="E75" t="s">
        <v>123</v>
      </c>
      <c r="F75" s="9" t="s">
        <v>243</v>
      </c>
      <c r="G75" t="s">
        <v>31</v>
      </c>
      <c r="H75" t="s">
        <v>145</v>
      </c>
      <c r="I75" t="s">
        <v>30</v>
      </c>
      <c r="J75">
        <v>18</v>
      </c>
      <c r="K75">
        <v>11</v>
      </c>
      <c r="L75">
        <v>12.5</v>
      </c>
      <c r="M75">
        <v>26.6</v>
      </c>
      <c r="N75" t="s">
        <v>244</v>
      </c>
      <c r="O75" t="s">
        <v>245</v>
      </c>
      <c r="P75">
        <v>0</v>
      </c>
      <c r="Q75" t="s">
        <v>373</v>
      </c>
    </row>
    <row r="76" spans="1:17" x14ac:dyDescent="0.2">
      <c r="A76" s="3">
        <v>42540</v>
      </c>
      <c r="B76">
        <v>50593</v>
      </c>
      <c r="C76">
        <v>50592</v>
      </c>
      <c r="D76">
        <f>26-11.5</f>
        <v>14.5</v>
      </c>
      <c r="E76" t="s">
        <v>123</v>
      </c>
      <c r="F76" s="9" t="s">
        <v>246</v>
      </c>
      <c r="G76" t="s">
        <v>39</v>
      </c>
      <c r="H76" t="s">
        <v>145</v>
      </c>
      <c r="I76" t="s">
        <v>35</v>
      </c>
      <c r="J76">
        <v>18</v>
      </c>
      <c r="K76">
        <v>13</v>
      </c>
      <c r="L76">
        <v>11.9</v>
      </c>
      <c r="M76">
        <v>27.5</v>
      </c>
      <c r="N76" t="s">
        <v>247</v>
      </c>
      <c r="O76" s="10">
        <v>0.39583333333333331</v>
      </c>
      <c r="P76">
        <v>0</v>
      </c>
      <c r="Q76" t="s">
        <v>64</v>
      </c>
    </row>
    <row r="77" spans="1:17" x14ac:dyDescent="0.2">
      <c r="A77" s="3">
        <v>42540</v>
      </c>
      <c r="B77">
        <v>50402</v>
      </c>
      <c r="C77">
        <v>50401</v>
      </c>
      <c r="D77">
        <f>21-12</f>
        <v>9</v>
      </c>
      <c r="E77" t="s">
        <v>123</v>
      </c>
      <c r="F77" s="9" t="s">
        <v>220</v>
      </c>
      <c r="G77" t="s">
        <v>31</v>
      </c>
      <c r="H77" t="s">
        <v>145</v>
      </c>
      <c r="I77" t="s">
        <v>30</v>
      </c>
      <c r="J77">
        <v>18</v>
      </c>
      <c r="K77">
        <v>19</v>
      </c>
      <c r="L77">
        <v>11.2</v>
      </c>
      <c r="M77">
        <v>24.7</v>
      </c>
      <c r="N77" t="s">
        <v>261</v>
      </c>
      <c r="O77" t="s">
        <v>262</v>
      </c>
      <c r="P77">
        <v>0</v>
      </c>
      <c r="Q77" t="s">
        <v>24</v>
      </c>
    </row>
    <row r="78" spans="1:17" x14ac:dyDescent="0.2">
      <c r="A78" s="3">
        <v>42540</v>
      </c>
      <c r="B78">
        <v>50598</v>
      </c>
      <c r="C78">
        <v>50591</v>
      </c>
      <c r="D78">
        <f>23.5-12</f>
        <v>11.5</v>
      </c>
      <c r="E78" t="s">
        <v>123</v>
      </c>
      <c r="F78" s="9" t="s">
        <v>263</v>
      </c>
      <c r="G78" t="s">
        <v>31</v>
      </c>
      <c r="H78" t="s">
        <v>32</v>
      </c>
      <c r="I78" t="s">
        <v>30</v>
      </c>
      <c r="J78">
        <v>18</v>
      </c>
      <c r="K78">
        <v>16.5</v>
      </c>
      <c r="L78">
        <v>11.5</v>
      </c>
      <c r="M78">
        <v>26.5</v>
      </c>
      <c r="N78" t="s">
        <v>264</v>
      </c>
      <c r="O78" s="10">
        <v>0.29166666666666669</v>
      </c>
      <c r="P78">
        <v>0</v>
      </c>
      <c r="Q78" t="s">
        <v>24</v>
      </c>
    </row>
    <row r="79" spans="1:17" x14ac:dyDescent="0.2">
      <c r="A79" s="3">
        <v>42540</v>
      </c>
      <c r="B79">
        <v>2671</v>
      </c>
      <c r="D79">
        <f>34.5-15</f>
        <v>19.5</v>
      </c>
      <c r="E79" t="s">
        <v>29</v>
      </c>
      <c r="F79" s="9" t="s">
        <v>265</v>
      </c>
      <c r="G79" t="s">
        <v>39</v>
      </c>
      <c r="H79" t="s">
        <v>32</v>
      </c>
      <c r="I79" t="s">
        <v>35</v>
      </c>
      <c r="J79">
        <v>18</v>
      </c>
      <c r="K79">
        <v>15.5</v>
      </c>
      <c r="L79">
        <v>12</v>
      </c>
      <c r="M79">
        <v>27.7</v>
      </c>
      <c r="N79" t="s">
        <v>266</v>
      </c>
      <c r="O79" s="10">
        <v>0.3125</v>
      </c>
      <c r="P79">
        <v>0</v>
      </c>
      <c r="Q79" t="s">
        <v>24</v>
      </c>
    </row>
    <row r="80" spans="1:17" x14ac:dyDescent="0.2">
      <c r="A80" s="3">
        <v>42540</v>
      </c>
      <c r="B80">
        <v>50362</v>
      </c>
      <c r="C80">
        <v>50361</v>
      </c>
      <c r="D80">
        <f>35.5-14.5</f>
        <v>21</v>
      </c>
      <c r="E80" t="s">
        <v>29</v>
      </c>
      <c r="F80" s="9" t="s">
        <v>267</v>
      </c>
      <c r="G80" t="s">
        <v>31</v>
      </c>
      <c r="H80" t="s">
        <v>32</v>
      </c>
      <c r="I80" t="s">
        <v>30</v>
      </c>
      <c r="J80">
        <v>20</v>
      </c>
      <c r="K80">
        <v>19</v>
      </c>
      <c r="L80">
        <v>12.5</v>
      </c>
      <c r="M80">
        <v>28.7</v>
      </c>
      <c r="N80" t="s">
        <v>260</v>
      </c>
      <c r="O80" t="s">
        <v>260</v>
      </c>
      <c r="Q80" t="s">
        <v>24</v>
      </c>
    </row>
    <row r="81" spans="1:17" x14ac:dyDescent="0.2">
      <c r="A81" s="3">
        <v>42540</v>
      </c>
      <c r="B81">
        <v>50404</v>
      </c>
      <c r="C81">
        <v>50403</v>
      </c>
      <c r="D81">
        <f>29.5-14</f>
        <v>15.5</v>
      </c>
      <c r="E81" t="s">
        <v>123</v>
      </c>
      <c r="F81" s="9" t="s">
        <v>268</v>
      </c>
      <c r="G81" t="s">
        <v>31</v>
      </c>
      <c r="H81" t="s">
        <v>32</v>
      </c>
      <c r="I81" t="s">
        <v>30</v>
      </c>
      <c r="J81">
        <v>18.5</v>
      </c>
      <c r="K81">
        <v>14</v>
      </c>
      <c r="L81">
        <v>11.3</v>
      </c>
      <c r="M81">
        <v>28</v>
      </c>
      <c r="N81" t="s">
        <v>271</v>
      </c>
      <c r="O81" s="10">
        <v>0.33611111111111108</v>
      </c>
      <c r="P81">
        <v>0</v>
      </c>
      <c r="Q81" t="s">
        <v>24</v>
      </c>
    </row>
    <row r="82" spans="1:17" x14ac:dyDescent="0.2">
      <c r="A82" s="3">
        <v>42548</v>
      </c>
      <c r="B82">
        <v>2663</v>
      </c>
      <c r="D82">
        <v>11.5</v>
      </c>
      <c r="E82" t="s">
        <v>123</v>
      </c>
      <c r="F82" s="9" t="s">
        <v>292</v>
      </c>
      <c r="G82" t="s">
        <v>31</v>
      </c>
      <c r="H82" t="s">
        <v>32</v>
      </c>
      <c r="I82" t="s">
        <v>35</v>
      </c>
      <c r="Q82" t="s">
        <v>66</v>
      </c>
    </row>
    <row r="83" spans="1:17" x14ac:dyDescent="0.2">
      <c r="A83" s="3">
        <v>42548</v>
      </c>
      <c r="B83">
        <v>2678</v>
      </c>
      <c r="C83">
        <v>2670</v>
      </c>
      <c r="D83">
        <f>35-18</f>
        <v>17</v>
      </c>
      <c r="E83" t="s">
        <v>188</v>
      </c>
      <c r="F83" s="9" t="s">
        <v>160</v>
      </c>
      <c r="G83" t="s">
        <v>31</v>
      </c>
      <c r="H83" t="s">
        <v>32</v>
      </c>
      <c r="I83" t="s">
        <v>30</v>
      </c>
      <c r="Q83" t="s">
        <v>66</v>
      </c>
    </row>
    <row r="84" spans="1:17" x14ac:dyDescent="0.2">
      <c r="A84" s="3">
        <v>42548</v>
      </c>
      <c r="B84">
        <v>50577</v>
      </c>
      <c r="C84">
        <v>50576</v>
      </c>
      <c r="D84">
        <v>21</v>
      </c>
      <c r="E84" t="s">
        <v>29</v>
      </c>
      <c r="F84" s="9" t="s">
        <v>293</v>
      </c>
      <c r="G84" t="s">
        <v>94</v>
      </c>
      <c r="H84" t="s">
        <v>145</v>
      </c>
      <c r="I84" t="s">
        <v>30</v>
      </c>
      <c r="P84">
        <v>0</v>
      </c>
      <c r="Q84" t="s">
        <v>66</v>
      </c>
    </row>
    <row r="85" spans="1:17" x14ac:dyDescent="0.2">
      <c r="A85" s="3">
        <v>42548</v>
      </c>
      <c r="B85">
        <v>2675</v>
      </c>
      <c r="C85">
        <v>2674</v>
      </c>
      <c r="D85">
        <v>17</v>
      </c>
      <c r="E85" t="s">
        <v>188</v>
      </c>
      <c r="F85" s="9" t="s">
        <v>239</v>
      </c>
      <c r="G85" t="s">
        <v>31</v>
      </c>
      <c r="H85" t="s">
        <v>32</v>
      </c>
      <c r="I85" t="s">
        <v>30</v>
      </c>
      <c r="J85">
        <v>20</v>
      </c>
      <c r="K85">
        <v>17</v>
      </c>
      <c r="L85">
        <v>13.1</v>
      </c>
      <c r="M85">
        <v>27.5</v>
      </c>
      <c r="Q85" t="s">
        <v>66</v>
      </c>
    </row>
    <row r="86" spans="1:17" x14ac:dyDescent="0.2">
      <c r="A86" s="3">
        <v>42548</v>
      </c>
      <c r="B86">
        <v>50431</v>
      </c>
      <c r="C86">
        <v>50431</v>
      </c>
      <c r="D86">
        <f>33-15</f>
        <v>18</v>
      </c>
      <c r="E86" t="s">
        <v>188</v>
      </c>
      <c r="F86" s="9" t="s">
        <v>294</v>
      </c>
      <c r="G86" t="s">
        <v>39</v>
      </c>
      <c r="H86" t="s">
        <v>32</v>
      </c>
      <c r="I86" t="s">
        <v>35</v>
      </c>
      <c r="Q86" t="s">
        <v>64</v>
      </c>
    </row>
    <row r="87" spans="1:17" x14ac:dyDescent="0.2">
      <c r="A87" s="3">
        <v>42548</v>
      </c>
      <c r="B87">
        <v>50433</v>
      </c>
      <c r="C87">
        <v>50432</v>
      </c>
      <c r="D87">
        <f>27-14</f>
        <v>13</v>
      </c>
      <c r="E87" t="s">
        <v>123</v>
      </c>
      <c r="F87" s="9" t="s">
        <v>129</v>
      </c>
      <c r="G87" t="s">
        <v>63</v>
      </c>
      <c r="H87" t="s">
        <v>145</v>
      </c>
      <c r="I87" t="s">
        <v>35</v>
      </c>
      <c r="J87">
        <v>19</v>
      </c>
      <c r="L87">
        <v>11.4</v>
      </c>
      <c r="M87">
        <v>26.6</v>
      </c>
      <c r="Q87" t="s">
        <v>64</v>
      </c>
    </row>
    <row r="88" spans="1:17" x14ac:dyDescent="0.2">
      <c r="A88" s="3">
        <v>42548</v>
      </c>
      <c r="B88">
        <v>50404</v>
      </c>
      <c r="C88">
        <v>50403</v>
      </c>
      <c r="D88">
        <f>31-13</f>
        <v>18</v>
      </c>
      <c r="E88" t="s">
        <v>188</v>
      </c>
      <c r="F88" s="9" t="s">
        <v>295</v>
      </c>
      <c r="G88" t="s">
        <v>31</v>
      </c>
      <c r="H88" t="s">
        <v>32</v>
      </c>
      <c r="I88" t="s">
        <v>30</v>
      </c>
      <c r="J88">
        <v>20</v>
      </c>
      <c r="L88">
        <v>11.6</v>
      </c>
      <c r="M88">
        <v>26.8</v>
      </c>
      <c r="N88" t="s">
        <v>297</v>
      </c>
      <c r="O88" s="10">
        <v>0.2986111111111111</v>
      </c>
      <c r="Q88" t="s">
        <v>64</v>
      </c>
    </row>
    <row r="89" spans="1:17" x14ac:dyDescent="0.2">
      <c r="A89" s="3">
        <v>42548</v>
      </c>
      <c r="B89">
        <v>50440</v>
      </c>
      <c r="D89">
        <f>36-14</f>
        <v>22</v>
      </c>
      <c r="E89" t="s">
        <v>29</v>
      </c>
      <c r="F89" s="9" t="s">
        <v>296</v>
      </c>
      <c r="G89" t="s">
        <v>39</v>
      </c>
      <c r="H89" t="s">
        <v>32</v>
      </c>
      <c r="I89" t="s">
        <v>35</v>
      </c>
      <c r="J89">
        <v>20</v>
      </c>
      <c r="L89">
        <v>13.8</v>
      </c>
      <c r="M89">
        <v>30.5</v>
      </c>
      <c r="Q89" t="s">
        <v>64</v>
      </c>
    </row>
    <row r="90" spans="1:17" x14ac:dyDescent="0.2">
      <c r="A90" s="3">
        <v>42548</v>
      </c>
      <c r="B90">
        <v>50445</v>
      </c>
      <c r="C90">
        <v>50438</v>
      </c>
      <c r="D90">
        <f>29-14.5</f>
        <v>14.5</v>
      </c>
      <c r="E90" t="s">
        <v>123</v>
      </c>
      <c r="F90" s="9" t="s">
        <v>85</v>
      </c>
      <c r="G90" t="s">
        <v>63</v>
      </c>
      <c r="H90" t="s">
        <v>145</v>
      </c>
      <c r="I90" t="s">
        <v>35</v>
      </c>
      <c r="J90">
        <v>18</v>
      </c>
      <c r="M90">
        <v>27.2</v>
      </c>
      <c r="N90" t="s">
        <v>309</v>
      </c>
      <c r="O90" s="10">
        <v>0.45277777777777778</v>
      </c>
      <c r="P90">
        <v>0</v>
      </c>
      <c r="Q90" t="s">
        <v>64</v>
      </c>
    </row>
    <row r="91" spans="1:17" x14ac:dyDescent="0.2">
      <c r="A91" s="3">
        <v>42548</v>
      </c>
      <c r="B91">
        <v>50604</v>
      </c>
      <c r="C91">
        <v>50603</v>
      </c>
      <c r="D91">
        <f>25-14</f>
        <v>11</v>
      </c>
      <c r="E91" t="s">
        <v>123</v>
      </c>
      <c r="F91" s="9" t="s">
        <v>163</v>
      </c>
      <c r="G91" t="s">
        <v>63</v>
      </c>
      <c r="H91" t="s">
        <v>145</v>
      </c>
      <c r="I91" t="s">
        <v>35</v>
      </c>
      <c r="J91">
        <v>19</v>
      </c>
      <c r="L91">
        <v>11.6</v>
      </c>
      <c r="M91">
        <v>25.8</v>
      </c>
      <c r="N91" t="s">
        <v>308</v>
      </c>
      <c r="O91" s="10">
        <v>0.2298611111111111</v>
      </c>
      <c r="P91">
        <v>0</v>
      </c>
      <c r="Q91" t="s">
        <v>24</v>
      </c>
    </row>
    <row r="92" spans="1:17" x14ac:dyDescent="0.2">
      <c r="A92" s="3">
        <v>42548</v>
      </c>
      <c r="B92">
        <v>50606</v>
      </c>
      <c r="C92">
        <v>50605</v>
      </c>
      <c r="D92">
        <f>32-15</f>
        <v>17</v>
      </c>
      <c r="E92" t="s">
        <v>188</v>
      </c>
      <c r="F92" s="9" t="s">
        <v>311</v>
      </c>
      <c r="G92" t="s">
        <v>31</v>
      </c>
      <c r="H92" t="s">
        <v>32</v>
      </c>
      <c r="I92" t="s">
        <v>30</v>
      </c>
      <c r="J92">
        <v>14</v>
      </c>
      <c r="K92">
        <v>15</v>
      </c>
      <c r="L92">
        <v>12.8</v>
      </c>
      <c r="M92">
        <v>28.5</v>
      </c>
      <c r="N92" t="s">
        <v>313</v>
      </c>
      <c r="O92" s="10">
        <v>0.2638888888888889</v>
      </c>
      <c r="P92">
        <v>0</v>
      </c>
      <c r="Q92" t="s">
        <v>24</v>
      </c>
    </row>
    <row r="93" spans="1:17" x14ac:dyDescent="0.2">
      <c r="A93" s="3">
        <v>42548</v>
      </c>
      <c r="B93">
        <v>50608</v>
      </c>
      <c r="C93">
        <v>50607</v>
      </c>
      <c r="D93">
        <f>31.5-17</f>
        <v>14.5</v>
      </c>
      <c r="E93" t="s">
        <v>123</v>
      </c>
      <c r="F93" s="9" t="s">
        <v>317</v>
      </c>
      <c r="G93" t="s">
        <v>63</v>
      </c>
      <c r="H93" t="s">
        <v>32</v>
      </c>
      <c r="I93" t="s">
        <v>35</v>
      </c>
      <c r="J93">
        <v>18</v>
      </c>
      <c r="K93">
        <v>15</v>
      </c>
      <c r="L93">
        <v>12.8</v>
      </c>
      <c r="M93">
        <v>25.6</v>
      </c>
      <c r="N93" t="s">
        <v>316</v>
      </c>
      <c r="O93" s="10">
        <v>0.27083333333333331</v>
      </c>
      <c r="P93">
        <v>0</v>
      </c>
      <c r="Q93" t="s">
        <v>24</v>
      </c>
    </row>
    <row r="94" spans="1:17" x14ac:dyDescent="0.2">
      <c r="A94" s="3">
        <v>42548</v>
      </c>
      <c r="B94">
        <v>50500</v>
      </c>
      <c r="C94">
        <v>50600</v>
      </c>
      <c r="D94">
        <f>43-23</f>
        <v>20</v>
      </c>
      <c r="E94" t="s">
        <v>29</v>
      </c>
      <c r="F94" s="9" t="s">
        <v>204</v>
      </c>
      <c r="G94" t="s">
        <v>31</v>
      </c>
      <c r="H94" t="s">
        <v>32</v>
      </c>
      <c r="I94" t="s">
        <v>30</v>
      </c>
      <c r="J94">
        <v>17</v>
      </c>
      <c r="K94">
        <v>15</v>
      </c>
      <c r="L94">
        <v>12.9</v>
      </c>
      <c r="M94">
        <v>27.9</v>
      </c>
      <c r="N94" t="s">
        <v>227</v>
      </c>
      <c r="O94" s="10">
        <v>0.2951388888888889</v>
      </c>
      <c r="Q94" t="s">
        <v>24</v>
      </c>
    </row>
    <row r="95" spans="1:17" x14ac:dyDescent="0.2">
      <c r="A95" s="3">
        <v>42548</v>
      </c>
      <c r="B95">
        <v>50425</v>
      </c>
      <c r="D95">
        <f>39.5-16</f>
        <v>23.5</v>
      </c>
      <c r="E95" t="s">
        <v>29</v>
      </c>
      <c r="F95" s="9" t="s">
        <v>263</v>
      </c>
      <c r="G95" t="s">
        <v>39</v>
      </c>
      <c r="H95" t="s">
        <v>32</v>
      </c>
      <c r="I95" t="s">
        <v>35</v>
      </c>
      <c r="J95">
        <v>19</v>
      </c>
      <c r="K95">
        <v>14.5</v>
      </c>
      <c r="L95">
        <v>13.5</v>
      </c>
      <c r="M95">
        <v>28.8</v>
      </c>
      <c r="N95" t="s">
        <v>321</v>
      </c>
      <c r="O95" s="10">
        <v>0.30555555555555552</v>
      </c>
      <c r="Q95" t="s">
        <v>24</v>
      </c>
    </row>
    <row r="96" spans="1:17" x14ac:dyDescent="0.2">
      <c r="A96" s="3">
        <v>42548</v>
      </c>
      <c r="B96">
        <v>50598</v>
      </c>
      <c r="C96">
        <v>50591</v>
      </c>
      <c r="D96">
        <f>32.5-18</f>
        <v>14.5</v>
      </c>
      <c r="E96" t="s">
        <v>123</v>
      </c>
      <c r="F96" s="9" t="s">
        <v>265</v>
      </c>
      <c r="G96" t="s">
        <v>91</v>
      </c>
      <c r="H96" t="s">
        <v>32</v>
      </c>
      <c r="I96" t="s">
        <v>30</v>
      </c>
      <c r="J96">
        <v>19</v>
      </c>
      <c r="K96">
        <v>13</v>
      </c>
      <c r="L96">
        <v>12.9</v>
      </c>
      <c r="M96">
        <v>27</v>
      </c>
      <c r="N96" t="s">
        <v>318</v>
      </c>
      <c r="O96" s="10">
        <v>0.3125</v>
      </c>
      <c r="Q96" t="s">
        <v>24</v>
      </c>
    </row>
    <row r="97" spans="1:17" x14ac:dyDescent="0.2">
      <c r="A97" s="3">
        <v>42548</v>
      </c>
      <c r="B97">
        <v>2671</v>
      </c>
      <c r="D97">
        <f>44-23.5</f>
        <v>20.5</v>
      </c>
      <c r="E97" t="s">
        <v>29</v>
      </c>
      <c r="F97" s="9" t="s">
        <v>319</v>
      </c>
      <c r="G97" t="s">
        <v>39</v>
      </c>
      <c r="H97" t="s">
        <v>32</v>
      </c>
      <c r="I97" t="s">
        <v>35</v>
      </c>
      <c r="J97">
        <v>19</v>
      </c>
      <c r="K97">
        <v>14</v>
      </c>
      <c r="L97">
        <v>13.1</v>
      </c>
      <c r="M97">
        <v>28</v>
      </c>
      <c r="N97" t="s">
        <v>320</v>
      </c>
    </row>
    <row r="98" spans="1:17" x14ac:dyDescent="0.2">
      <c r="A98" s="3">
        <v>42552</v>
      </c>
      <c r="B98">
        <v>2681</v>
      </c>
      <c r="C98">
        <v>2682</v>
      </c>
      <c r="D98">
        <v>13</v>
      </c>
      <c r="E98" t="s">
        <v>123</v>
      </c>
      <c r="F98" s="9" t="s">
        <v>163</v>
      </c>
      <c r="G98" t="s">
        <v>31</v>
      </c>
      <c r="H98" t="s">
        <v>145</v>
      </c>
      <c r="I98" t="s">
        <v>30</v>
      </c>
      <c r="N98" t="s">
        <v>357</v>
      </c>
      <c r="O98" s="10">
        <v>0.38958333333333334</v>
      </c>
      <c r="Q98" t="s">
        <v>66</v>
      </c>
    </row>
    <row r="99" spans="1:17" x14ac:dyDescent="0.2">
      <c r="A99" s="3">
        <v>42552</v>
      </c>
      <c r="B99">
        <v>2699</v>
      </c>
      <c r="C99">
        <v>2700</v>
      </c>
      <c r="D99">
        <v>13.25</v>
      </c>
      <c r="E99" t="s">
        <v>123</v>
      </c>
      <c r="F99" s="9" t="s">
        <v>356</v>
      </c>
      <c r="G99" t="s">
        <v>31</v>
      </c>
      <c r="H99" t="s">
        <v>145</v>
      </c>
      <c r="I99" t="s">
        <v>30</v>
      </c>
      <c r="N99" t="s">
        <v>232</v>
      </c>
      <c r="O99" s="10">
        <v>0.38680555555555557</v>
      </c>
      <c r="Q99" t="s">
        <v>66</v>
      </c>
    </row>
    <row r="100" spans="1:17" x14ac:dyDescent="0.2">
      <c r="A100" s="3">
        <v>42552</v>
      </c>
      <c r="B100">
        <v>50360</v>
      </c>
      <c r="D100">
        <v>22</v>
      </c>
      <c r="E100" t="s">
        <v>29</v>
      </c>
      <c r="F100" s="9" t="s">
        <v>348</v>
      </c>
      <c r="G100" t="s">
        <v>39</v>
      </c>
      <c r="H100" t="s">
        <v>32</v>
      </c>
      <c r="I100" t="s">
        <v>35</v>
      </c>
      <c r="J100">
        <v>21.5</v>
      </c>
      <c r="K100">
        <v>18</v>
      </c>
      <c r="L100">
        <v>12.1</v>
      </c>
      <c r="M100">
        <v>29.9</v>
      </c>
      <c r="Q100" t="s">
        <v>66</v>
      </c>
    </row>
    <row r="101" spans="1:17" x14ac:dyDescent="0.2">
      <c r="A101" s="3">
        <v>42552</v>
      </c>
      <c r="B101">
        <v>2698</v>
      </c>
      <c r="C101">
        <v>2697</v>
      </c>
      <c r="D101">
        <v>20.5</v>
      </c>
      <c r="E101" t="s">
        <v>29</v>
      </c>
      <c r="F101" s="9" t="s">
        <v>98</v>
      </c>
      <c r="G101" t="s">
        <v>94</v>
      </c>
      <c r="H101" t="s">
        <v>145</v>
      </c>
      <c r="I101" t="s">
        <v>30</v>
      </c>
      <c r="J101">
        <v>20</v>
      </c>
      <c r="K101">
        <v>16</v>
      </c>
      <c r="L101">
        <v>12.1</v>
      </c>
      <c r="M101">
        <v>26.5</v>
      </c>
      <c r="Q101" t="s">
        <v>66</v>
      </c>
    </row>
    <row r="102" spans="1:17" x14ac:dyDescent="0.2">
      <c r="A102" s="3">
        <v>42552</v>
      </c>
      <c r="B102">
        <v>2667</v>
      </c>
      <c r="D102">
        <v>21</v>
      </c>
      <c r="E102" t="s">
        <v>29</v>
      </c>
      <c r="F102" s="9" t="s">
        <v>349</v>
      </c>
      <c r="G102" t="s">
        <v>63</v>
      </c>
      <c r="H102" t="s">
        <v>32</v>
      </c>
      <c r="I102" t="s">
        <v>35</v>
      </c>
      <c r="J102">
        <v>19</v>
      </c>
      <c r="K102">
        <v>16</v>
      </c>
      <c r="L102">
        <v>11.8</v>
      </c>
      <c r="M102">
        <v>28.1</v>
      </c>
      <c r="N102" t="s">
        <v>351</v>
      </c>
      <c r="O102" s="10">
        <v>0.3611111111111111</v>
      </c>
      <c r="Q102" t="s">
        <v>66</v>
      </c>
    </row>
    <row r="103" spans="1:17" x14ac:dyDescent="0.2">
      <c r="A103" s="3">
        <v>42552</v>
      </c>
      <c r="B103">
        <v>2678</v>
      </c>
      <c r="C103">
        <v>2670</v>
      </c>
      <c r="D103">
        <f>31-12</f>
        <v>19</v>
      </c>
      <c r="E103" t="s">
        <v>29</v>
      </c>
      <c r="F103" s="9" t="s">
        <v>110</v>
      </c>
      <c r="G103" t="s">
        <v>31</v>
      </c>
      <c r="H103" t="s">
        <v>32</v>
      </c>
      <c r="I103" t="s">
        <v>30</v>
      </c>
      <c r="J103">
        <v>19</v>
      </c>
      <c r="K103">
        <v>13</v>
      </c>
      <c r="Q103" t="s">
        <v>64</v>
      </c>
    </row>
    <row r="104" spans="1:17" x14ac:dyDescent="0.2">
      <c r="A104" s="3">
        <v>42552</v>
      </c>
      <c r="B104">
        <v>50542</v>
      </c>
      <c r="C104">
        <v>50541</v>
      </c>
      <c r="D104">
        <f>24.5-11</f>
        <v>13.5</v>
      </c>
      <c r="E104" t="s">
        <v>123</v>
      </c>
      <c r="F104" s="9" t="s">
        <v>353</v>
      </c>
      <c r="G104" t="s">
        <v>31</v>
      </c>
      <c r="H104" t="s">
        <v>32</v>
      </c>
      <c r="I104" t="s">
        <v>30</v>
      </c>
      <c r="J104">
        <v>19</v>
      </c>
      <c r="K104">
        <v>11</v>
      </c>
      <c r="L104">
        <v>12.7</v>
      </c>
      <c r="M104">
        <v>26.7</v>
      </c>
      <c r="Q104" t="s">
        <v>64</v>
      </c>
    </row>
    <row r="105" spans="1:17" x14ac:dyDescent="0.2">
      <c r="A105" s="3">
        <v>42552</v>
      </c>
      <c r="B105">
        <v>50683</v>
      </c>
      <c r="C105">
        <v>50682</v>
      </c>
      <c r="D105">
        <v>18</v>
      </c>
      <c r="E105" t="s">
        <v>188</v>
      </c>
      <c r="F105" s="9" t="s">
        <v>361</v>
      </c>
      <c r="G105" t="s">
        <v>39</v>
      </c>
      <c r="H105" t="s">
        <v>32</v>
      </c>
      <c r="I105" t="s">
        <v>35</v>
      </c>
      <c r="J105">
        <v>19</v>
      </c>
      <c r="K105">
        <v>15</v>
      </c>
      <c r="L105">
        <v>12.4</v>
      </c>
      <c r="M105">
        <v>28.7</v>
      </c>
      <c r="N105" t="s">
        <v>362</v>
      </c>
      <c r="O105" s="10">
        <v>0.25972222222222224</v>
      </c>
      <c r="Q105" t="s">
        <v>24</v>
      </c>
    </row>
    <row r="106" spans="1:17" x14ac:dyDescent="0.2">
      <c r="A106" s="3">
        <v>42552</v>
      </c>
      <c r="B106">
        <v>2671</v>
      </c>
      <c r="D106">
        <v>20.5</v>
      </c>
      <c r="E106" t="s">
        <v>29</v>
      </c>
      <c r="F106" s="9" t="s">
        <v>133</v>
      </c>
      <c r="G106" t="s">
        <v>39</v>
      </c>
      <c r="H106" t="s">
        <v>32</v>
      </c>
      <c r="I106" t="s">
        <v>35</v>
      </c>
      <c r="J106">
        <v>18</v>
      </c>
      <c r="K106">
        <v>15</v>
      </c>
      <c r="L106">
        <v>12.8</v>
      </c>
      <c r="M106">
        <v>29.5</v>
      </c>
      <c r="Q106" t="s">
        <v>24</v>
      </c>
    </row>
    <row r="107" spans="1:17" x14ac:dyDescent="0.2">
      <c r="A107" s="3">
        <v>42552</v>
      </c>
      <c r="B107">
        <v>50324</v>
      </c>
      <c r="C107">
        <v>50323</v>
      </c>
      <c r="D107">
        <f>35-13</f>
        <v>22</v>
      </c>
      <c r="E107" t="s">
        <v>29</v>
      </c>
      <c r="F107" s="9" t="s">
        <v>93</v>
      </c>
      <c r="G107" t="s">
        <v>31</v>
      </c>
      <c r="H107" t="s">
        <v>32</v>
      </c>
      <c r="I107" t="s">
        <v>30</v>
      </c>
      <c r="J107">
        <v>19</v>
      </c>
      <c r="K107">
        <v>16</v>
      </c>
      <c r="L107">
        <v>12.5</v>
      </c>
      <c r="M107">
        <v>29.5</v>
      </c>
      <c r="Q107" t="s">
        <v>24</v>
      </c>
    </row>
    <row r="108" spans="1:17" x14ac:dyDescent="0.2">
      <c r="A108" s="3">
        <v>42552</v>
      </c>
      <c r="B108">
        <v>50404</v>
      </c>
      <c r="C108">
        <v>50405</v>
      </c>
      <c r="D108">
        <f>34.5-15.5</f>
        <v>19</v>
      </c>
      <c r="E108" t="s">
        <v>29</v>
      </c>
      <c r="F108" s="9" t="s">
        <v>242</v>
      </c>
      <c r="G108" t="s">
        <v>31</v>
      </c>
      <c r="H108" t="s">
        <v>32</v>
      </c>
      <c r="I108" t="s">
        <v>30</v>
      </c>
      <c r="J108">
        <v>18</v>
      </c>
      <c r="K108">
        <v>15.5</v>
      </c>
      <c r="L108">
        <v>12.5</v>
      </c>
      <c r="M108">
        <v>26.6</v>
      </c>
      <c r="N108" t="s">
        <v>363</v>
      </c>
      <c r="O108" s="10">
        <v>0.31944444444444448</v>
      </c>
      <c r="Q108" t="s">
        <v>24</v>
      </c>
    </row>
    <row r="109" spans="1:17" x14ac:dyDescent="0.2">
      <c r="A109" s="3">
        <v>42552</v>
      </c>
      <c r="B109">
        <v>50440</v>
      </c>
      <c r="D109">
        <f>40-16</f>
        <v>24</v>
      </c>
      <c r="E109" t="s">
        <v>29</v>
      </c>
      <c r="F109" s="9" t="s">
        <v>104</v>
      </c>
      <c r="G109" t="s">
        <v>39</v>
      </c>
      <c r="H109" t="s">
        <v>32</v>
      </c>
      <c r="I109" t="s">
        <v>35</v>
      </c>
      <c r="J109">
        <v>19</v>
      </c>
      <c r="K109">
        <v>14.5</v>
      </c>
      <c r="L109">
        <v>13.6</v>
      </c>
      <c r="M109">
        <v>28.8</v>
      </c>
      <c r="N109" t="s">
        <v>364</v>
      </c>
      <c r="O109" s="10">
        <v>0.32847222222222222</v>
      </c>
      <c r="Q109" t="s">
        <v>24</v>
      </c>
    </row>
    <row r="110" spans="1:17" x14ac:dyDescent="0.2">
      <c r="A110" s="3">
        <v>42552</v>
      </c>
      <c r="B110">
        <v>50674</v>
      </c>
      <c r="D110">
        <f>35-11</f>
        <v>24</v>
      </c>
      <c r="E110" t="s">
        <v>29</v>
      </c>
      <c r="F110" s="9" t="s">
        <v>365</v>
      </c>
      <c r="G110" t="s">
        <v>39</v>
      </c>
      <c r="H110" t="s">
        <v>32</v>
      </c>
      <c r="I110" t="s">
        <v>35</v>
      </c>
      <c r="J110">
        <v>18</v>
      </c>
      <c r="K110">
        <v>14.5</v>
      </c>
      <c r="L110">
        <v>13.8</v>
      </c>
      <c r="M110">
        <v>28.6</v>
      </c>
      <c r="Q110" t="s">
        <v>24</v>
      </c>
    </row>
    <row r="111" spans="1:17" x14ac:dyDescent="0.2">
      <c r="A111" s="3">
        <v>42552</v>
      </c>
      <c r="B111">
        <v>50431</v>
      </c>
      <c r="C111">
        <v>50430</v>
      </c>
      <c r="D111">
        <v>24</v>
      </c>
      <c r="E111" t="s">
        <v>29</v>
      </c>
      <c r="F111" s="9" t="s">
        <v>375</v>
      </c>
      <c r="G111" t="s">
        <v>39</v>
      </c>
      <c r="H111" t="s">
        <v>32</v>
      </c>
      <c r="I111" t="s">
        <v>35</v>
      </c>
      <c r="J111">
        <v>19</v>
      </c>
      <c r="K111">
        <v>14</v>
      </c>
      <c r="L111">
        <v>12.5</v>
      </c>
      <c r="M111">
        <v>25.8</v>
      </c>
      <c r="Q111" t="s">
        <v>65</v>
      </c>
    </row>
    <row r="112" spans="1:17" x14ac:dyDescent="0.2">
      <c r="A112" s="3">
        <v>42552</v>
      </c>
      <c r="B112">
        <v>50425</v>
      </c>
      <c r="D112">
        <v>28</v>
      </c>
      <c r="E112" t="s">
        <v>29</v>
      </c>
      <c r="F112" s="9" t="s">
        <v>158</v>
      </c>
      <c r="G112" t="s">
        <v>39</v>
      </c>
      <c r="H112" t="s">
        <v>32</v>
      </c>
      <c r="I112" t="s">
        <v>35</v>
      </c>
      <c r="J112">
        <v>20</v>
      </c>
      <c r="K112">
        <v>16</v>
      </c>
      <c r="L112">
        <v>13.6</v>
      </c>
      <c r="M112">
        <v>29.5</v>
      </c>
      <c r="N112" t="s">
        <v>371</v>
      </c>
      <c r="O112" s="10">
        <v>0.3125</v>
      </c>
      <c r="Q112" t="s">
        <v>65</v>
      </c>
    </row>
    <row r="113" spans="1:18" x14ac:dyDescent="0.2">
      <c r="A113" s="3">
        <v>42552</v>
      </c>
      <c r="B113">
        <v>50681</v>
      </c>
      <c r="C113">
        <v>50680</v>
      </c>
      <c r="D113">
        <v>18</v>
      </c>
      <c r="E113" t="s">
        <v>188</v>
      </c>
      <c r="F113" s="9" t="s">
        <v>369</v>
      </c>
      <c r="G113" t="s">
        <v>63</v>
      </c>
      <c r="H113" t="s">
        <v>32</v>
      </c>
      <c r="I113" t="s">
        <v>35</v>
      </c>
      <c r="J113">
        <v>19</v>
      </c>
      <c r="K113">
        <v>14</v>
      </c>
      <c r="L113">
        <v>12</v>
      </c>
      <c r="M113">
        <v>26</v>
      </c>
      <c r="Q113" t="s">
        <v>65</v>
      </c>
    </row>
    <row r="114" spans="1:18" x14ac:dyDescent="0.2">
      <c r="A114" s="3">
        <v>42554</v>
      </c>
      <c r="B114">
        <v>50678</v>
      </c>
      <c r="C114">
        <v>50693</v>
      </c>
      <c r="D114">
        <f>24-9</f>
        <v>15</v>
      </c>
      <c r="E114" t="s">
        <v>123</v>
      </c>
      <c r="F114" s="9" t="s">
        <v>376</v>
      </c>
      <c r="G114" t="s">
        <v>31</v>
      </c>
      <c r="H114" t="s">
        <v>145</v>
      </c>
      <c r="I114" t="s">
        <v>30</v>
      </c>
      <c r="J114">
        <v>18</v>
      </c>
      <c r="K114">
        <v>13.5</v>
      </c>
      <c r="L114">
        <v>12.6</v>
      </c>
      <c r="M114">
        <v>29</v>
      </c>
      <c r="N114" t="s">
        <v>377</v>
      </c>
      <c r="O114" s="10">
        <v>0.23958333333333334</v>
      </c>
      <c r="P114">
        <v>0</v>
      </c>
      <c r="Q114" t="s">
        <v>24</v>
      </c>
    </row>
    <row r="115" spans="1:18" x14ac:dyDescent="0.2">
      <c r="A115" s="3">
        <v>42554</v>
      </c>
      <c r="B115">
        <v>50425</v>
      </c>
      <c r="F115" s="9" t="s">
        <v>391</v>
      </c>
      <c r="G115" t="s">
        <v>39</v>
      </c>
      <c r="H115" t="s">
        <v>32</v>
      </c>
      <c r="I115" t="s">
        <v>35</v>
      </c>
      <c r="J115">
        <v>20</v>
      </c>
      <c r="K115">
        <v>16</v>
      </c>
      <c r="L115">
        <v>13.5</v>
      </c>
      <c r="M115">
        <v>28.5</v>
      </c>
      <c r="N115" t="s">
        <v>392</v>
      </c>
      <c r="O115" s="10">
        <v>0.25763888888888892</v>
      </c>
      <c r="Q115" t="s">
        <v>24</v>
      </c>
      <c r="R115" t="s">
        <v>393</v>
      </c>
    </row>
    <row r="116" spans="1:18" x14ac:dyDescent="0.2">
      <c r="A116" s="3">
        <v>42555</v>
      </c>
      <c r="B116">
        <v>50425</v>
      </c>
      <c r="D116">
        <v>23.5</v>
      </c>
      <c r="E116" t="s">
        <v>29</v>
      </c>
      <c r="F116" s="9" t="s">
        <v>133</v>
      </c>
      <c r="G116" t="s">
        <v>39</v>
      </c>
      <c r="H116" t="s">
        <v>32</v>
      </c>
      <c r="I116" t="s">
        <v>35</v>
      </c>
      <c r="J116">
        <v>20</v>
      </c>
      <c r="K116">
        <v>13</v>
      </c>
      <c r="L116">
        <v>13.6</v>
      </c>
      <c r="M116">
        <v>30.2</v>
      </c>
      <c r="N116" t="s">
        <v>395</v>
      </c>
      <c r="O116" s="10">
        <v>0.23958333333333334</v>
      </c>
      <c r="Q116" t="s">
        <v>66</v>
      </c>
    </row>
    <row r="117" spans="1:18" x14ac:dyDescent="0.2">
      <c r="A117" s="3">
        <v>42555</v>
      </c>
      <c r="B117">
        <v>2633</v>
      </c>
      <c r="C117">
        <v>2632</v>
      </c>
      <c r="D117">
        <v>17</v>
      </c>
      <c r="E117" t="s">
        <v>188</v>
      </c>
      <c r="F117" s="9" t="s">
        <v>394</v>
      </c>
      <c r="G117" t="s">
        <v>31</v>
      </c>
      <c r="H117" t="s">
        <v>32</v>
      </c>
      <c r="I117" t="s">
        <v>30</v>
      </c>
      <c r="J117">
        <v>18</v>
      </c>
      <c r="K117">
        <v>15</v>
      </c>
      <c r="L117">
        <v>12.3</v>
      </c>
      <c r="M117">
        <v>25.9</v>
      </c>
      <c r="N117" t="s">
        <v>396</v>
      </c>
      <c r="O117" s="10">
        <v>0.29583333333333334</v>
      </c>
      <c r="Q117" t="s">
        <v>66</v>
      </c>
    </row>
    <row r="118" spans="1:18" x14ac:dyDescent="0.2">
      <c r="A118" s="3">
        <v>42555</v>
      </c>
      <c r="B118">
        <v>50453</v>
      </c>
      <c r="F118" s="9" t="s">
        <v>84</v>
      </c>
      <c r="G118" t="s">
        <v>401</v>
      </c>
    </row>
    <row r="119" spans="1:18" x14ac:dyDescent="0.2">
      <c r="A119" s="3">
        <v>42558</v>
      </c>
      <c r="B119">
        <v>2695</v>
      </c>
      <c r="C119">
        <v>2694</v>
      </c>
      <c r="D119">
        <v>26.5</v>
      </c>
      <c r="E119" t="s">
        <v>29</v>
      </c>
      <c r="F119" s="9" t="s">
        <v>439</v>
      </c>
      <c r="G119" t="s">
        <v>94</v>
      </c>
      <c r="H119" t="s">
        <v>145</v>
      </c>
      <c r="I119" t="s">
        <v>30</v>
      </c>
      <c r="N119" t="s">
        <v>454</v>
      </c>
      <c r="O119" s="10">
        <v>0.25694444444444448</v>
      </c>
      <c r="P119">
        <v>0</v>
      </c>
      <c r="Q119" t="s">
        <v>66</v>
      </c>
    </row>
    <row r="120" spans="1:18" x14ac:dyDescent="0.2">
      <c r="A120" s="3">
        <v>42558</v>
      </c>
      <c r="B120">
        <v>2648</v>
      </c>
      <c r="D120">
        <v>15.5</v>
      </c>
      <c r="E120" t="s">
        <v>123</v>
      </c>
      <c r="F120" s="9" t="s">
        <v>104</v>
      </c>
      <c r="G120" t="s">
        <v>39</v>
      </c>
      <c r="H120" t="s">
        <v>32</v>
      </c>
      <c r="I120" t="s">
        <v>35</v>
      </c>
      <c r="J120">
        <v>20</v>
      </c>
      <c r="K120">
        <v>14</v>
      </c>
      <c r="L120">
        <v>11.5</v>
      </c>
      <c r="M120">
        <v>25.9</v>
      </c>
      <c r="N120" t="s">
        <v>440</v>
      </c>
      <c r="O120" s="10">
        <v>0.27083333333333331</v>
      </c>
      <c r="Q120" t="s">
        <v>66</v>
      </c>
    </row>
    <row r="121" spans="1:18" x14ac:dyDescent="0.2">
      <c r="A121" s="3">
        <v>42558</v>
      </c>
      <c r="B121">
        <v>2693</v>
      </c>
      <c r="D121">
        <v>9.5</v>
      </c>
      <c r="E121" t="s">
        <v>123</v>
      </c>
      <c r="F121" s="9" t="s">
        <v>447</v>
      </c>
      <c r="G121" t="s">
        <v>31</v>
      </c>
      <c r="H121" t="s">
        <v>32</v>
      </c>
      <c r="I121" t="s">
        <v>35</v>
      </c>
      <c r="J121">
        <v>18</v>
      </c>
      <c r="K121">
        <v>14</v>
      </c>
      <c r="L121">
        <v>12</v>
      </c>
      <c r="M121">
        <v>23.65</v>
      </c>
      <c r="N121" t="s">
        <v>449</v>
      </c>
      <c r="Q121" t="s">
        <v>66</v>
      </c>
    </row>
    <row r="122" spans="1:18" x14ac:dyDescent="0.2">
      <c r="A122" s="3">
        <v>42558</v>
      </c>
      <c r="B122">
        <v>2691</v>
      </c>
      <c r="D122">
        <v>18</v>
      </c>
      <c r="E122" t="s">
        <v>188</v>
      </c>
      <c r="F122" s="9" t="s">
        <v>448</v>
      </c>
      <c r="G122" t="s">
        <v>39</v>
      </c>
      <c r="H122" t="s">
        <v>32</v>
      </c>
      <c r="I122" t="s">
        <v>35</v>
      </c>
      <c r="J122">
        <v>19</v>
      </c>
      <c r="K122">
        <v>18</v>
      </c>
      <c r="L122">
        <v>13.5</v>
      </c>
      <c r="M122">
        <v>28.4</v>
      </c>
      <c r="Q122" t="s">
        <v>66</v>
      </c>
    </row>
    <row r="123" spans="1:18" x14ac:dyDescent="0.2">
      <c r="A123" s="3">
        <v>42558</v>
      </c>
      <c r="B123">
        <v>50651</v>
      </c>
      <c r="D123">
        <v>18.5</v>
      </c>
      <c r="E123" t="s">
        <v>188</v>
      </c>
      <c r="F123" s="9" t="s">
        <v>451</v>
      </c>
      <c r="G123" t="s">
        <v>39</v>
      </c>
      <c r="H123" t="s">
        <v>32</v>
      </c>
      <c r="I123" t="s">
        <v>35</v>
      </c>
      <c r="J123">
        <v>18</v>
      </c>
      <c r="K123">
        <v>16</v>
      </c>
      <c r="L123">
        <v>13</v>
      </c>
      <c r="M123">
        <v>28.7</v>
      </c>
      <c r="N123" t="s">
        <v>458</v>
      </c>
      <c r="O123" s="10">
        <v>0.27777777777777779</v>
      </c>
      <c r="Q123" t="s">
        <v>24</v>
      </c>
    </row>
    <row r="124" spans="1:18" x14ac:dyDescent="0.2">
      <c r="A124" s="3">
        <v>42558</v>
      </c>
      <c r="B124">
        <v>50726</v>
      </c>
      <c r="D124">
        <v>12</v>
      </c>
      <c r="E124" t="s">
        <v>123</v>
      </c>
      <c r="F124" s="9" t="s">
        <v>353</v>
      </c>
      <c r="G124" t="s">
        <v>63</v>
      </c>
      <c r="H124" t="s">
        <v>32</v>
      </c>
      <c r="I124" t="s">
        <v>35</v>
      </c>
      <c r="J124">
        <v>19</v>
      </c>
      <c r="K124">
        <v>13</v>
      </c>
      <c r="L124">
        <v>12.9</v>
      </c>
      <c r="M124">
        <v>27.6</v>
      </c>
      <c r="N124" t="s">
        <v>453</v>
      </c>
      <c r="O124" s="10">
        <v>0.3125</v>
      </c>
      <c r="Q124" t="s">
        <v>24</v>
      </c>
    </row>
    <row r="125" spans="1:18" x14ac:dyDescent="0.2">
      <c r="A125" s="3">
        <v>42561</v>
      </c>
      <c r="B125">
        <v>2788</v>
      </c>
      <c r="C125">
        <v>2787</v>
      </c>
      <c r="D125">
        <v>15.5</v>
      </c>
      <c r="E125" t="s">
        <v>123</v>
      </c>
      <c r="F125" s="9" t="s">
        <v>220</v>
      </c>
      <c r="G125" t="s">
        <v>31</v>
      </c>
      <c r="H125" t="s">
        <v>145</v>
      </c>
      <c r="I125" t="s">
        <v>30</v>
      </c>
      <c r="J125">
        <v>18</v>
      </c>
      <c r="K125">
        <v>16</v>
      </c>
      <c r="L125">
        <v>12.7</v>
      </c>
      <c r="M125">
        <v>27.3</v>
      </c>
      <c r="N125" t="s">
        <v>478</v>
      </c>
      <c r="O125" s="10">
        <v>0.27777777777777779</v>
      </c>
      <c r="P125">
        <v>0</v>
      </c>
      <c r="Q125" t="s">
        <v>24</v>
      </c>
    </row>
    <row r="126" spans="1:18" x14ac:dyDescent="0.2">
      <c r="A126" s="3">
        <v>42561</v>
      </c>
      <c r="B126">
        <v>2800</v>
      </c>
      <c r="C126">
        <v>2786</v>
      </c>
      <c r="D126">
        <f>34-9.5</f>
        <v>24.5</v>
      </c>
      <c r="E126" t="s">
        <v>29</v>
      </c>
      <c r="F126" s="9" t="s">
        <v>234</v>
      </c>
      <c r="G126" t="s">
        <v>94</v>
      </c>
      <c r="H126" t="s">
        <v>145</v>
      </c>
      <c r="I126" t="s">
        <v>30</v>
      </c>
      <c r="N126" t="s">
        <v>481</v>
      </c>
      <c r="O126" s="10">
        <v>0.36527777777777781</v>
      </c>
      <c r="P126">
        <v>0</v>
      </c>
      <c r="Q126" t="s">
        <v>24</v>
      </c>
    </row>
    <row r="127" spans="1:18" x14ac:dyDescent="0.2">
      <c r="A127" s="3">
        <v>42562</v>
      </c>
      <c r="B127">
        <v>2633</v>
      </c>
      <c r="C127">
        <v>2632</v>
      </c>
      <c r="D127">
        <f>26-9</f>
        <v>17</v>
      </c>
      <c r="E127" t="s">
        <v>188</v>
      </c>
      <c r="F127" s="9" t="s">
        <v>394</v>
      </c>
      <c r="G127" t="s">
        <v>94</v>
      </c>
      <c r="H127" t="s">
        <v>145</v>
      </c>
      <c r="I127" t="s">
        <v>30</v>
      </c>
      <c r="N127" t="s">
        <v>459</v>
      </c>
      <c r="O127" t="s">
        <v>482</v>
      </c>
      <c r="P127">
        <v>0</v>
      </c>
      <c r="Q127" t="s">
        <v>24</v>
      </c>
    </row>
    <row r="128" spans="1:18" x14ac:dyDescent="0.2">
      <c r="A128" s="3">
        <v>42562</v>
      </c>
      <c r="B128">
        <v>2799</v>
      </c>
      <c r="C128">
        <v>2795</v>
      </c>
      <c r="D128">
        <f>30-12</f>
        <v>18</v>
      </c>
      <c r="E128" t="s">
        <v>188</v>
      </c>
      <c r="F128" s="9" t="s">
        <v>461</v>
      </c>
      <c r="G128" t="s">
        <v>94</v>
      </c>
      <c r="H128" t="s">
        <v>145</v>
      </c>
      <c r="I128" t="s">
        <v>30</v>
      </c>
      <c r="N128" t="s">
        <v>462</v>
      </c>
      <c r="O128" s="10">
        <v>0.35625000000000001</v>
      </c>
      <c r="P128">
        <v>0</v>
      </c>
      <c r="Q128" t="s">
        <v>24</v>
      </c>
    </row>
    <row r="129" spans="1:18" x14ac:dyDescent="0.2">
      <c r="A129" s="3">
        <v>42566</v>
      </c>
      <c r="B129">
        <v>50725</v>
      </c>
      <c r="D129">
        <f>26-9.5</f>
        <v>16.5</v>
      </c>
      <c r="E129" t="s">
        <v>188</v>
      </c>
      <c r="F129" s="9" t="s">
        <v>510</v>
      </c>
      <c r="G129" t="s">
        <v>63</v>
      </c>
      <c r="H129" t="s">
        <v>32</v>
      </c>
      <c r="I129" t="s">
        <v>35</v>
      </c>
      <c r="J129">
        <v>19</v>
      </c>
      <c r="K129">
        <v>15.5</v>
      </c>
      <c r="L129">
        <v>13</v>
      </c>
      <c r="M129">
        <v>25.8</v>
      </c>
      <c r="N129" t="s">
        <v>511</v>
      </c>
      <c r="O129" s="10">
        <v>0.26111111111111113</v>
      </c>
      <c r="Q129" t="s">
        <v>24</v>
      </c>
    </row>
    <row r="130" spans="1:18" x14ac:dyDescent="0.2">
      <c r="A130" s="3">
        <v>42569</v>
      </c>
      <c r="B130">
        <v>50878</v>
      </c>
      <c r="C130">
        <v>50893</v>
      </c>
      <c r="D130">
        <v>16</v>
      </c>
      <c r="E130" t="s">
        <v>188</v>
      </c>
      <c r="F130" s="9" t="s">
        <v>361</v>
      </c>
      <c r="G130" t="s">
        <v>31</v>
      </c>
      <c r="H130" t="s">
        <v>32</v>
      </c>
      <c r="I130" t="s">
        <v>30</v>
      </c>
      <c r="Q130" t="s">
        <v>66</v>
      </c>
      <c r="R130" t="s">
        <v>530</v>
      </c>
    </row>
    <row r="131" spans="1:18" x14ac:dyDescent="0.2">
      <c r="A131" s="3">
        <v>42569</v>
      </c>
      <c r="B131">
        <v>2876</v>
      </c>
      <c r="C131">
        <v>2977</v>
      </c>
      <c r="D131">
        <v>11.5</v>
      </c>
      <c r="E131" t="s">
        <v>123</v>
      </c>
      <c r="F131" s="9" t="s">
        <v>526</v>
      </c>
      <c r="G131" t="s">
        <v>31</v>
      </c>
      <c r="H131" t="s">
        <v>145</v>
      </c>
      <c r="I131" t="s">
        <v>30</v>
      </c>
      <c r="P131">
        <v>0</v>
      </c>
      <c r="Q131" t="s">
        <v>66</v>
      </c>
      <c r="R131" t="s">
        <v>529</v>
      </c>
    </row>
    <row r="132" spans="1:18" x14ac:dyDescent="0.2">
      <c r="A132" s="3">
        <v>42569</v>
      </c>
      <c r="B132">
        <v>2686</v>
      </c>
      <c r="C132">
        <v>2685</v>
      </c>
      <c r="D132">
        <v>23.5</v>
      </c>
      <c r="E132" t="s">
        <v>29</v>
      </c>
      <c r="F132" s="9" t="s">
        <v>527</v>
      </c>
      <c r="G132" t="s">
        <v>31</v>
      </c>
      <c r="H132" t="s">
        <v>145</v>
      </c>
      <c r="I132" t="s">
        <v>30</v>
      </c>
      <c r="P132">
        <v>0</v>
      </c>
      <c r="Q132" t="s">
        <v>66</v>
      </c>
      <c r="R132" t="s">
        <v>528</v>
      </c>
    </row>
    <row r="133" spans="1:18" x14ac:dyDescent="0.2">
      <c r="A133" s="3">
        <v>42569</v>
      </c>
      <c r="B133">
        <v>2681</v>
      </c>
      <c r="C133">
        <v>2682</v>
      </c>
      <c r="F133" s="9" t="s">
        <v>294</v>
      </c>
      <c r="G133" t="s">
        <v>31</v>
      </c>
      <c r="H133" t="s">
        <v>32</v>
      </c>
      <c r="I133" t="s">
        <v>35</v>
      </c>
      <c r="Q133" t="s">
        <v>360</v>
      </c>
    </row>
    <row r="134" spans="1:18" x14ac:dyDescent="0.2">
      <c r="A134" s="3">
        <v>42569</v>
      </c>
      <c r="B134">
        <v>50795</v>
      </c>
      <c r="F134" s="9" t="s">
        <v>532</v>
      </c>
      <c r="G134" t="s">
        <v>63</v>
      </c>
      <c r="H134" t="s">
        <v>32</v>
      </c>
      <c r="I134" t="s">
        <v>35</v>
      </c>
      <c r="J134">
        <v>20</v>
      </c>
      <c r="K134">
        <v>13.5</v>
      </c>
      <c r="L134">
        <v>26.7</v>
      </c>
      <c r="M134">
        <v>12.9</v>
      </c>
      <c r="N134" t="s">
        <v>533</v>
      </c>
      <c r="O134" s="10">
        <v>0.2673611111111111</v>
      </c>
      <c r="Q134" t="s">
        <v>360</v>
      </c>
    </row>
    <row r="135" spans="1:18" x14ac:dyDescent="0.2">
      <c r="A135" s="3">
        <v>42569</v>
      </c>
      <c r="B135">
        <v>50604</v>
      </c>
      <c r="C135">
        <v>50603</v>
      </c>
      <c r="F135" s="9" t="s">
        <v>534</v>
      </c>
      <c r="G135" t="s">
        <v>63</v>
      </c>
      <c r="H135" t="s">
        <v>32</v>
      </c>
      <c r="I135" t="s">
        <v>35</v>
      </c>
      <c r="Q135" t="s">
        <v>360</v>
      </c>
    </row>
    <row r="136" spans="1:18" x14ac:dyDescent="0.2">
      <c r="A136" s="3">
        <v>42569</v>
      </c>
      <c r="B136">
        <v>50701</v>
      </c>
      <c r="C136">
        <v>50703</v>
      </c>
      <c r="D136">
        <v>10</v>
      </c>
      <c r="E136" t="s">
        <v>123</v>
      </c>
      <c r="F136" s="9" t="s">
        <v>535</v>
      </c>
      <c r="G136" t="s">
        <v>63</v>
      </c>
      <c r="H136" t="s">
        <v>32</v>
      </c>
      <c r="I136" t="s">
        <v>35</v>
      </c>
      <c r="J136">
        <v>19</v>
      </c>
      <c r="K136">
        <v>14</v>
      </c>
      <c r="L136">
        <v>12.1</v>
      </c>
      <c r="M136">
        <v>25.1</v>
      </c>
      <c r="N136" t="s">
        <v>536</v>
      </c>
      <c r="O136" s="10">
        <v>0.31041666666666667</v>
      </c>
      <c r="Q136" t="s">
        <v>360</v>
      </c>
    </row>
    <row r="137" spans="1:18" x14ac:dyDescent="0.2">
      <c r="A137" s="3">
        <v>42569</v>
      </c>
      <c r="B137">
        <v>50800</v>
      </c>
      <c r="C137">
        <v>50793</v>
      </c>
      <c r="D137">
        <v>13.5</v>
      </c>
      <c r="E137" t="s">
        <v>123</v>
      </c>
      <c r="F137" s="9" t="s">
        <v>348</v>
      </c>
      <c r="G137" t="s">
        <v>63</v>
      </c>
      <c r="H137" t="s">
        <v>145</v>
      </c>
      <c r="I137" t="s">
        <v>35</v>
      </c>
      <c r="K137">
        <v>14</v>
      </c>
      <c r="L137">
        <v>12.7</v>
      </c>
      <c r="M137">
        <v>27.3</v>
      </c>
      <c r="N137" t="s">
        <v>537</v>
      </c>
      <c r="O137" s="10">
        <v>0.3611111111111111</v>
      </c>
      <c r="P137">
        <v>0</v>
      </c>
      <c r="Q137" t="s">
        <v>360</v>
      </c>
    </row>
    <row r="138" spans="1:18" x14ac:dyDescent="0.2">
      <c r="A138" s="3">
        <v>42569</v>
      </c>
      <c r="B138">
        <v>50725</v>
      </c>
      <c r="D138">
        <f>31-14.5</f>
        <v>16.5</v>
      </c>
      <c r="E138" t="s">
        <v>188</v>
      </c>
      <c r="F138" s="9" t="s">
        <v>570</v>
      </c>
      <c r="G138" t="s">
        <v>63</v>
      </c>
      <c r="H138" t="s">
        <v>32</v>
      </c>
      <c r="I138" t="s">
        <v>35</v>
      </c>
      <c r="J138">
        <v>19</v>
      </c>
      <c r="K138">
        <v>14.25</v>
      </c>
      <c r="L138">
        <v>12.75</v>
      </c>
      <c r="M138">
        <v>27.2</v>
      </c>
      <c r="N138" t="s">
        <v>571</v>
      </c>
      <c r="O138" s="10">
        <v>0.27638888888888885</v>
      </c>
      <c r="Q138" t="s">
        <v>24</v>
      </c>
    </row>
    <row r="139" spans="1:18" x14ac:dyDescent="0.2">
      <c r="A139" s="3">
        <v>42569</v>
      </c>
      <c r="B139">
        <v>50724</v>
      </c>
      <c r="D139">
        <f>29-12.5</f>
        <v>16.5</v>
      </c>
      <c r="E139" t="s">
        <v>188</v>
      </c>
      <c r="F139" s="9" t="s">
        <v>572</v>
      </c>
      <c r="G139" t="s">
        <v>39</v>
      </c>
      <c r="H139" t="s">
        <v>32</v>
      </c>
      <c r="I139" t="s">
        <v>35</v>
      </c>
      <c r="J139">
        <v>18</v>
      </c>
      <c r="K139">
        <v>15</v>
      </c>
      <c r="L139">
        <v>12.3</v>
      </c>
      <c r="M139">
        <v>28.2</v>
      </c>
      <c r="Q139" t="s">
        <v>24</v>
      </c>
    </row>
    <row r="140" spans="1:18" x14ac:dyDescent="0.2">
      <c r="A140" s="3">
        <v>42569</v>
      </c>
      <c r="B140">
        <v>50423</v>
      </c>
      <c r="C140">
        <v>50422</v>
      </c>
      <c r="D140">
        <f>28-9.5</f>
        <v>18.5</v>
      </c>
      <c r="E140" t="s">
        <v>188</v>
      </c>
      <c r="F140" s="9" t="s">
        <v>573</v>
      </c>
      <c r="G140" t="s">
        <v>574</v>
      </c>
      <c r="H140" t="s">
        <v>32</v>
      </c>
      <c r="I140" t="s">
        <v>30</v>
      </c>
      <c r="J140">
        <v>19</v>
      </c>
      <c r="K140">
        <v>13</v>
      </c>
      <c r="L140">
        <v>13</v>
      </c>
      <c r="M140">
        <v>27</v>
      </c>
      <c r="Q140" t="s">
        <v>24</v>
      </c>
    </row>
    <row r="141" spans="1:18" x14ac:dyDescent="0.2">
      <c r="A141" s="3">
        <v>42569</v>
      </c>
      <c r="B141">
        <v>50723</v>
      </c>
      <c r="C141">
        <v>50722</v>
      </c>
      <c r="D141">
        <f>39-11</f>
        <v>28</v>
      </c>
      <c r="E141" t="s">
        <v>29</v>
      </c>
      <c r="F141" s="9" t="s">
        <v>564</v>
      </c>
      <c r="G141" t="s">
        <v>279</v>
      </c>
      <c r="H141" t="s">
        <v>145</v>
      </c>
      <c r="I141" t="s">
        <v>30</v>
      </c>
      <c r="Q141" t="s">
        <v>24</v>
      </c>
    </row>
    <row r="142" spans="1:18" x14ac:dyDescent="0.2">
      <c r="A142" s="3">
        <v>42569</v>
      </c>
      <c r="B142">
        <v>50705</v>
      </c>
      <c r="C142">
        <v>50704</v>
      </c>
      <c r="D142">
        <v>22</v>
      </c>
      <c r="E142" t="s">
        <v>29</v>
      </c>
      <c r="F142" s="9" t="s">
        <v>575</v>
      </c>
      <c r="G142" t="s">
        <v>39</v>
      </c>
      <c r="H142" t="s">
        <v>32</v>
      </c>
      <c r="I142" t="s">
        <v>35</v>
      </c>
      <c r="J142">
        <v>14</v>
      </c>
      <c r="K142">
        <v>15</v>
      </c>
      <c r="L142">
        <v>13.5</v>
      </c>
      <c r="M142">
        <v>26.8</v>
      </c>
      <c r="Q142" t="s">
        <v>24</v>
      </c>
    </row>
    <row r="143" spans="1:18" x14ac:dyDescent="0.2">
      <c r="A143" s="3">
        <v>42569</v>
      </c>
      <c r="B143">
        <v>50707</v>
      </c>
      <c r="C143">
        <v>50708</v>
      </c>
      <c r="D143">
        <v>13.5</v>
      </c>
      <c r="E143" t="s">
        <v>123</v>
      </c>
      <c r="F143" s="9" t="s">
        <v>576</v>
      </c>
      <c r="G143" t="s">
        <v>31</v>
      </c>
      <c r="H143" t="s">
        <v>145</v>
      </c>
      <c r="I143" t="s">
        <v>30</v>
      </c>
      <c r="J143">
        <v>18</v>
      </c>
      <c r="K143">
        <v>16</v>
      </c>
      <c r="L143">
        <v>12.8</v>
      </c>
      <c r="M143">
        <v>26.4</v>
      </c>
      <c r="P143">
        <v>0</v>
      </c>
      <c r="Q143" t="s">
        <v>24</v>
      </c>
    </row>
    <row r="144" spans="1:18" x14ac:dyDescent="0.2">
      <c r="A144" s="3">
        <v>42569</v>
      </c>
      <c r="B144">
        <v>2748</v>
      </c>
      <c r="C144">
        <v>2747</v>
      </c>
      <c r="D144">
        <v>12</v>
      </c>
      <c r="E144" t="s">
        <v>123</v>
      </c>
      <c r="F144" s="9" t="s">
        <v>325</v>
      </c>
      <c r="G144" t="s">
        <v>63</v>
      </c>
      <c r="I144" t="s">
        <v>35</v>
      </c>
      <c r="N144" t="s">
        <v>636</v>
      </c>
      <c r="O144" s="10">
        <v>0.23958333333333334</v>
      </c>
      <c r="Q144" t="s">
        <v>65</v>
      </c>
    </row>
    <row r="145" spans="1:17" x14ac:dyDescent="0.2">
      <c r="A145" s="3">
        <v>42569</v>
      </c>
      <c r="B145">
        <v>2693</v>
      </c>
      <c r="D145">
        <v>12</v>
      </c>
      <c r="E145" t="s">
        <v>123</v>
      </c>
      <c r="F145" s="9" t="s">
        <v>637</v>
      </c>
      <c r="G145" t="s">
        <v>638</v>
      </c>
      <c r="I145" t="s">
        <v>30</v>
      </c>
      <c r="J145">
        <v>17</v>
      </c>
      <c r="K145">
        <v>11</v>
      </c>
      <c r="L145">
        <v>11.8</v>
      </c>
      <c r="M145">
        <v>26.4</v>
      </c>
      <c r="O145" s="10"/>
    </row>
    <row r="146" spans="1:17" x14ac:dyDescent="0.2">
      <c r="A146" s="3">
        <v>42569</v>
      </c>
      <c r="B146">
        <v>2746</v>
      </c>
      <c r="C146">
        <v>2745</v>
      </c>
      <c r="D146">
        <v>16</v>
      </c>
      <c r="E146" t="s">
        <v>188</v>
      </c>
      <c r="F146" s="9" t="s">
        <v>268</v>
      </c>
      <c r="G146" t="s">
        <v>638</v>
      </c>
      <c r="I146" t="s">
        <v>35</v>
      </c>
      <c r="J146">
        <v>18</v>
      </c>
      <c r="K146">
        <v>13</v>
      </c>
      <c r="L146">
        <v>12.4</v>
      </c>
      <c r="M146">
        <v>28.4</v>
      </c>
      <c r="N146" t="s">
        <v>639</v>
      </c>
      <c r="O146" s="10">
        <v>0.33333333333333331</v>
      </c>
      <c r="Q146" t="s">
        <v>65</v>
      </c>
    </row>
    <row r="147" spans="1:17" x14ac:dyDescent="0.2">
      <c r="A147" s="3">
        <v>42569</v>
      </c>
      <c r="B147">
        <v>2734</v>
      </c>
      <c r="C147">
        <v>2735</v>
      </c>
      <c r="D147">
        <v>16</v>
      </c>
      <c r="E147" t="s">
        <v>188</v>
      </c>
      <c r="F147" s="9" t="s">
        <v>221</v>
      </c>
      <c r="G147" t="s">
        <v>638</v>
      </c>
      <c r="I147" t="s">
        <v>35</v>
      </c>
      <c r="J147">
        <v>18</v>
      </c>
      <c r="K147">
        <v>12.5</v>
      </c>
      <c r="L147">
        <v>12.8</v>
      </c>
      <c r="M147">
        <v>28.7</v>
      </c>
      <c r="N147" t="s">
        <v>640</v>
      </c>
      <c r="O147" s="10">
        <v>0.3611111111111111</v>
      </c>
      <c r="Q147" t="s">
        <v>65</v>
      </c>
    </row>
    <row r="148" spans="1:17" x14ac:dyDescent="0.2">
      <c r="A148" s="3">
        <v>42569</v>
      </c>
      <c r="B148">
        <v>50433</v>
      </c>
      <c r="C148">
        <v>50432</v>
      </c>
      <c r="D148">
        <v>16</v>
      </c>
      <c r="E148" t="s">
        <v>188</v>
      </c>
      <c r="F148" s="9" t="s">
        <v>635</v>
      </c>
      <c r="G148" t="s">
        <v>63</v>
      </c>
      <c r="H148" t="s">
        <v>32</v>
      </c>
      <c r="I148" t="s">
        <v>35</v>
      </c>
    </row>
    <row r="149" spans="1:17" x14ac:dyDescent="0.2">
      <c r="A149" s="3">
        <v>42572</v>
      </c>
      <c r="B149">
        <v>50604</v>
      </c>
      <c r="C149">
        <v>50603</v>
      </c>
      <c r="D149">
        <v>12.5</v>
      </c>
      <c r="E149" t="s">
        <v>123</v>
      </c>
      <c r="F149" s="9" t="s">
        <v>376</v>
      </c>
      <c r="G149" t="s">
        <v>63</v>
      </c>
      <c r="H149" t="s">
        <v>32</v>
      </c>
      <c r="I149" t="s">
        <v>35</v>
      </c>
      <c r="J149">
        <v>19</v>
      </c>
      <c r="K149">
        <v>14</v>
      </c>
      <c r="L149">
        <v>12.4</v>
      </c>
      <c r="M149">
        <v>29.3</v>
      </c>
      <c r="N149" t="s">
        <v>612</v>
      </c>
      <c r="O149" s="10">
        <v>0.26250000000000001</v>
      </c>
      <c r="Q149" t="s">
        <v>66</v>
      </c>
    </row>
    <row r="150" spans="1:17" x14ac:dyDescent="0.2">
      <c r="A150" s="3">
        <v>42572</v>
      </c>
      <c r="B150">
        <v>50433</v>
      </c>
      <c r="C150">
        <v>50432</v>
      </c>
      <c r="D150">
        <v>14</v>
      </c>
      <c r="E150" t="s">
        <v>123</v>
      </c>
      <c r="F150" s="9" t="s">
        <v>92</v>
      </c>
      <c r="G150" t="s">
        <v>63</v>
      </c>
      <c r="H150" t="s">
        <v>32</v>
      </c>
      <c r="I150" t="s">
        <v>35</v>
      </c>
      <c r="J150">
        <v>18</v>
      </c>
      <c r="K150">
        <v>16</v>
      </c>
      <c r="L150">
        <v>12.1</v>
      </c>
      <c r="M150">
        <v>27.5</v>
      </c>
      <c r="Q150" t="s">
        <v>66</v>
      </c>
    </row>
    <row r="151" spans="1:17" x14ac:dyDescent="0.2">
      <c r="A151" s="3">
        <v>42572</v>
      </c>
      <c r="B151">
        <v>2646</v>
      </c>
      <c r="C151">
        <v>2645</v>
      </c>
      <c r="D151">
        <v>14</v>
      </c>
      <c r="E151" t="s">
        <v>123</v>
      </c>
      <c r="F151" s="9" t="s">
        <v>221</v>
      </c>
      <c r="G151" t="s">
        <v>63</v>
      </c>
      <c r="H151" t="s">
        <v>32</v>
      </c>
      <c r="I151" t="s">
        <v>35</v>
      </c>
      <c r="J151">
        <v>20</v>
      </c>
      <c r="K151">
        <v>10</v>
      </c>
      <c r="L151">
        <v>12</v>
      </c>
      <c r="M151">
        <v>28.1</v>
      </c>
      <c r="N151" t="s">
        <v>613</v>
      </c>
      <c r="O151" s="10">
        <v>0.34930555555555554</v>
      </c>
      <c r="Q151" t="s">
        <v>66</v>
      </c>
    </row>
    <row r="152" spans="1:17" x14ac:dyDescent="0.2">
      <c r="A152" s="3">
        <v>42572</v>
      </c>
      <c r="B152">
        <v>2681</v>
      </c>
      <c r="C152">
        <v>2682</v>
      </c>
      <c r="D152">
        <v>15</v>
      </c>
      <c r="E152" t="s">
        <v>123</v>
      </c>
      <c r="F152" s="9" t="s">
        <v>375</v>
      </c>
      <c r="J152">
        <v>19</v>
      </c>
      <c r="K152">
        <v>11</v>
      </c>
      <c r="L152">
        <v>11.8</v>
      </c>
      <c r="M152">
        <v>28</v>
      </c>
      <c r="Q152" t="s">
        <v>66</v>
      </c>
    </row>
    <row r="153" spans="1:17" x14ac:dyDescent="0.2">
      <c r="A153" s="3">
        <v>42572</v>
      </c>
      <c r="B153">
        <v>50533</v>
      </c>
      <c r="C153">
        <v>50534</v>
      </c>
      <c r="D153">
        <v>16</v>
      </c>
      <c r="E153" t="s">
        <v>188</v>
      </c>
      <c r="F153" s="9" t="s">
        <v>642</v>
      </c>
      <c r="J153">
        <v>19</v>
      </c>
      <c r="K153">
        <v>13</v>
      </c>
      <c r="L153">
        <v>12.1</v>
      </c>
      <c r="M153">
        <v>26.9</v>
      </c>
      <c r="N153" t="s">
        <v>643</v>
      </c>
      <c r="O153" s="10">
        <v>0.30555555555555552</v>
      </c>
      <c r="Q153" t="s">
        <v>66</v>
      </c>
    </row>
    <row r="154" spans="1:17" x14ac:dyDescent="0.2">
      <c r="A154" s="3">
        <v>42572</v>
      </c>
      <c r="B154">
        <v>50445</v>
      </c>
      <c r="C154">
        <v>50438</v>
      </c>
      <c r="D154">
        <v>20</v>
      </c>
      <c r="E154" t="s">
        <v>29</v>
      </c>
      <c r="F154" s="9" t="s">
        <v>646</v>
      </c>
      <c r="J154">
        <v>19</v>
      </c>
      <c r="K154">
        <v>18</v>
      </c>
      <c r="L154">
        <v>12.9</v>
      </c>
      <c r="M154">
        <v>26.4</v>
      </c>
      <c r="N154" t="s">
        <v>644</v>
      </c>
      <c r="O154" s="10">
        <v>0.31944444444444448</v>
      </c>
      <c r="Q154" t="s">
        <v>66</v>
      </c>
    </row>
    <row r="155" spans="1:17" x14ac:dyDescent="0.2">
      <c r="A155" s="3">
        <v>42572</v>
      </c>
      <c r="B155">
        <v>2684</v>
      </c>
      <c r="C155">
        <v>2683</v>
      </c>
      <c r="D155">
        <v>12</v>
      </c>
      <c r="E155" t="s">
        <v>123</v>
      </c>
      <c r="F155" s="9" t="s">
        <v>98</v>
      </c>
      <c r="J155">
        <v>16.5</v>
      </c>
      <c r="K155">
        <v>13</v>
      </c>
      <c r="L155">
        <v>11.6</v>
      </c>
      <c r="M155">
        <v>26.8</v>
      </c>
      <c r="N155" t="s">
        <v>645</v>
      </c>
      <c r="O155" s="10">
        <v>0.3263888888888889</v>
      </c>
      <c r="Q155" t="s">
        <v>66</v>
      </c>
    </row>
    <row r="156" spans="1:17" x14ac:dyDescent="0.2">
      <c r="A156" s="3">
        <v>42577</v>
      </c>
      <c r="B156">
        <v>50378</v>
      </c>
      <c r="C156">
        <v>50377</v>
      </c>
      <c r="D156">
        <v>24.5</v>
      </c>
      <c r="E156" t="s">
        <v>29</v>
      </c>
      <c r="F156" s="9" t="s">
        <v>744</v>
      </c>
      <c r="G156" t="s">
        <v>75</v>
      </c>
      <c r="H156" t="s">
        <v>32</v>
      </c>
      <c r="I156" t="s">
        <v>30</v>
      </c>
      <c r="J156">
        <v>19</v>
      </c>
      <c r="K156">
        <v>16</v>
      </c>
      <c r="L156">
        <v>13</v>
      </c>
      <c r="M156">
        <v>31.8</v>
      </c>
      <c r="N156" t="s">
        <v>612</v>
      </c>
      <c r="O156" s="10">
        <v>0.30138888888888887</v>
      </c>
      <c r="Q156" t="s">
        <v>66</v>
      </c>
    </row>
    <row r="157" spans="1:17" x14ac:dyDescent="0.2">
      <c r="A157" s="3">
        <v>42577</v>
      </c>
      <c r="B157">
        <v>50725</v>
      </c>
      <c r="D157">
        <v>25.5</v>
      </c>
      <c r="E157" t="s">
        <v>29</v>
      </c>
      <c r="F157" s="9" t="s">
        <v>510</v>
      </c>
      <c r="G157" t="s">
        <v>39</v>
      </c>
      <c r="H157" t="s">
        <v>32</v>
      </c>
      <c r="I157" t="s">
        <v>35</v>
      </c>
      <c r="J157">
        <v>20</v>
      </c>
      <c r="K157">
        <v>12</v>
      </c>
      <c r="L157">
        <v>12.5</v>
      </c>
      <c r="M157">
        <v>27.2</v>
      </c>
      <c r="Q157" t="s">
        <v>66</v>
      </c>
    </row>
    <row r="158" spans="1:17" x14ac:dyDescent="0.2">
      <c r="A158" s="3">
        <v>42577</v>
      </c>
      <c r="B158">
        <v>50724</v>
      </c>
      <c r="D158">
        <v>17</v>
      </c>
      <c r="E158" t="s">
        <v>188</v>
      </c>
      <c r="F158" s="9" t="s">
        <v>570</v>
      </c>
      <c r="G158" t="s">
        <v>39</v>
      </c>
      <c r="H158" t="s">
        <v>32</v>
      </c>
      <c r="I158" t="s">
        <v>35</v>
      </c>
      <c r="J158">
        <v>18</v>
      </c>
      <c r="K158">
        <v>16</v>
      </c>
      <c r="L158">
        <v>12.6</v>
      </c>
      <c r="M158">
        <v>28.5</v>
      </c>
      <c r="Q158" t="s">
        <v>66</v>
      </c>
    </row>
    <row r="159" spans="1:17" x14ac:dyDescent="0.2">
      <c r="A159" s="3">
        <v>42577</v>
      </c>
      <c r="B159">
        <v>2734</v>
      </c>
      <c r="C159">
        <v>2735</v>
      </c>
      <c r="D159">
        <v>16</v>
      </c>
      <c r="E159" t="s">
        <v>188</v>
      </c>
      <c r="F159" s="9" t="s">
        <v>641</v>
      </c>
      <c r="G159" t="s">
        <v>39</v>
      </c>
      <c r="H159" t="s">
        <v>32</v>
      </c>
      <c r="I159" t="s">
        <v>35</v>
      </c>
      <c r="J159">
        <v>19</v>
      </c>
      <c r="K159">
        <v>16</v>
      </c>
      <c r="L159">
        <v>12.8</v>
      </c>
      <c r="M159">
        <v>29.2</v>
      </c>
      <c r="Q159" t="s">
        <v>66</v>
      </c>
    </row>
    <row r="160" spans="1:17" x14ac:dyDescent="0.2">
      <c r="A160" s="3">
        <v>42577</v>
      </c>
      <c r="B160">
        <v>2644</v>
      </c>
      <c r="C160">
        <v>2642</v>
      </c>
      <c r="D160">
        <v>15</v>
      </c>
      <c r="E160" t="s">
        <v>123</v>
      </c>
      <c r="F160" s="9" t="s">
        <v>162</v>
      </c>
      <c r="G160" t="s">
        <v>63</v>
      </c>
      <c r="H160" t="s">
        <v>32</v>
      </c>
      <c r="I160" t="s">
        <v>35</v>
      </c>
      <c r="J160">
        <v>19</v>
      </c>
      <c r="K160">
        <v>16</v>
      </c>
      <c r="L160">
        <v>12.7</v>
      </c>
      <c r="M160">
        <v>27.6</v>
      </c>
      <c r="N160" t="s">
        <v>745</v>
      </c>
      <c r="O160" s="10">
        <v>0.35486111111111113</v>
      </c>
      <c r="Q160" t="s">
        <v>66</v>
      </c>
    </row>
    <row r="161" spans="1:18" x14ac:dyDescent="0.2">
      <c r="A161" s="3">
        <v>42577</v>
      </c>
      <c r="B161">
        <v>50918</v>
      </c>
      <c r="C161">
        <v>50919</v>
      </c>
      <c r="D161">
        <f>21.5-9</f>
        <v>12.5</v>
      </c>
      <c r="E161" t="s">
        <v>123</v>
      </c>
      <c r="F161" s="9" t="s">
        <v>762</v>
      </c>
      <c r="G161" t="s">
        <v>31</v>
      </c>
      <c r="H161" t="s">
        <v>32</v>
      </c>
      <c r="I161" t="s">
        <v>30</v>
      </c>
      <c r="J161">
        <v>18</v>
      </c>
      <c r="K161">
        <v>13</v>
      </c>
      <c r="L161">
        <v>12</v>
      </c>
      <c r="M161">
        <v>26</v>
      </c>
      <c r="N161" t="s">
        <v>763</v>
      </c>
      <c r="O161" s="10">
        <v>0.25625000000000003</v>
      </c>
      <c r="Q161" t="s">
        <v>24</v>
      </c>
    </row>
    <row r="162" spans="1:18" x14ac:dyDescent="0.2">
      <c r="A162" s="3">
        <v>42577</v>
      </c>
      <c r="B162">
        <v>50917</v>
      </c>
      <c r="C162">
        <v>50916</v>
      </c>
      <c r="D162">
        <f>32.5-10</f>
        <v>22.5</v>
      </c>
      <c r="E162" t="s">
        <v>29</v>
      </c>
      <c r="F162" s="9" t="s">
        <v>220</v>
      </c>
      <c r="G162" t="s">
        <v>39</v>
      </c>
      <c r="H162" t="s">
        <v>32</v>
      </c>
      <c r="I162" t="s">
        <v>35</v>
      </c>
      <c r="J162">
        <v>20</v>
      </c>
      <c r="K162">
        <v>17</v>
      </c>
      <c r="L162">
        <v>13.7</v>
      </c>
      <c r="M162">
        <v>29.9</v>
      </c>
      <c r="N162" t="s">
        <v>771</v>
      </c>
      <c r="O162" s="10">
        <v>0.27638888888888885</v>
      </c>
      <c r="Q162" t="s">
        <v>24</v>
      </c>
    </row>
    <row r="163" spans="1:18" x14ac:dyDescent="0.2">
      <c r="A163" s="3">
        <v>42577</v>
      </c>
      <c r="B163">
        <v>50701</v>
      </c>
      <c r="C163">
        <v>50703</v>
      </c>
      <c r="D163">
        <f>25-11</f>
        <v>14</v>
      </c>
      <c r="E163" t="s">
        <v>123</v>
      </c>
      <c r="F163" s="9" t="s">
        <v>169</v>
      </c>
      <c r="G163" t="s">
        <v>63</v>
      </c>
      <c r="H163" t="s">
        <v>32</v>
      </c>
      <c r="I163" t="s">
        <v>35</v>
      </c>
      <c r="J163">
        <v>19</v>
      </c>
      <c r="K163">
        <v>12</v>
      </c>
      <c r="L163">
        <v>11.4</v>
      </c>
      <c r="M163">
        <v>25</v>
      </c>
      <c r="N163" t="s">
        <v>772</v>
      </c>
      <c r="O163" s="10">
        <v>0.28680555555555554</v>
      </c>
      <c r="Q163" t="s">
        <v>24</v>
      </c>
    </row>
    <row r="164" spans="1:18" x14ac:dyDescent="0.2">
      <c r="A164" s="3">
        <v>42577</v>
      </c>
      <c r="B164">
        <v>50423</v>
      </c>
      <c r="C164">
        <v>50421</v>
      </c>
      <c r="D164">
        <f>34-15</f>
        <v>19</v>
      </c>
      <c r="E164" t="s">
        <v>29</v>
      </c>
      <c r="F164" s="9" t="s">
        <v>575</v>
      </c>
      <c r="G164" t="s">
        <v>31</v>
      </c>
      <c r="H164" t="s">
        <v>32</v>
      </c>
      <c r="I164" t="s">
        <v>30</v>
      </c>
      <c r="Q164" t="s">
        <v>24</v>
      </c>
    </row>
    <row r="165" spans="1:18" x14ac:dyDescent="0.2">
      <c r="A165" s="3">
        <v>42577</v>
      </c>
      <c r="B165">
        <v>50902</v>
      </c>
      <c r="C165">
        <v>50901</v>
      </c>
      <c r="D165">
        <v>14</v>
      </c>
      <c r="E165" t="s">
        <v>123</v>
      </c>
      <c r="F165" s="9" t="s">
        <v>263</v>
      </c>
      <c r="G165" t="s">
        <v>31</v>
      </c>
      <c r="H165" t="s">
        <v>145</v>
      </c>
      <c r="I165" t="s">
        <v>30</v>
      </c>
      <c r="J165">
        <v>17</v>
      </c>
      <c r="K165">
        <v>15</v>
      </c>
      <c r="L165">
        <v>12.35</v>
      </c>
      <c r="M165">
        <v>25</v>
      </c>
      <c r="N165" t="s">
        <v>774</v>
      </c>
      <c r="O165" s="10">
        <v>0.40138888888888885</v>
      </c>
      <c r="P165">
        <v>0</v>
      </c>
      <c r="Q165" t="s">
        <v>24</v>
      </c>
    </row>
    <row r="166" spans="1:18" x14ac:dyDescent="0.2">
      <c r="A166" s="3">
        <v>42577</v>
      </c>
      <c r="B166">
        <v>50903</v>
      </c>
      <c r="C166">
        <v>50904</v>
      </c>
      <c r="D166">
        <f>27-11</f>
        <v>16</v>
      </c>
      <c r="E166" t="s">
        <v>188</v>
      </c>
      <c r="F166" s="9" t="s">
        <v>777</v>
      </c>
      <c r="G166" t="s">
        <v>63</v>
      </c>
      <c r="H166" t="s">
        <v>145</v>
      </c>
      <c r="I166" t="s">
        <v>35</v>
      </c>
      <c r="Q166" t="s">
        <v>24</v>
      </c>
    </row>
    <row r="167" spans="1:18" x14ac:dyDescent="0.2">
      <c r="A167" s="3">
        <v>42577</v>
      </c>
      <c r="B167">
        <v>50445</v>
      </c>
      <c r="C167">
        <v>50438</v>
      </c>
      <c r="D167">
        <f>24-10</f>
        <v>14</v>
      </c>
      <c r="E167" t="s">
        <v>123</v>
      </c>
      <c r="F167" s="9" t="s">
        <v>105</v>
      </c>
      <c r="G167" t="s">
        <v>63</v>
      </c>
      <c r="H167" t="s">
        <v>32</v>
      </c>
      <c r="I167" t="s">
        <v>35</v>
      </c>
      <c r="J167">
        <v>18</v>
      </c>
      <c r="K167">
        <v>18</v>
      </c>
      <c r="L167">
        <v>12.8</v>
      </c>
      <c r="M167">
        <v>26.9</v>
      </c>
      <c r="N167" t="s">
        <v>778</v>
      </c>
      <c r="O167" s="10">
        <v>0.35069444444444442</v>
      </c>
      <c r="P167" t="s">
        <v>260</v>
      </c>
      <c r="Q167" t="s">
        <v>24</v>
      </c>
    </row>
    <row r="168" spans="1:18" x14ac:dyDescent="0.2">
      <c r="A168" s="3">
        <v>42577</v>
      </c>
      <c r="B168">
        <v>2693</v>
      </c>
      <c r="D168">
        <v>13</v>
      </c>
      <c r="E168" t="s">
        <v>123</v>
      </c>
      <c r="F168" s="9" t="s">
        <v>246</v>
      </c>
      <c r="G168" t="s">
        <v>63</v>
      </c>
      <c r="H168" t="s">
        <v>32</v>
      </c>
      <c r="I168" t="s">
        <v>35</v>
      </c>
      <c r="Q168" t="s">
        <v>24</v>
      </c>
    </row>
    <row r="169" spans="1:18" x14ac:dyDescent="0.2">
      <c r="A169" s="3">
        <v>42577</v>
      </c>
      <c r="B169">
        <v>50881</v>
      </c>
      <c r="C169">
        <v>50880</v>
      </c>
      <c r="D169">
        <v>11</v>
      </c>
      <c r="E169" t="s">
        <v>123</v>
      </c>
      <c r="F169" s="9" t="s">
        <v>404</v>
      </c>
      <c r="G169" t="s">
        <v>31</v>
      </c>
      <c r="H169" t="s">
        <v>260</v>
      </c>
      <c r="I169" t="s">
        <v>30</v>
      </c>
      <c r="J169">
        <v>19</v>
      </c>
      <c r="K169">
        <v>12</v>
      </c>
      <c r="L169">
        <v>12.4</v>
      </c>
      <c r="M169">
        <v>24.5</v>
      </c>
      <c r="N169" t="s">
        <v>789</v>
      </c>
      <c r="O169" s="10">
        <v>0.21736111111111112</v>
      </c>
      <c r="P169">
        <v>21</v>
      </c>
      <c r="Q169" t="s">
        <v>24</v>
      </c>
      <c r="R169" t="s">
        <v>791</v>
      </c>
    </row>
    <row r="170" spans="1:18" x14ac:dyDescent="0.2">
      <c r="A170" s="3">
        <v>42577</v>
      </c>
      <c r="B170">
        <v>50887</v>
      </c>
      <c r="C170">
        <v>50886</v>
      </c>
      <c r="D170">
        <v>11</v>
      </c>
      <c r="E170" t="s">
        <v>123</v>
      </c>
      <c r="F170" s="9" t="s">
        <v>404</v>
      </c>
      <c r="G170" t="s">
        <v>63</v>
      </c>
      <c r="H170" t="s">
        <v>260</v>
      </c>
      <c r="I170" t="s">
        <v>35</v>
      </c>
      <c r="J170">
        <v>20</v>
      </c>
      <c r="K170">
        <v>12</v>
      </c>
      <c r="L170">
        <v>12.5</v>
      </c>
      <c r="M170">
        <v>25.1</v>
      </c>
      <c r="N170" t="s">
        <v>792</v>
      </c>
      <c r="O170" s="10">
        <v>0.16666666666666666</v>
      </c>
      <c r="P170">
        <v>21</v>
      </c>
      <c r="Q170" t="s">
        <v>24</v>
      </c>
      <c r="R170" t="s">
        <v>791</v>
      </c>
    </row>
    <row r="171" spans="1:18" x14ac:dyDescent="0.2">
      <c r="A171" s="3">
        <v>42577</v>
      </c>
      <c r="B171">
        <v>50877</v>
      </c>
      <c r="C171">
        <v>50876</v>
      </c>
      <c r="D171">
        <v>11</v>
      </c>
      <c r="E171" t="s">
        <v>123</v>
      </c>
      <c r="F171" s="9" t="s">
        <v>404</v>
      </c>
      <c r="G171" t="s">
        <v>63</v>
      </c>
      <c r="H171" t="s">
        <v>260</v>
      </c>
      <c r="I171" t="s">
        <v>35</v>
      </c>
      <c r="J171">
        <v>19</v>
      </c>
      <c r="K171">
        <v>12</v>
      </c>
      <c r="L171">
        <v>12.2</v>
      </c>
      <c r="M171">
        <v>24.3</v>
      </c>
      <c r="N171" t="s">
        <v>793</v>
      </c>
      <c r="O171" s="10">
        <v>0.19791666666666666</v>
      </c>
      <c r="P171">
        <v>21</v>
      </c>
      <c r="Q171" t="s">
        <v>24</v>
      </c>
      <c r="R171" t="s">
        <v>791</v>
      </c>
    </row>
    <row r="172" spans="1:18" x14ac:dyDescent="0.2">
      <c r="A172" s="3">
        <v>42577</v>
      </c>
      <c r="B172">
        <v>50879</v>
      </c>
      <c r="C172">
        <v>50878</v>
      </c>
      <c r="D172">
        <v>10.5</v>
      </c>
      <c r="E172" t="s">
        <v>123</v>
      </c>
      <c r="F172" s="9" t="s">
        <v>404</v>
      </c>
      <c r="G172" t="s">
        <v>63</v>
      </c>
      <c r="H172" t="s">
        <v>260</v>
      </c>
      <c r="I172" t="s">
        <v>35</v>
      </c>
      <c r="J172">
        <v>20</v>
      </c>
      <c r="K172">
        <v>13</v>
      </c>
      <c r="L172">
        <v>12.3</v>
      </c>
      <c r="M172">
        <v>24.9</v>
      </c>
      <c r="N172" t="s">
        <v>798</v>
      </c>
      <c r="O172" s="10">
        <v>0.20833333333333334</v>
      </c>
      <c r="P172">
        <v>21</v>
      </c>
      <c r="Q172" t="s">
        <v>24</v>
      </c>
      <c r="R172" t="s">
        <v>791</v>
      </c>
    </row>
    <row r="173" spans="1:18" x14ac:dyDescent="0.2">
      <c r="A173" s="3">
        <v>42577</v>
      </c>
      <c r="B173">
        <v>50883</v>
      </c>
      <c r="C173">
        <v>50882</v>
      </c>
      <c r="D173">
        <v>11</v>
      </c>
      <c r="E173" t="s">
        <v>123</v>
      </c>
      <c r="F173" s="9" t="s">
        <v>404</v>
      </c>
      <c r="G173" t="s">
        <v>31</v>
      </c>
      <c r="H173" t="s">
        <v>260</v>
      </c>
      <c r="I173" t="s">
        <v>30</v>
      </c>
      <c r="J173">
        <v>20</v>
      </c>
      <c r="K173">
        <v>12.5</v>
      </c>
      <c r="L173">
        <v>12.2</v>
      </c>
      <c r="M173">
        <v>24.8</v>
      </c>
      <c r="N173" t="s">
        <v>801</v>
      </c>
      <c r="O173" s="10">
        <v>0.22222222222222221</v>
      </c>
      <c r="P173">
        <v>21</v>
      </c>
      <c r="Q173" t="s">
        <v>24</v>
      </c>
      <c r="R173" t="s">
        <v>791</v>
      </c>
    </row>
    <row r="174" spans="1:18" x14ac:dyDescent="0.2">
      <c r="A174" s="3">
        <v>42577</v>
      </c>
      <c r="B174">
        <v>50885</v>
      </c>
      <c r="C174">
        <v>50884</v>
      </c>
      <c r="D174">
        <v>12</v>
      </c>
      <c r="E174" t="s">
        <v>123</v>
      </c>
      <c r="F174" s="9" t="s">
        <v>404</v>
      </c>
      <c r="G174" t="s">
        <v>63</v>
      </c>
      <c r="H174" t="s">
        <v>260</v>
      </c>
      <c r="I174" t="s">
        <v>35</v>
      </c>
      <c r="J174">
        <v>20</v>
      </c>
      <c r="K174">
        <v>12.5</v>
      </c>
      <c r="L174">
        <v>12.3</v>
      </c>
      <c r="M174">
        <v>24.9</v>
      </c>
      <c r="N174" t="s">
        <v>803</v>
      </c>
      <c r="O174" s="10">
        <v>0.23194444444444443</v>
      </c>
      <c r="P174">
        <v>21</v>
      </c>
      <c r="Q174" t="s">
        <v>24</v>
      </c>
      <c r="R174" t="s">
        <v>791</v>
      </c>
    </row>
    <row r="175" spans="1:18" x14ac:dyDescent="0.2">
      <c r="A175" s="3">
        <v>42577</v>
      </c>
      <c r="B175">
        <v>50678</v>
      </c>
      <c r="C175">
        <v>50693</v>
      </c>
      <c r="D175">
        <f>26-10</f>
        <v>16</v>
      </c>
      <c r="E175" t="s">
        <v>188</v>
      </c>
      <c r="F175" s="9" t="s">
        <v>129</v>
      </c>
      <c r="G175" t="s">
        <v>61</v>
      </c>
      <c r="H175" t="s">
        <v>32</v>
      </c>
      <c r="I175" t="s">
        <v>30</v>
      </c>
      <c r="J175">
        <v>19</v>
      </c>
      <c r="K175">
        <v>16</v>
      </c>
      <c r="L175">
        <v>13.1</v>
      </c>
      <c r="M175">
        <v>26.8</v>
      </c>
      <c r="N175" t="s">
        <v>747</v>
      </c>
      <c r="O175" s="10">
        <v>0.31111111111111112</v>
      </c>
      <c r="Q175" t="s">
        <v>64</v>
      </c>
    </row>
    <row r="176" spans="1:18" x14ac:dyDescent="0.2">
      <c r="A176" s="3">
        <v>42578</v>
      </c>
      <c r="B176">
        <v>2833</v>
      </c>
      <c r="C176">
        <v>2832</v>
      </c>
      <c r="D176">
        <v>6</v>
      </c>
      <c r="E176" t="s">
        <v>123</v>
      </c>
      <c r="F176" s="9" t="s">
        <v>404</v>
      </c>
      <c r="G176" t="s">
        <v>31</v>
      </c>
      <c r="H176" t="s">
        <v>260</v>
      </c>
      <c r="I176" t="s">
        <v>30</v>
      </c>
      <c r="J176">
        <v>16</v>
      </c>
      <c r="K176">
        <v>12</v>
      </c>
      <c r="L176">
        <v>11.1</v>
      </c>
      <c r="M176">
        <v>22.7</v>
      </c>
      <c r="N176" t="s">
        <v>807</v>
      </c>
      <c r="O176" s="10">
        <v>0.4513888888888889</v>
      </c>
      <c r="P176">
        <v>21</v>
      </c>
      <c r="Q176" t="s">
        <v>24</v>
      </c>
      <c r="R176" t="s">
        <v>809</v>
      </c>
    </row>
    <row r="177" spans="1:20" x14ac:dyDescent="0.2">
      <c r="A177" s="3">
        <v>42578</v>
      </c>
      <c r="B177">
        <v>2828</v>
      </c>
      <c r="C177">
        <v>2829</v>
      </c>
      <c r="D177">
        <v>5.5</v>
      </c>
      <c r="E177" t="s">
        <v>123</v>
      </c>
      <c r="F177" s="9" t="s">
        <v>404</v>
      </c>
      <c r="G177" t="s">
        <v>63</v>
      </c>
      <c r="H177" t="s">
        <v>260</v>
      </c>
      <c r="I177" t="s">
        <v>35</v>
      </c>
      <c r="J177">
        <v>16</v>
      </c>
      <c r="K177">
        <v>10</v>
      </c>
      <c r="L177">
        <v>11.1</v>
      </c>
      <c r="M177">
        <v>23</v>
      </c>
      <c r="N177" t="s">
        <v>810</v>
      </c>
      <c r="O177" s="10">
        <v>0.46180555555555558</v>
      </c>
      <c r="P177">
        <v>21</v>
      </c>
      <c r="Q177" t="s">
        <v>24</v>
      </c>
      <c r="R177" t="s">
        <v>809</v>
      </c>
      <c r="T177" t="s">
        <v>813</v>
      </c>
    </row>
    <row r="178" spans="1:20" x14ac:dyDescent="0.2">
      <c r="A178" s="3">
        <v>42578</v>
      </c>
      <c r="B178">
        <v>2830</v>
      </c>
      <c r="C178">
        <v>2831</v>
      </c>
      <c r="D178">
        <v>7</v>
      </c>
      <c r="E178" t="s">
        <v>123</v>
      </c>
      <c r="F178" s="9" t="s">
        <v>404</v>
      </c>
      <c r="G178" t="s">
        <v>31</v>
      </c>
      <c r="H178" t="s">
        <v>260</v>
      </c>
      <c r="I178" t="s">
        <v>30</v>
      </c>
      <c r="J178">
        <v>16</v>
      </c>
      <c r="K178">
        <v>8</v>
      </c>
      <c r="L178">
        <v>11.1</v>
      </c>
      <c r="M178">
        <v>22.2</v>
      </c>
      <c r="N178" t="s">
        <v>814</v>
      </c>
      <c r="O178" s="10">
        <v>0.46875</v>
      </c>
      <c r="P178">
        <v>21</v>
      </c>
      <c r="Q178" t="s">
        <v>24</v>
      </c>
      <c r="R178" t="s">
        <v>809</v>
      </c>
      <c r="T178" t="s">
        <v>813</v>
      </c>
    </row>
    <row r="179" spans="1:20" x14ac:dyDescent="0.2">
      <c r="A179" s="3">
        <v>42578</v>
      </c>
      <c r="B179">
        <v>2836</v>
      </c>
      <c r="C179">
        <v>2837</v>
      </c>
      <c r="D179">
        <v>6.5</v>
      </c>
      <c r="E179" t="s">
        <v>123</v>
      </c>
      <c r="F179" s="9" t="s">
        <v>404</v>
      </c>
      <c r="G179" t="s">
        <v>31</v>
      </c>
      <c r="H179" t="s">
        <v>260</v>
      </c>
      <c r="I179" t="s">
        <v>30</v>
      </c>
      <c r="J179">
        <v>11</v>
      </c>
      <c r="K179">
        <v>9</v>
      </c>
      <c r="L179">
        <v>9.6999999999999993</v>
      </c>
      <c r="M179">
        <v>19.899999999999999</v>
      </c>
      <c r="N179" t="s">
        <v>816</v>
      </c>
      <c r="O179" s="10">
        <v>0.46249999999999997</v>
      </c>
      <c r="P179">
        <v>21</v>
      </c>
      <c r="Q179" t="s">
        <v>24</v>
      </c>
      <c r="R179" t="s">
        <v>809</v>
      </c>
    </row>
    <row r="180" spans="1:20" x14ac:dyDescent="0.2">
      <c r="A180" s="3">
        <v>42578</v>
      </c>
      <c r="B180">
        <v>2834</v>
      </c>
      <c r="C180">
        <v>2835</v>
      </c>
      <c r="D180">
        <v>9</v>
      </c>
      <c r="E180" t="s">
        <v>123</v>
      </c>
      <c r="F180" s="9" t="s">
        <v>404</v>
      </c>
      <c r="G180" t="s">
        <v>31</v>
      </c>
      <c r="H180" t="s">
        <v>260</v>
      </c>
      <c r="I180" t="s">
        <v>30</v>
      </c>
      <c r="J180">
        <v>18</v>
      </c>
      <c r="K180">
        <v>13</v>
      </c>
      <c r="L180">
        <v>12.2</v>
      </c>
      <c r="M180">
        <v>24.9</v>
      </c>
      <c r="N180" t="s">
        <v>817</v>
      </c>
      <c r="O180" s="10">
        <v>0.4826388888888889</v>
      </c>
      <c r="P180">
        <v>21</v>
      </c>
      <c r="Q180" t="s">
        <v>24</v>
      </c>
      <c r="R180" t="s">
        <v>809</v>
      </c>
    </row>
    <row r="181" spans="1:20" x14ac:dyDescent="0.2">
      <c r="A181" s="3">
        <v>42578</v>
      </c>
      <c r="B181">
        <v>2826</v>
      </c>
      <c r="C181">
        <v>2827</v>
      </c>
      <c r="D181">
        <v>9.5</v>
      </c>
      <c r="E181" t="s">
        <v>123</v>
      </c>
      <c r="F181" s="9" t="s">
        <v>404</v>
      </c>
      <c r="G181" t="s">
        <v>63</v>
      </c>
      <c r="H181" t="s">
        <v>260</v>
      </c>
      <c r="I181" t="s">
        <v>35</v>
      </c>
      <c r="J181">
        <v>17</v>
      </c>
      <c r="K181">
        <v>13</v>
      </c>
      <c r="L181">
        <v>11.7</v>
      </c>
      <c r="M181">
        <v>24.5</v>
      </c>
      <c r="N181" t="s">
        <v>820</v>
      </c>
      <c r="O181" s="10">
        <v>0.45</v>
      </c>
      <c r="P181">
        <v>21</v>
      </c>
      <c r="Q181" t="s">
        <v>24</v>
      </c>
      <c r="R181" t="s">
        <v>809</v>
      </c>
    </row>
    <row r="182" spans="1:20" x14ac:dyDescent="0.2">
      <c r="A182" s="3">
        <v>42587</v>
      </c>
      <c r="B182">
        <v>2449</v>
      </c>
      <c r="C182">
        <v>2641</v>
      </c>
      <c r="D182">
        <v>12</v>
      </c>
      <c r="E182" t="s">
        <v>123</v>
      </c>
      <c r="F182" s="9" t="s">
        <v>361</v>
      </c>
      <c r="G182" t="s">
        <v>63</v>
      </c>
      <c r="H182" t="s">
        <v>145</v>
      </c>
      <c r="I182" t="s">
        <v>35</v>
      </c>
      <c r="Q182" t="s">
        <v>66</v>
      </c>
    </row>
    <row r="183" spans="1:20" x14ac:dyDescent="0.2">
      <c r="A183" s="3">
        <v>42587</v>
      </c>
      <c r="B183">
        <v>50725</v>
      </c>
      <c r="D183">
        <v>17</v>
      </c>
      <c r="E183" t="s">
        <v>188</v>
      </c>
      <c r="F183" s="9" t="s">
        <v>92</v>
      </c>
      <c r="G183" t="s">
        <v>39</v>
      </c>
      <c r="H183" t="s">
        <v>32</v>
      </c>
      <c r="I183" t="s">
        <v>35</v>
      </c>
      <c r="J183">
        <v>19</v>
      </c>
      <c r="K183">
        <v>15</v>
      </c>
      <c r="L183">
        <v>13.5</v>
      </c>
      <c r="M183">
        <v>28.4</v>
      </c>
      <c r="Q183" t="s">
        <v>66</v>
      </c>
    </row>
    <row r="184" spans="1:20" x14ac:dyDescent="0.2">
      <c r="A184" s="3">
        <v>42587</v>
      </c>
      <c r="B184">
        <v>16337</v>
      </c>
      <c r="C184">
        <v>16338</v>
      </c>
      <c r="D184">
        <v>11</v>
      </c>
      <c r="E184" t="s">
        <v>123</v>
      </c>
      <c r="F184" s="9" t="s">
        <v>133</v>
      </c>
      <c r="G184" t="s">
        <v>63</v>
      </c>
      <c r="H184" t="s">
        <v>32</v>
      </c>
      <c r="I184" t="s">
        <v>35</v>
      </c>
      <c r="J184">
        <v>18</v>
      </c>
      <c r="K184">
        <v>14</v>
      </c>
      <c r="L184">
        <v>13.7</v>
      </c>
      <c r="M184">
        <v>27.3</v>
      </c>
      <c r="N184" t="s">
        <v>1012</v>
      </c>
      <c r="Q184" t="s">
        <v>66</v>
      </c>
      <c r="R184" t="s">
        <v>1017</v>
      </c>
    </row>
    <row r="185" spans="1:20" x14ac:dyDescent="0.2">
      <c r="A185" s="3">
        <v>42587</v>
      </c>
      <c r="B185">
        <v>50705</v>
      </c>
      <c r="C185">
        <v>50704</v>
      </c>
      <c r="D185">
        <v>12.5</v>
      </c>
      <c r="E185" t="s">
        <v>123</v>
      </c>
      <c r="F185" s="9" t="s">
        <v>220</v>
      </c>
      <c r="G185" t="s">
        <v>39</v>
      </c>
      <c r="H185" t="s">
        <v>32</v>
      </c>
      <c r="I185" t="s">
        <v>35</v>
      </c>
      <c r="J185">
        <v>22</v>
      </c>
      <c r="K185">
        <v>16</v>
      </c>
      <c r="L185">
        <v>14.9</v>
      </c>
      <c r="M185">
        <v>30.7</v>
      </c>
      <c r="N185" t="s">
        <v>1013</v>
      </c>
      <c r="Q185" t="s">
        <v>66</v>
      </c>
      <c r="R185" t="s">
        <v>1017</v>
      </c>
    </row>
    <row r="186" spans="1:20" x14ac:dyDescent="0.2">
      <c r="A186" s="3">
        <v>42587</v>
      </c>
      <c r="B186">
        <v>2844</v>
      </c>
      <c r="C186">
        <v>2843</v>
      </c>
      <c r="D186">
        <v>17</v>
      </c>
      <c r="E186" t="s">
        <v>188</v>
      </c>
      <c r="F186" s="9" t="s">
        <v>1009</v>
      </c>
      <c r="G186" t="s">
        <v>63</v>
      </c>
      <c r="H186" t="s">
        <v>32</v>
      </c>
      <c r="I186" t="s">
        <v>35</v>
      </c>
      <c r="J186">
        <v>19</v>
      </c>
      <c r="K186">
        <v>15</v>
      </c>
      <c r="L186">
        <v>13.3</v>
      </c>
      <c r="M186">
        <v>26.7</v>
      </c>
      <c r="Q186" t="s">
        <v>66</v>
      </c>
    </row>
    <row r="187" spans="1:20" x14ac:dyDescent="0.2">
      <c r="A187" s="3">
        <v>42587</v>
      </c>
      <c r="B187">
        <v>50883</v>
      </c>
      <c r="C187">
        <v>50884</v>
      </c>
      <c r="D187">
        <v>12.5</v>
      </c>
      <c r="E187" t="s">
        <v>123</v>
      </c>
      <c r="F187" s="9" t="s">
        <v>1010</v>
      </c>
      <c r="G187" t="s">
        <v>31</v>
      </c>
      <c r="H187" t="s">
        <v>32</v>
      </c>
      <c r="I187" t="s">
        <v>30</v>
      </c>
      <c r="J187">
        <v>21</v>
      </c>
      <c r="K187">
        <v>14</v>
      </c>
      <c r="L187">
        <v>12.5</v>
      </c>
      <c r="M187">
        <v>26.5</v>
      </c>
      <c r="N187" t="s">
        <v>1014</v>
      </c>
      <c r="Q187" t="s">
        <v>66</v>
      </c>
      <c r="R187" t="s">
        <v>1017</v>
      </c>
    </row>
    <row r="188" spans="1:20" x14ac:dyDescent="0.2">
      <c r="A188" s="3">
        <v>42587</v>
      </c>
      <c r="B188">
        <v>2644</v>
      </c>
      <c r="C188">
        <v>2645</v>
      </c>
      <c r="F188" s="9" t="s">
        <v>1011</v>
      </c>
      <c r="H188" t="s">
        <v>32</v>
      </c>
      <c r="N188" t="s">
        <v>1015</v>
      </c>
      <c r="Q188" t="s">
        <v>66</v>
      </c>
      <c r="R188" t="s">
        <v>1017</v>
      </c>
    </row>
    <row r="189" spans="1:20" x14ac:dyDescent="0.2">
      <c r="A189" s="3">
        <v>42587</v>
      </c>
      <c r="B189">
        <v>2684</v>
      </c>
      <c r="C189">
        <v>2683</v>
      </c>
      <c r="D189">
        <v>14</v>
      </c>
      <c r="E189" t="s">
        <v>123</v>
      </c>
      <c r="F189" s="9" t="s">
        <v>527</v>
      </c>
      <c r="G189" t="s">
        <v>63</v>
      </c>
      <c r="H189" t="s">
        <v>32</v>
      </c>
      <c r="I189" t="s">
        <v>35</v>
      </c>
      <c r="J189">
        <v>19</v>
      </c>
      <c r="K189">
        <v>16</v>
      </c>
      <c r="L189">
        <v>13</v>
      </c>
      <c r="M189">
        <v>27</v>
      </c>
      <c r="N189" t="s">
        <v>1016</v>
      </c>
      <c r="Q189" t="s">
        <v>66</v>
      </c>
      <c r="R189" t="s">
        <v>1017</v>
      </c>
    </row>
    <row r="190" spans="1:20" x14ac:dyDescent="0.2">
      <c r="A190" s="3">
        <v>42587</v>
      </c>
      <c r="B190">
        <v>50604</v>
      </c>
      <c r="C190">
        <v>50605</v>
      </c>
      <c r="D190">
        <f>31-13</f>
        <v>18</v>
      </c>
      <c r="E190" t="s">
        <v>188</v>
      </c>
      <c r="F190" s="9" t="s">
        <v>163</v>
      </c>
      <c r="G190" t="s">
        <v>31</v>
      </c>
      <c r="H190" t="s">
        <v>32</v>
      </c>
      <c r="I190" t="s">
        <v>35</v>
      </c>
      <c r="Q190" t="s">
        <v>24</v>
      </c>
    </row>
    <row r="191" spans="1:20" x14ac:dyDescent="0.2">
      <c r="A191" s="3">
        <v>42587</v>
      </c>
      <c r="B191">
        <v>50724</v>
      </c>
      <c r="D191">
        <f>31-14.5</f>
        <v>16.5</v>
      </c>
      <c r="E191" t="s">
        <v>188</v>
      </c>
      <c r="F191" s="9" t="s">
        <v>572</v>
      </c>
      <c r="G191" t="s">
        <v>39</v>
      </c>
      <c r="H191" t="s">
        <v>32</v>
      </c>
      <c r="I191" t="s">
        <v>35</v>
      </c>
      <c r="Q191" t="s">
        <v>24</v>
      </c>
    </row>
    <row r="192" spans="1:20" x14ac:dyDescent="0.2">
      <c r="A192" s="3">
        <v>42587</v>
      </c>
      <c r="B192" s="17" t="s">
        <v>1087</v>
      </c>
      <c r="D192">
        <f>26.5-13.5</f>
        <v>13</v>
      </c>
      <c r="E192" t="s">
        <v>123</v>
      </c>
      <c r="F192" s="9" t="s">
        <v>510</v>
      </c>
      <c r="G192" t="s">
        <v>63</v>
      </c>
      <c r="H192" t="s">
        <v>32</v>
      </c>
      <c r="I192" t="s">
        <v>35</v>
      </c>
      <c r="J192">
        <v>18</v>
      </c>
      <c r="K192">
        <v>15</v>
      </c>
      <c r="L192">
        <v>12</v>
      </c>
      <c r="M192">
        <v>24.3</v>
      </c>
      <c r="Q192" t="s">
        <v>24</v>
      </c>
    </row>
    <row r="193" spans="1:17" x14ac:dyDescent="0.2">
      <c r="A193" s="3">
        <v>42587</v>
      </c>
      <c r="B193">
        <v>50378</v>
      </c>
      <c r="C193">
        <v>50377</v>
      </c>
      <c r="D193">
        <f>37.5-14</f>
        <v>23.5</v>
      </c>
      <c r="E193" t="s">
        <v>29</v>
      </c>
      <c r="F193" s="9" t="s">
        <v>356</v>
      </c>
      <c r="G193" t="s">
        <v>75</v>
      </c>
      <c r="H193" t="s">
        <v>32</v>
      </c>
      <c r="I193" t="s">
        <v>30</v>
      </c>
      <c r="N193" t="s">
        <v>1088</v>
      </c>
      <c r="O193" s="10">
        <v>0.28680555555555554</v>
      </c>
      <c r="Q193" t="s">
        <v>24</v>
      </c>
    </row>
    <row r="194" spans="1:17" x14ac:dyDescent="0.2">
      <c r="A194" s="3">
        <v>42587</v>
      </c>
      <c r="B194">
        <v>50678</v>
      </c>
      <c r="C194">
        <v>50693</v>
      </c>
      <c r="D194">
        <f>31-12.5</f>
        <v>18.5</v>
      </c>
      <c r="E194" t="s">
        <v>188</v>
      </c>
      <c r="F194" s="9" t="s">
        <v>1089</v>
      </c>
      <c r="G194" t="s">
        <v>31</v>
      </c>
      <c r="H194" t="s">
        <v>32</v>
      </c>
      <c r="I194" t="s">
        <v>30</v>
      </c>
      <c r="N194" t="s">
        <v>1090</v>
      </c>
      <c r="O194" s="10">
        <v>0.29375000000000001</v>
      </c>
      <c r="Q194" t="s">
        <v>24</v>
      </c>
    </row>
    <row r="195" spans="1:17" x14ac:dyDescent="0.2">
      <c r="A195" s="3">
        <v>42587</v>
      </c>
      <c r="B195">
        <v>50701</v>
      </c>
      <c r="C195">
        <v>50703</v>
      </c>
      <c r="D195">
        <f>28.5-9.5</f>
        <v>19</v>
      </c>
      <c r="E195" t="s">
        <v>29</v>
      </c>
      <c r="F195" s="9" t="s">
        <v>1091</v>
      </c>
      <c r="G195" t="s">
        <v>63</v>
      </c>
      <c r="H195" t="s">
        <v>32</v>
      </c>
      <c r="I195" t="s">
        <v>35</v>
      </c>
      <c r="J195">
        <v>20</v>
      </c>
      <c r="K195">
        <v>14</v>
      </c>
      <c r="L195">
        <v>12.4</v>
      </c>
      <c r="M195">
        <v>25.7</v>
      </c>
      <c r="Q195" t="s">
        <v>24</v>
      </c>
    </row>
    <row r="196" spans="1:17" x14ac:dyDescent="0.2">
      <c r="A196" s="3">
        <v>42587</v>
      </c>
      <c r="B196">
        <v>2788</v>
      </c>
      <c r="C196">
        <v>2787</v>
      </c>
      <c r="D196">
        <f>31-8</f>
        <v>23</v>
      </c>
      <c r="E196" t="s">
        <v>29</v>
      </c>
      <c r="F196" s="9" t="s">
        <v>111</v>
      </c>
      <c r="G196" t="s">
        <v>31</v>
      </c>
      <c r="H196" t="s">
        <v>32</v>
      </c>
      <c r="I196" t="s">
        <v>30</v>
      </c>
      <c r="J196">
        <v>20</v>
      </c>
      <c r="K196">
        <v>15</v>
      </c>
      <c r="L196">
        <v>12.8</v>
      </c>
      <c r="M196">
        <v>24.7</v>
      </c>
      <c r="N196" t="s">
        <v>1092</v>
      </c>
      <c r="O196" s="10">
        <v>0.31527777777777777</v>
      </c>
      <c r="Q196" t="s">
        <v>24</v>
      </c>
    </row>
    <row r="197" spans="1:17" x14ac:dyDescent="0.2">
      <c r="A197" s="3">
        <v>42587</v>
      </c>
      <c r="B197" s="17" t="s">
        <v>1096</v>
      </c>
      <c r="D197">
        <f>34-16</f>
        <v>18</v>
      </c>
      <c r="E197" t="s">
        <v>188</v>
      </c>
      <c r="F197" s="9" t="s">
        <v>108</v>
      </c>
      <c r="G197" t="s">
        <v>63</v>
      </c>
      <c r="H197" t="s">
        <v>32</v>
      </c>
      <c r="I197" t="s">
        <v>35</v>
      </c>
      <c r="J197">
        <v>18</v>
      </c>
      <c r="K197">
        <v>17</v>
      </c>
      <c r="L197">
        <v>12.8</v>
      </c>
      <c r="M197">
        <v>25.5</v>
      </c>
      <c r="N197" t="s">
        <v>1093</v>
      </c>
      <c r="O197" s="10">
        <v>0.32291666666666669</v>
      </c>
      <c r="Q197" t="s">
        <v>24</v>
      </c>
    </row>
    <row r="198" spans="1:17" x14ac:dyDescent="0.2">
      <c r="A198" s="3">
        <v>42587</v>
      </c>
      <c r="B198">
        <v>2849</v>
      </c>
      <c r="C198">
        <v>2850</v>
      </c>
      <c r="D198">
        <f>28-12</f>
        <v>16</v>
      </c>
      <c r="E198" t="s">
        <v>188</v>
      </c>
      <c r="F198" s="9" t="s">
        <v>575</v>
      </c>
      <c r="G198" t="s">
        <v>63</v>
      </c>
      <c r="H198" t="s">
        <v>32</v>
      </c>
      <c r="I198" t="s">
        <v>35</v>
      </c>
      <c r="N198" t="s">
        <v>1094</v>
      </c>
      <c r="O198" s="10">
        <v>0.33819444444444446</v>
      </c>
      <c r="Q198" t="s">
        <v>24</v>
      </c>
    </row>
    <row r="199" spans="1:17" x14ac:dyDescent="0.2">
      <c r="A199" s="3">
        <v>42587</v>
      </c>
      <c r="B199" s="17" t="s">
        <v>1097</v>
      </c>
      <c r="C199" s="17" t="s">
        <v>1098</v>
      </c>
      <c r="D199">
        <f>26.5-13</f>
        <v>13.5</v>
      </c>
      <c r="E199" t="s">
        <v>123</v>
      </c>
      <c r="F199" s="9" t="s">
        <v>164</v>
      </c>
      <c r="G199" t="s">
        <v>63</v>
      </c>
      <c r="H199" t="s">
        <v>32</v>
      </c>
      <c r="I199" t="s">
        <v>35</v>
      </c>
      <c r="J199">
        <v>18</v>
      </c>
      <c r="K199">
        <v>16</v>
      </c>
      <c r="L199">
        <v>12.5</v>
      </c>
      <c r="M199">
        <v>26</v>
      </c>
      <c r="N199" t="s">
        <v>1095</v>
      </c>
      <c r="Q199" t="s">
        <v>24</v>
      </c>
    </row>
    <row r="200" spans="1:17" x14ac:dyDescent="0.2">
      <c r="A200" s="3">
        <v>42587</v>
      </c>
      <c r="B200">
        <v>50909</v>
      </c>
      <c r="C200">
        <v>50908</v>
      </c>
      <c r="D200">
        <f>26-8</f>
        <v>18</v>
      </c>
      <c r="E200" t="s">
        <v>188</v>
      </c>
      <c r="F200" s="9" t="s">
        <v>1099</v>
      </c>
      <c r="G200" t="s">
        <v>31</v>
      </c>
      <c r="H200" t="s">
        <v>32</v>
      </c>
      <c r="I200" t="s">
        <v>30</v>
      </c>
      <c r="Q200" t="s">
        <v>24</v>
      </c>
    </row>
    <row r="201" spans="1:17" x14ac:dyDescent="0.2">
      <c r="A201" s="3">
        <v>42587</v>
      </c>
      <c r="B201" s="17" t="s">
        <v>1100</v>
      </c>
      <c r="C201" s="17" t="s">
        <v>1040</v>
      </c>
      <c r="D201">
        <f>25.5-12.5</f>
        <v>13</v>
      </c>
      <c r="E201" t="s">
        <v>123</v>
      </c>
      <c r="F201" s="9" t="s">
        <v>1101</v>
      </c>
      <c r="G201" t="s">
        <v>31</v>
      </c>
      <c r="H201" t="s">
        <v>32</v>
      </c>
      <c r="I201" t="s">
        <v>30</v>
      </c>
      <c r="J201">
        <v>19</v>
      </c>
      <c r="K201">
        <v>17</v>
      </c>
      <c r="L201">
        <v>12.4</v>
      </c>
      <c r="M201">
        <v>24.8</v>
      </c>
      <c r="N201" t="s">
        <v>1102</v>
      </c>
      <c r="O201" s="10">
        <v>0.37638888888888888</v>
      </c>
      <c r="Q201" t="s">
        <v>24</v>
      </c>
    </row>
    <row r="202" spans="1:17" x14ac:dyDescent="0.2">
      <c r="A202" s="3">
        <v>42587</v>
      </c>
      <c r="B202">
        <v>2735</v>
      </c>
      <c r="C202">
        <v>2734</v>
      </c>
      <c r="D202">
        <f>30-12.5</f>
        <v>17.5</v>
      </c>
      <c r="E202" t="s">
        <v>188</v>
      </c>
      <c r="F202" s="9" t="s">
        <v>221</v>
      </c>
      <c r="G202" t="s">
        <v>63</v>
      </c>
      <c r="H202" t="s">
        <v>32</v>
      </c>
      <c r="I202" t="s">
        <v>35</v>
      </c>
      <c r="Q202" t="s">
        <v>24</v>
      </c>
    </row>
    <row r="203" spans="1:17" x14ac:dyDescent="0.2">
      <c r="A203" s="3">
        <v>42587</v>
      </c>
      <c r="B203" s="17">
        <v>2746</v>
      </c>
      <c r="C203" s="17">
        <v>2745</v>
      </c>
      <c r="D203">
        <f>32-16</f>
        <v>16</v>
      </c>
      <c r="E203" t="s">
        <v>188</v>
      </c>
      <c r="F203" s="9" t="s">
        <v>1103</v>
      </c>
      <c r="G203" t="s">
        <v>39</v>
      </c>
      <c r="H203" t="s">
        <v>32</v>
      </c>
      <c r="I203" t="s">
        <v>35</v>
      </c>
      <c r="N203" t="s">
        <v>1104</v>
      </c>
      <c r="O203" s="10">
        <v>0.3888888888888889</v>
      </c>
      <c r="Q203" t="s">
        <v>24</v>
      </c>
    </row>
    <row r="204" spans="1:17" x14ac:dyDescent="0.2">
      <c r="A204" s="3">
        <v>42587</v>
      </c>
      <c r="B204">
        <v>2698</v>
      </c>
      <c r="C204">
        <v>2697</v>
      </c>
      <c r="F204" s="9" t="s">
        <v>1105</v>
      </c>
      <c r="G204" t="s">
        <v>75</v>
      </c>
      <c r="H204" t="s">
        <v>32</v>
      </c>
      <c r="I204" t="s">
        <v>30</v>
      </c>
      <c r="J204">
        <v>20</v>
      </c>
      <c r="K204">
        <v>14</v>
      </c>
      <c r="L204">
        <v>12.8</v>
      </c>
      <c r="M204">
        <v>28</v>
      </c>
      <c r="Q204" t="s">
        <v>24</v>
      </c>
    </row>
    <row r="205" spans="1:17" x14ac:dyDescent="0.2">
      <c r="A205" s="3">
        <v>42587</v>
      </c>
      <c r="B205" s="17">
        <v>50445</v>
      </c>
      <c r="C205" s="17">
        <v>50438</v>
      </c>
      <c r="D205">
        <f>31-14</f>
        <v>17</v>
      </c>
      <c r="E205" t="s">
        <v>188</v>
      </c>
      <c r="F205" s="9" t="s">
        <v>98</v>
      </c>
      <c r="G205" t="s">
        <v>63</v>
      </c>
      <c r="H205" t="s">
        <v>32</v>
      </c>
      <c r="I205" t="s">
        <v>35</v>
      </c>
      <c r="N205" t="s">
        <v>1106</v>
      </c>
      <c r="O205" s="10">
        <v>0.3972222222222222</v>
      </c>
    </row>
    <row r="206" spans="1:17" x14ac:dyDescent="0.2">
      <c r="A206" s="3">
        <v>42590</v>
      </c>
      <c r="B206">
        <v>50724</v>
      </c>
      <c r="D206">
        <f>29.5-12</f>
        <v>17.5</v>
      </c>
      <c r="E206" t="s">
        <v>188</v>
      </c>
      <c r="F206" s="9" t="s">
        <v>534</v>
      </c>
      <c r="G206" t="s">
        <v>63</v>
      </c>
      <c r="H206" t="s">
        <v>32</v>
      </c>
      <c r="I206" t="s">
        <v>35</v>
      </c>
      <c r="J206">
        <v>18</v>
      </c>
      <c r="K206">
        <v>15</v>
      </c>
      <c r="L206">
        <v>12.9</v>
      </c>
      <c r="M206">
        <v>27.6</v>
      </c>
      <c r="N206" t="s">
        <v>1020</v>
      </c>
      <c r="O206" s="10">
        <v>0.2638888888888889</v>
      </c>
      <c r="Q206" t="s">
        <v>64</v>
      </c>
    </row>
    <row r="207" spans="1:17" x14ac:dyDescent="0.2">
      <c r="A207" s="3">
        <v>42590</v>
      </c>
      <c r="B207">
        <v>17925</v>
      </c>
      <c r="C207">
        <v>17924</v>
      </c>
      <c r="D207">
        <f>37-16.5</f>
        <v>20.5</v>
      </c>
      <c r="E207" t="s">
        <v>29</v>
      </c>
      <c r="F207" s="9" t="s">
        <v>311</v>
      </c>
      <c r="G207" t="s">
        <v>75</v>
      </c>
      <c r="H207" t="s">
        <v>32</v>
      </c>
      <c r="I207" t="s">
        <v>30</v>
      </c>
      <c r="J207">
        <v>18.5</v>
      </c>
      <c r="K207">
        <v>17</v>
      </c>
      <c r="L207">
        <v>13.4</v>
      </c>
      <c r="M207">
        <v>27.8</v>
      </c>
      <c r="N207" t="s">
        <v>1021</v>
      </c>
      <c r="O207" s="10">
        <v>0.27083333333333331</v>
      </c>
      <c r="Q207" t="s">
        <v>64</v>
      </c>
    </row>
    <row r="208" spans="1:17" x14ac:dyDescent="0.2">
      <c r="A208" s="3">
        <v>42590</v>
      </c>
      <c r="B208">
        <v>50725</v>
      </c>
      <c r="D208">
        <f>30-13</f>
        <v>17</v>
      </c>
      <c r="E208" t="s">
        <v>188</v>
      </c>
      <c r="F208" s="9" t="s">
        <v>510</v>
      </c>
      <c r="G208" t="s">
        <v>63</v>
      </c>
      <c r="H208" t="s">
        <v>32</v>
      </c>
      <c r="I208" t="s">
        <v>35</v>
      </c>
      <c r="J208">
        <v>19</v>
      </c>
      <c r="K208">
        <v>15.5</v>
      </c>
      <c r="L208">
        <v>13.5</v>
      </c>
      <c r="M208">
        <v>26.9</v>
      </c>
      <c r="N208" t="s">
        <v>1022</v>
      </c>
      <c r="O208" s="10">
        <v>0.28472222222222221</v>
      </c>
      <c r="Q208" t="s">
        <v>64</v>
      </c>
    </row>
    <row r="209" spans="1:18" x14ac:dyDescent="0.2">
      <c r="A209" s="3">
        <v>42590</v>
      </c>
      <c r="B209">
        <v>50917</v>
      </c>
      <c r="C209">
        <v>50916</v>
      </c>
      <c r="D209">
        <f>38-15.5</f>
        <v>22.5</v>
      </c>
      <c r="E209" t="s">
        <v>29</v>
      </c>
      <c r="F209" s="9" t="s">
        <v>564</v>
      </c>
      <c r="G209" t="s">
        <v>39</v>
      </c>
      <c r="H209" t="s">
        <v>32</v>
      </c>
      <c r="I209" t="s">
        <v>35</v>
      </c>
      <c r="J209">
        <v>21</v>
      </c>
      <c r="K209">
        <v>16</v>
      </c>
      <c r="L209">
        <v>13.2</v>
      </c>
      <c r="M209">
        <v>28.7</v>
      </c>
      <c r="N209" t="s">
        <v>1023</v>
      </c>
      <c r="O209" s="10">
        <v>0.30902777777777779</v>
      </c>
      <c r="Q209" t="s">
        <v>64</v>
      </c>
    </row>
    <row r="210" spans="1:18" x14ac:dyDescent="0.2">
      <c r="A210" s="3">
        <v>42590</v>
      </c>
      <c r="B210">
        <v>50701</v>
      </c>
      <c r="C210">
        <v>50703</v>
      </c>
      <c r="F210" s="9" t="s">
        <v>203</v>
      </c>
      <c r="G210" t="s">
        <v>63</v>
      </c>
      <c r="H210" t="s">
        <v>32</v>
      </c>
      <c r="I210" t="s">
        <v>35</v>
      </c>
      <c r="J210">
        <v>20</v>
      </c>
      <c r="K210">
        <v>16</v>
      </c>
      <c r="L210">
        <v>12.9</v>
      </c>
      <c r="M210">
        <v>26.2</v>
      </c>
      <c r="N210" t="s">
        <v>1024</v>
      </c>
      <c r="O210" s="10">
        <v>0.3125</v>
      </c>
      <c r="Q210" t="s">
        <v>64</v>
      </c>
    </row>
    <row r="211" spans="1:18" x14ac:dyDescent="0.2">
      <c r="A211" s="3">
        <v>42590</v>
      </c>
      <c r="B211">
        <v>50879</v>
      </c>
      <c r="C211">
        <v>50878</v>
      </c>
      <c r="D211">
        <f>27-13.5</f>
        <v>13.5</v>
      </c>
      <c r="E211" t="s">
        <v>123</v>
      </c>
      <c r="F211" s="9" t="s">
        <v>1025</v>
      </c>
      <c r="G211" t="s">
        <v>63</v>
      </c>
      <c r="H211" t="s">
        <v>32</v>
      </c>
      <c r="I211" t="s">
        <v>35</v>
      </c>
      <c r="J211">
        <v>19</v>
      </c>
      <c r="K211">
        <v>16</v>
      </c>
      <c r="L211">
        <v>13.1</v>
      </c>
      <c r="M211">
        <v>26.3</v>
      </c>
      <c r="N211" t="s">
        <v>1026</v>
      </c>
      <c r="O211" s="10">
        <v>0.32291666666666669</v>
      </c>
      <c r="Q211" t="s">
        <v>64</v>
      </c>
    </row>
    <row r="212" spans="1:18" x14ac:dyDescent="0.2">
      <c r="A212" s="3">
        <v>42590</v>
      </c>
      <c r="B212">
        <v>50705</v>
      </c>
      <c r="C212">
        <v>50704</v>
      </c>
      <c r="D212">
        <f>34-13</f>
        <v>21</v>
      </c>
      <c r="E212" t="s">
        <v>29</v>
      </c>
      <c r="F212" s="9" t="s">
        <v>236</v>
      </c>
      <c r="G212" t="s">
        <v>39</v>
      </c>
      <c r="H212" t="s">
        <v>32</v>
      </c>
      <c r="I212" t="s">
        <v>35</v>
      </c>
      <c r="J212">
        <v>20</v>
      </c>
      <c r="K212">
        <v>16</v>
      </c>
      <c r="L212">
        <v>13.4</v>
      </c>
      <c r="M212">
        <v>29.4</v>
      </c>
      <c r="N212" t="s">
        <v>1027</v>
      </c>
      <c r="O212" s="10">
        <v>0.33680555555555558</v>
      </c>
      <c r="Q212" t="s">
        <v>64</v>
      </c>
    </row>
    <row r="213" spans="1:18" x14ac:dyDescent="0.2">
      <c r="A213" s="3">
        <v>42590</v>
      </c>
      <c r="B213">
        <v>2734</v>
      </c>
      <c r="C213">
        <v>2735</v>
      </c>
      <c r="D213">
        <f>28-12</f>
        <v>16</v>
      </c>
      <c r="E213" t="s">
        <v>188</v>
      </c>
      <c r="F213" s="9" t="s">
        <v>1028</v>
      </c>
      <c r="G213" t="s">
        <v>63</v>
      </c>
      <c r="H213" t="s">
        <v>32</v>
      </c>
      <c r="I213" t="s">
        <v>35</v>
      </c>
      <c r="J213">
        <v>19</v>
      </c>
      <c r="K213">
        <v>16</v>
      </c>
      <c r="L213">
        <v>13.3</v>
      </c>
      <c r="M213">
        <v>28</v>
      </c>
      <c r="N213" t="s">
        <v>1029</v>
      </c>
      <c r="O213" s="10">
        <v>0.3611111111111111</v>
      </c>
      <c r="Q213" t="s">
        <v>64</v>
      </c>
    </row>
    <row r="214" spans="1:18" x14ac:dyDescent="0.2">
      <c r="A214" s="3">
        <v>42590</v>
      </c>
      <c r="B214">
        <v>2849</v>
      </c>
      <c r="C214">
        <v>2850</v>
      </c>
      <c r="D214">
        <f>28-13.55</f>
        <v>14.45</v>
      </c>
      <c r="E214" t="s">
        <v>123</v>
      </c>
      <c r="F214" s="9" t="s">
        <v>1030</v>
      </c>
      <c r="G214" t="s">
        <v>63</v>
      </c>
      <c r="H214" t="s">
        <v>32</v>
      </c>
      <c r="I214" t="s">
        <v>35</v>
      </c>
      <c r="J214">
        <v>19</v>
      </c>
      <c r="K214">
        <v>14</v>
      </c>
      <c r="L214">
        <v>12.9</v>
      </c>
      <c r="M214">
        <v>26.8</v>
      </c>
      <c r="N214" t="s">
        <v>1031</v>
      </c>
      <c r="O214" s="10">
        <v>0.41666666666666669</v>
      </c>
      <c r="Q214" t="s">
        <v>64</v>
      </c>
    </row>
    <row r="215" spans="1:18" x14ac:dyDescent="0.2">
      <c r="A215" s="3">
        <v>42590</v>
      </c>
      <c r="B215">
        <v>50885</v>
      </c>
      <c r="C215">
        <v>50884</v>
      </c>
      <c r="D215">
        <f>26-12</f>
        <v>14</v>
      </c>
      <c r="E215" t="s">
        <v>123</v>
      </c>
      <c r="F215" s="9" t="s">
        <v>293</v>
      </c>
      <c r="G215" t="s">
        <v>63</v>
      </c>
      <c r="H215" t="s">
        <v>32</v>
      </c>
      <c r="I215" t="s">
        <v>35</v>
      </c>
      <c r="J215">
        <v>19.5</v>
      </c>
      <c r="K215">
        <v>14</v>
      </c>
      <c r="L215">
        <v>13</v>
      </c>
      <c r="M215">
        <v>27.7</v>
      </c>
      <c r="N215" t="s">
        <v>1032</v>
      </c>
      <c r="O215" s="10">
        <v>0.43124999999999997</v>
      </c>
      <c r="Q215" t="s">
        <v>64</v>
      </c>
      <c r="R215" t="s">
        <v>1033</v>
      </c>
    </row>
    <row r="216" spans="1:18" x14ac:dyDescent="0.2">
      <c r="A216" s="3">
        <v>42590</v>
      </c>
      <c r="B216">
        <v>50883</v>
      </c>
      <c r="C216">
        <v>50882</v>
      </c>
      <c r="D216">
        <f>25.5-12</f>
        <v>13.5</v>
      </c>
      <c r="E216" t="s">
        <v>123</v>
      </c>
      <c r="F216" s="9" t="s">
        <v>293</v>
      </c>
      <c r="G216" t="s">
        <v>31</v>
      </c>
      <c r="H216" t="s">
        <v>32</v>
      </c>
      <c r="I216" t="s">
        <v>30</v>
      </c>
      <c r="J216">
        <v>20</v>
      </c>
      <c r="K216">
        <v>16</v>
      </c>
      <c r="L216">
        <v>12.7</v>
      </c>
      <c r="M216">
        <v>27.5</v>
      </c>
      <c r="N216" t="s">
        <v>1038</v>
      </c>
      <c r="O216" s="10">
        <v>0.43888888888888888</v>
      </c>
      <c r="Q216" t="s">
        <v>64</v>
      </c>
      <c r="R216" t="s">
        <v>1033</v>
      </c>
    </row>
    <row r="217" spans="1:18" x14ac:dyDescent="0.2">
      <c r="A217" s="3">
        <v>42590</v>
      </c>
      <c r="B217">
        <v>50881</v>
      </c>
      <c r="C217">
        <v>50880</v>
      </c>
      <c r="D217">
        <f>27-13</f>
        <v>14</v>
      </c>
      <c r="E217" t="s">
        <v>123</v>
      </c>
      <c r="F217" s="9" t="s">
        <v>293</v>
      </c>
      <c r="G217" t="s">
        <v>31</v>
      </c>
      <c r="H217" t="s">
        <v>32</v>
      </c>
      <c r="I217" t="s">
        <v>30</v>
      </c>
      <c r="J217">
        <v>20</v>
      </c>
      <c r="K217">
        <v>14</v>
      </c>
      <c r="L217">
        <v>12.9</v>
      </c>
      <c r="M217">
        <v>26.8</v>
      </c>
      <c r="N217" t="s">
        <v>1034</v>
      </c>
      <c r="O217" s="10">
        <v>0.44722222222222219</v>
      </c>
      <c r="Q217" t="s">
        <v>64</v>
      </c>
      <c r="R217" t="s">
        <v>1033</v>
      </c>
    </row>
    <row r="218" spans="1:18" x14ac:dyDescent="0.2">
      <c r="A218" s="3">
        <v>42590</v>
      </c>
      <c r="B218">
        <v>2789</v>
      </c>
      <c r="D218">
        <v>16</v>
      </c>
      <c r="E218" t="s">
        <v>188</v>
      </c>
      <c r="F218" s="9" t="s">
        <v>194</v>
      </c>
      <c r="G218" t="s">
        <v>63</v>
      </c>
      <c r="H218" t="s">
        <v>32</v>
      </c>
      <c r="I218" t="s">
        <v>35</v>
      </c>
      <c r="J218">
        <v>20</v>
      </c>
      <c r="K218">
        <v>12</v>
      </c>
      <c r="L218">
        <v>12.3</v>
      </c>
      <c r="M218">
        <v>29</v>
      </c>
    </row>
    <row r="219" spans="1:18" x14ac:dyDescent="0.2">
      <c r="A219" s="3">
        <v>42590</v>
      </c>
      <c r="B219">
        <v>18000</v>
      </c>
      <c r="C219">
        <v>17999</v>
      </c>
      <c r="D219">
        <f>25.5-12.5</f>
        <v>13</v>
      </c>
      <c r="E219" t="s">
        <v>123</v>
      </c>
      <c r="F219" s="9" t="s">
        <v>570</v>
      </c>
      <c r="G219" t="s">
        <v>63</v>
      </c>
      <c r="H219" t="s">
        <v>145</v>
      </c>
      <c r="I219" t="s">
        <v>35</v>
      </c>
      <c r="J219">
        <v>18</v>
      </c>
      <c r="K219">
        <v>16</v>
      </c>
      <c r="L219">
        <v>12.2</v>
      </c>
      <c r="M219">
        <v>27.9</v>
      </c>
      <c r="N219" t="s">
        <v>1107</v>
      </c>
      <c r="O219" s="10">
        <v>0.27083333333333331</v>
      </c>
      <c r="Q219" t="s">
        <v>24</v>
      </c>
      <c r="R219" t="s">
        <v>1108</v>
      </c>
    </row>
    <row r="220" spans="1:18" x14ac:dyDescent="0.2">
      <c r="A220" s="3">
        <v>42590</v>
      </c>
      <c r="B220">
        <v>4179</v>
      </c>
      <c r="D220">
        <f>27-12.5</f>
        <v>14.5</v>
      </c>
      <c r="E220" t="s">
        <v>123</v>
      </c>
      <c r="F220" s="9" t="s">
        <v>1109</v>
      </c>
      <c r="G220" t="s">
        <v>63</v>
      </c>
      <c r="H220" t="s">
        <v>32</v>
      </c>
      <c r="I220" t="s">
        <v>35</v>
      </c>
      <c r="J220">
        <v>19</v>
      </c>
      <c r="K220">
        <v>15.5</v>
      </c>
      <c r="L220">
        <v>12</v>
      </c>
      <c r="M220">
        <v>25.8</v>
      </c>
      <c r="N220" t="s">
        <v>1110</v>
      </c>
      <c r="O220" s="10">
        <v>0.28819444444444448</v>
      </c>
      <c r="Q220" t="s">
        <v>24</v>
      </c>
    </row>
    <row r="221" spans="1:18" x14ac:dyDescent="0.2">
      <c r="A221" s="3">
        <v>42590</v>
      </c>
      <c r="B221">
        <v>50378</v>
      </c>
      <c r="C221">
        <v>50377</v>
      </c>
      <c r="D221">
        <f>40-16</f>
        <v>24</v>
      </c>
      <c r="E221" t="s">
        <v>29</v>
      </c>
      <c r="F221" s="9" t="s">
        <v>356</v>
      </c>
      <c r="G221" t="s">
        <v>94</v>
      </c>
      <c r="H221" t="s">
        <v>32</v>
      </c>
      <c r="I221" t="s">
        <v>30</v>
      </c>
      <c r="J221">
        <v>20</v>
      </c>
      <c r="K221">
        <v>17</v>
      </c>
      <c r="L221">
        <v>13.6</v>
      </c>
      <c r="M221">
        <v>28</v>
      </c>
      <c r="N221" t="s">
        <v>1111</v>
      </c>
      <c r="O221" s="10">
        <v>0.2986111111111111</v>
      </c>
      <c r="Q221" t="s">
        <v>24</v>
      </c>
    </row>
    <row r="222" spans="1:18" x14ac:dyDescent="0.2">
      <c r="A222" s="3">
        <v>42590</v>
      </c>
      <c r="B222">
        <v>50423</v>
      </c>
      <c r="C222">
        <v>50422</v>
      </c>
      <c r="D222">
        <f>36-13</f>
        <v>23</v>
      </c>
      <c r="E222" t="s">
        <v>29</v>
      </c>
      <c r="F222" s="9" t="s">
        <v>1112</v>
      </c>
      <c r="G222" t="s">
        <v>94</v>
      </c>
      <c r="H222" t="s">
        <v>32</v>
      </c>
      <c r="I222" t="s">
        <v>30</v>
      </c>
      <c r="J222">
        <v>18</v>
      </c>
      <c r="K222">
        <v>16</v>
      </c>
      <c r="L222">
        <v>13</v>
      </c>
      <c r="M222">
        <v>25.3</v>
      </c>
      <c r="Q222" t="s">
        <v>24</v>
      </c>
    </row>
    <row r="223" spans="1:18" x14ac:dyDescent="0.2">
      <c r="A223" s="3">
        <v>42590</v>
      </c>
      <c r="B223">
        <v>50339</v>
      </c>
      <c r="C223">
        <v>50338</v>
      </c>
      <c r="D223">
        <f>26-14</f>
        <v>12</v>
      </c>
      <c r="E223" t="s">
        <v>123</v>
      </c>
      <c r="F223" s="9" t="s">
        <v>263</v>
      </c>
      <c r="G223" t="s">
        <v>31</v>
      </c>
      <c r="H223" t="s">
        <v>32</v>
      </c>
      <c r="I223" t="s">
        <v>30</v>
      </c>
      <c r="J223">
        <v>19</v>
      </c>
      <c r="K223">
        <v>16</v>
      </c>
      <c r="L223">
        <v>12.4</v>
      </c>
      <c r="M223">
        <v>26.8</v>
      </c>
      <c r="N223" t="s">
        <v>1113</v>
      </c>
      <c r="O223" s="10">
        <v>0.34583333333333338</v>
      </c>
      <c r="Q223" t="s">
        <v>24</v>
      </c>
    </row>
    <row r="224" spans="1:18" x14ac:dyDescent="0.2">
      <c r="A224" s="3">
        <v>42590</v>
      </c>
      <c r="B224">
        <v>2745</v>
      </c>
      <c r="C224">
        <v>2746</v>
      </c>
      <c r="D224">
        <f>29.5-13</f>
        <v>16.5</v>
      </c>
      <c r="E224" t="s">
        <v>188</v>
      </c>
      <c r="F224" s="9" t="s">
        <v>221</v>
      </c>
      <c r="G224" t="s">
        <v>63</v>
      </c>
      <c r="H224" t="s">
        <v>32</v>
      </c>
      <c r="I224" t="s">
        <v>35</v>
      </c>
      <c r="J224">
        <v>19</v>
      </c>
      <c r="K224">
        <v>16</v>
      </c>
      <c r="L224">
        <v>13</v>
      </c>
      <c r="M224">
        <v>26.7</v>
      </c>
      <c r="N224" t="s">
        <v>1114</v>
      </c>
      <c r="Q224" t="s">
        <v>24</v>
      </c>
    </row>
    <row r="225" spans="1:18" x14ac:dyDescent="0.2">
      <c r="A225" s="3">
        <v>42590</v>
      </c>
      <c r="B225">
        <v>50915</v>
      </c>
      <c r="C225">
        <v>50914</v>
      </c>
      <c r="D225">
        <f>24-13.5</f>
        <v>10.5</v>
      </c>
      <c r="E225" t="s">
        <v>123</v>
      </c>
      <c r="F225" s="9" t="s">
        <v>98</v>
      </c>
      <c r="G225" t="s">
        <v>63</v>
      </c>
      <c r="H225" t="s">
        <v>32</v>
      </c>
      <c r="I225" t="s">
        <v>35</v>
      </c>
      <c r="J225">
        <v>20</v>
      </c>
      <c r="K225">
        <v>14</v>
      </c>
      <c r="L225">
        <v>12.8</v>
      </c>
      <c r="M225">
        <v>25.7</v>
      </c>
      <c r="N225" t="s">
        <v>1115</v>
      </c>
      <c r="O225" s="10">
        <v>0.38194444444444442</v>
      </c>
      <c r="Q225" t="s">
        <v>24</v>
      </c>
    </row>
    <row r="226" spans="1:18" x14ac:dyDescent="0.2">
      <c r="A226" s="3">
        <v>42590</v>
      </c>
      <c r="B226">
        <v>50909</v>
      </c>
      <c r="C226">
        <v>50908</v>
      </c>
      <c r="D226">
        <f>25-13.5</f>
        <v>11.5</v>
      </c>
      <c r="E226" t="s">
        <v>123</v>
      </c>
      <c r="F226" s="9" t="s">
        <v>98</v>
      </c>
      <c r="G226" t="s">
        <v>31</v>
      </c>
      <c r="H226" t="s">
        <v>32</v>
      </c>
      <c r="I226" t="s">
        <v>30</v>
      </c>
      <c r="J226">
        <v>18.5</v>
      </c>
      <c r="K226">
        <v>15</v>
      </c>
      <c r="L226">
        <v>12.5</v>
      </c>
      <c r="M226">
        <v>25.9</v>
      </c>
      <c r="N226" t="s">
        <v>1116</v>
      </c>
      <c r="O226" s="10">
        <v>0.39097222222222222</v>
      </c>
      <c r="Q226" t="s">
        <v>24</v>
      </c>
    </row>
    <row r="227" spans="1:18" x14ac:dyDescent="0.2">
      <c r="A227" s="3">
        <v>42590</v>
      </c>
      <c r="B227">
        <v>2698</v>
      </c>
      <c r="C227">
        <v>2697</v>
      </c>
      <c r="D227">
        <f>32.5-12.5</f>
        <v>20</v>
      </c>
      <c r="E227" t="s">
        <v>29</v>
      </c>
      <c r="F227" s="9" t="s">
        <v>1117</v>
      </c>
      <c r="G227" t="s">
        <v>75</v>
      </c>
      <c r="H227" t="s">
        <v>32</v>
      </c>
      <c r="I227" t="s">
        <v>30</v>
      </c>
      <c r="J227">
        <v>19</v>
      </c>
      <c r="K227">
        <v>17</v>
      </c>
      <c r="L227">
        <v>13.2</v>
      </c>
      <c r="M227">
        <v>26</v>
      </c>
      <c r="N227" t="s">
        <v>1118</v>
      </c>
      <c r="O227" s="10">
        <v>0.40208333333333335</v>
      </c>
      <c r="Q227" t="s">
        <v>24</v>
      </c>
    </row>
    <row r="228" spans="1:18" x14ac:dyDescent="0.2">
      <c r="A228" s="3">
        <v>42593</v>
      </c>
      <c r="B228">
        <v>17929</v>
      </c>
      <c r="C228">
        <v>17928</v>
      </c>
      <c r="D228">
        <v>9</v>
      </c>
      <c r="E228" t="s">
        <v>123</v>
      </c>
      <c r="F228" s="9" t="s">
        <v>564</v>
      </c>
      <c r="G228" t="s">
        <v>63</v>
      </c>
      <c r="H228" t="s">
        <v>32</v>
      </c>
      <c r="I228" t="s">
        <v>35</v>
      </c>
      <c r="J228">
        <v>19.5</v>
      </c>
      <c r="K228">
        <v>13</v>
      </c>
      <c r="L228">
        <v>12.2</v>
      </c>
      <c r="M228">
        <v>24.5</v>
      </c>
      <c r="N228" t="s">
        <v>1296</v>
      </c>
      <c r="O228" s="10">
        <v>4.6527777777777779E-2</v>
      </c>
      <c r="P228">
        <v>21</v>
      </c>
      <c r="Q228" t="s">
        <v>24</v>
      </c>
    </row>
    <row r="229" spans="1:18" x14ac:dyDescent="0.2">
      <c r="A229" s="3">
        <v>42593</v>
      </c>
      <c r="B229">
        <v>17931</v>
      </c>
      <c r="C229">
        <v>17930</v>
      </c>
      <c r="D229">
        <v>10.5</v>
      </c>
      <c r="E229" t="s">
        <v>123</v>
      </c>
      <c r="F229" s="9" t="s">
        <v>564</v>
      </c>
      <c r="G229" t="s">
        <v>31</v>
      </c>
      <c r="I229" t="s">
        <v>30</v>
      </c>
      <c r="J229">
        <v>18</v>
      </c>
      <c r="K229">
        <v>15</v>
      </c>
      <c r="L229">
        <v>12.2</v>
      </c>
      <c r="M229">
        <v>24.6</v>
      </c>
      <c r="N229" t="s">
        <v>1297</v>
      </c>
      <c r="O229" s="10">
        <v>5.5555555555555552E-2</v>
      </c>
      <c r="P229">
        <v>21</v>
      </c>
      <c r="Q229" t="s">
        <v>24</v>
      </c>
    </row>
    <row r="230" spans="1:18" x14ac:dyDescent="0.2">
      <c r="A230" s="3">
        <v>42593</v>
      </c>
      <c r="B230">
        <v>17937</v>
      </c>
      <c r="C230">
        <v>17936</v>
      </c>
      <c r="D230">
        <v>10</v>
      </c>
      <c r="E230" t="s">
        <v>123</v>
      </c>
      <c r="F230" s="9" t="s">
        <v>564</v>
      </c>
      <c r="G230" t="s">
        <v>63</v>
      </c>
      <c r="I230" t="s">
        <v>35</v>
      </c>
      <c r="J230">
        <v>18</v>
      </c>
      <c r="K230">
        <v>14</v>
      </c>
      <c r="L230">
        <v>12.2</v>
      </c>
      <c r="M230">
        <v>24.6</v>
      </c>
      <c r="N230" t="s">
        <v>1298</v>
      </c>
      <c r="O230" s="10">
        <v>7.6388888888888895E-2</v>
      </c>
      <c r="P230">
        <v>21</v>
      </c>
      <c r="Q230" t="s">
        <v>24</v>
      </c>
    </row>
    <row r="231" spans="1:18" x14ac:dyDescent="0.2">
      <c r="A231" s="3">
        <v>42593</v>
      </c>
      <c r="B231">
        <v>17935</v>
      </c>
      <c r="C231">
        <v>17934</v>
      </c>
      <c r="D231">
        <v>9</v>
      </c>
      <c r="E231" t="s">
        <v>123</v>
      </c>
      <c r="F231" s="9" t="s">
        <v>564</v>
      </c>
      <c r="G231" t="s">
        <v>31</v>
      </c>
      <c r="I231" t="s">
        <v>30</v>
      </c>
      <c r="J231">
        <v>18</v>
      </c>
      <c r="K231">
        <v>13</v>
      </c>
      <c r="L231">
        <v>12.2</v>
      </c>
      <c r="M231">
        <v>24.3</v>
      </c>
      <c r="N231" t="s">
        <v>1299</v>
      </c>
      <c r="O231" s="10">
        <v>7.013888888888889E-2</v>
      </c>
      <c r="P231">
        <v>21</v>
      </c>
      <c r="Q231" t="s">
        <v>24</v>
      </c>
    </row>
    <row r="232" spans="1:18" x14ac:dyDescent="0.2">
      <c r="A232" s="3">
        <v>42593</v>
      </c>
      <c r="B232">
        <v>17933</v>
      </c>
      <c r="C232">
        <v>17932</v>
      </c>
      <c r="D232">
        <v>10</v>
      </c>
      <c r="E232" t="s">
        <v>123</v>
      </c>
      <c r="F232" s="9" t="s">
        <v>564</v>
      </c>
      <c r="G232" t="s">
        <v>63</v>
      </c>
      <c r="I232" t="s">
        <v>35</v>
      </c>
      <c r="J232">
        <v>18</v>
      </c>
      <c r="K232">
        <v>14</v>
      </c>
      <c r="L232">
        <v>12.3</v>
      </c>
      <c r="M232">
        <v>24.6</v>
      </c>
      <c r="N232" t="s">
        <v>1300</v>
      </c>
      <c r="O232" s="10">
        <v>6.3194444444444442E-2</v>
      </c>
      <c r="P232">
        <v>21</v>
      </c>
      <c r="Q232" t="s">
        <v>24</v>
      </c>
    </row>
    <row r="233" spans="1:18" x14ac:dyDescent="0.2">
      <c r="A233" s="3">
        <v>42594</v>
      </c>
      <c r="B233">
        <v>50724</v>
      </c>
      <c r="D233">
        <f>37-18</f>
        <v>19</v>
      </c>
      <c r="E233" t="s">
        <v>29</v>
      </c>
      <c r="F233" s="9" t="s">
        <v>534</v>
      </c>
      <c r="G233" t="s">
        <v>39</v>
      </c>
      <c r="H233" t="s">
        <v>32</v>
      </c>
      <c r="I233" t="s">
        <v>35</v>
      </c>
      <c r="Q233" t="s">
        <v>24</v>
      </c>
    </row>
    <row r="234" spans="1:18" x14ac:dyDescent="0.2">
      <c r="A234" s="3">
        <v>42594</v>
      </c>
      <c r="B234">
        <v>50725</v>
      </c>
      <c r="D234">
        <f>36.5-16</f>
        <v>20.5</v>
      </c>
      <c r="E234" t="s">
        <v>29</v>
      </c>
      <c r="F234" s="9" t="s">
        <v>570</v>
      </c>
      <c r="G234" t="s">
        <v>63</v>
      </c>
      <c r="H234" t="s">
        <v>32</v>
      </c>
      <c r="I234" t="s">
        <v>35</v>
      </c>
      <c r="N234" t="s">
        <v>1288</v>
      </c>
      <c r="O234" s="10">
        <v>0.27083333333333331</v>
      </c>
      <c r="Q234" t="s">
        <v>24</v>
      </c>
    </row>
    <row r="235" spans="1:18" x14ac:dyDescent="0.2">
      <c r="A235" s="3">
        <v>42594</v>
      </c>
      <c r="B235">
        <v>17596</v>
      </c>
      <c r="C235">
        <v>17960</v>
      </c>
      <c r="D235">
        <f>27-15</f>
        <v>12</v>
      </c>
      <c r="E235" t="s">
        <v>123</v>
      </c>
      <c r="F235" s="9" t="s">
        <v>572</v>
      </c>
      <c r="G235" t="s">
        <v>63</v>
      </c>
      <c r="H235" t="s">
        <v>32</v>
      </c>
      <c r="I235" t="s">
        <v>35</v>
      </c>
      <c r="J235">
        <v>19</v>
      </c>
      <c r="K235">
        <v>15</v>
      </c>
      <c r="L235">
        <v>12.2</v>
      </c>
      <c r="M235">
        <v>25.8</v>
      </c>
      <c r="N235" t="s">
        <v>1290</v>
      </c>
      <c r="O235" s="10">
        <v>0.28472222222222221</v>
      </c>
      <c r="Q235" t="s">
        <v>24</v>
      </c>
    </row>
    <row r="236" spans="1:18" x14ac:dyDescent="0.2">
      <c r="A236" s="3">
        <v>42594</v>
      </c>
      <c r="B236" s="17" t="s">
        <v>1087</v>
      </c>
      <c r="D236">
        <f>29-14.5</f>
        <v>14.5</v>
      </c>
      <c r="E236" t="s">
        <v>123</v>
      </c>
      <c r="F236" s="9" t="s">
        <v>1109</v>
      </c>
      <c r="G236" t="s">
        <v>63</v>
      </c>
      <c r="H236" t="s">
        <v>32</v>
      </c>
      <c r="I236" t="s">
        <v>35</v>
      </c>
      <c r="J236">
        <v>20</v>
      </c>
      <c r="K236">
        <v>17.5</v>
      </c>
      <c r="L236">
        <v>12</v>
      </c>
      <c r="M236">
        <v>24</v>
      </c>
      <c r="N236" t="s">
        <v>1289</v>
      </c>
      <c r="O236" s="10">
        <v>0.30138888888888887</v>
      </c>
      <c r="Q236" t="s">
        <v>24</v>
      </c>
    </row>
    <row r="237" spans="1:18" x14ac:dyDescent="0.2">
      <c r="A237" s="3">
        <v>42594</v>
      </c>
      <c r="B237">
        <v>50678</v>
      </c>
      <c r="C237">
        <v>50693</v>
      </c>
      <c r="D237">
        <f>30.5-14</f>
        <v>16.5</v>
      </c>
      <c r="E237" t="s">
        <v>188</v>
      </c>
      <c r="F237" s="9" t="s">
        <v>510</v>
      </c>
      <c r="G237" t="s">
        <v>31</v>
      </c>
      <c r="H237" t="s">
        <v>32</v>
      </c>
      <c r="I237" t="s">
        <v>30</v>
      </c>
      <c r="Q237" t="s">
        <v>24</v>
      </c>
      <c r="R237" t="s">
        <v>1292</v>
      </c>
    </row>
    <row r="238" spans="1:18" x14ac:dyDescent="0.2">
      <c r="A238" s="3">
        <v>42594</v>
      </c>
      <c r="B238">
        <v>2800</v>
      </c>
      <c r="C238">
        <v>2786</v>
      </c>
      <c r="D238">
        <f>35.5-14</f>
        <v>21.5</v>
      </c>
      <c r="E238" t="s">
        <v>29</v>
      </c>
      <c r="F238" s="9" t="s">
        <v>1291</v>
      </c>
      <c r="G238" t="s">
        <v>94</v>
      </c>
      <c r="H238" t="s">
        <v>32</v>
      </c>
      <c r="I238" t="s">
        <v>30</v>
      </c>
      <c r="Q238" t="s">
        <v>24</v>
      </c>
      <c r="R238" t="s">
        <v>1292</v>
      </c>
    </row>
    <row r="239" spans="1:18" x14ac:dyDescent="0.2">
      <c r="A239" s="3">
        <v>42594</v>
      </c>
      <c r="B239">
        <v>2788</v>
      </c>
      <c r="C239">
        <v>2787</v>
      </c>
      <c r="D239">
        <f>39-21</f>
        <v>18</v>
      </c>
      <c r="E239" t="s">
        <v>188</v>
      </c>
      <c r="F239" s="9" t="s">
        <v>744</v>
      </c>
      <c r="G239" t="s">
        <v>31</v>
      </c>
      <c r="H239" t="s">
        <v>32</v>
      </c>
      <c r="I239" t="s">
        <v>30</v>
      </c>
      <c r="Q239" t="s">
        <v>24</v>
      </c>
      <c r="R239" t="s">
        <v>1292</v>
      </c>
    </row>
    <row r="240" spans="1:18" x14ac:dyDescent="0.2">
      <c r="A240" s="3">
        <v>42594</v>
      </c>
      <c r="B240">
        <v>50723</v>
      </c>
      <c r="C240">
        <v>50722</v>
      </c>
      <c r="D240">
        <f>45-21</f>
        <v>24</v>
      </c>
      <c r="E240" t="s">
        <v>29</v>
      </c>
      <c r="F240" s="9" t="s">
        <v>564</v>
      </c>
      <c r="G240" t="s">
        <v>75</v>
      </c>
      <c r="H240" t="s">
        <v>32</v>
      </c>
      <c r="I240" t="s">
        <v>30</v>
      </c>
      <c r="Q240" t="s">
        <v>24</v>
      </c>
      <c r="R240" t="s">
        <v>1293</v>
      </c>
    </row>
    <row r="241" spans="1:24" x14ac:dyDescent="0.2">
      <c r="A241" s="3">
        <v>42594</v>
      </c>
      <c r="B241">
        <v>2644</v>
      </c>
      <c r="C241">
        <v>2643</v>
      </c>
      <c r="D241">
        <f>36-17</f>
        <v>19</v>
      </c>
      <c r="E241" t="s">
        <v>29</v>
      </c>
      <c r="F241" s="9" t="s">
        <v>1294</v>
      </c>
      <c r="G241" t="s">
        <v>63</v>
      </c>
      <c r="H241" t="s">
        <v>32</v>
      </c>
      <c r="I241" t="s">
        <v>35</v>
      </c>
      <c r="Q241" t="s">
        <v>24</v>
      </c>
      <c r="R241" t="s">
        <v>1292</v>
      </c>
    </row>
    <row r="242" spans="1:24" x14ac:dyDescent="0.2">
      <c r="A242" s="3">
        <v>42594</v>
      </c>
      <c r="B242">
        <v>50879</v>
      </c>
      <c r="C242">
        <v>50878</v>
      </c>
      <c r="D242">
        <f>31-15</f>
        <v>16</v>
      </c>
      <c r="E242" t="s">
        <v>188</v>
      </c>
      <c r="F242" s="9" t="s">
        <v>1295</v>
      </c>
      <c r="G242" t="s">
        <v>63</v>
      </c>
      <c r="H242" t="s">
        <v>32</v>
      </c>
      <c r="I242" t="s">
        <v>35</v>
      </c>
      <c r="Q242" t="s">
        <v>24</v>
      </c>
      <c r="R242" t="s">
        <v>1292</v>
      </c>
    </row>
    <row r="243" spans="1:24" x14ac:dyDescent="0.2">
      <c r="A243" s="3">
        <v>42594</v>
      </c>
      <c r="B243">
        <v>2836</v>
      </c>
      <c r="C243">
        <v>2837</v>
      </c>
      <c r="D243">
        <f>31-18</f>
        <v>13</v>
      </c>
      <c r="E243" t="s">
        <v>123</v>
      </c>
      <c r="F243" s="9" t="s">
        <v>99</v>
      </c>
      <c r="G243" t="s">
        <v>31</v>
      </c>
      <c r="H243" t="s">
        <v>32</v>
      </c>
      <c r="I243" t="s">
        <v>30</v>
      </c>
      <c r="Q243" t="s">
        <v>24</v>
      </c>
      <c r="R243" t="s">
        <v>1292</v>
      </c>
    </row>
    <row r="244" spans="1:24" x14ac:dyDescent="0.2">
      <c r="A244" s="3">
        <v>42594</v>
      </c>
      <c r="B244">
        <v>11994</v>
      </c>
      <c r="C244">
        <v>11993</v>
      </c>
      <c r="D244">
        <f>29-14.5</f>
        <v>14.5</v>
      </c>
      <c r="E244" t="s">
        <v>123</v>
      </c>
      <c r="F244" s="9" t="s">
        <v>1398</v>
      </c>
      <c r="G244" t="s">
        <v>63</v>
      </c>
      <c r="H244" t="s">
        <v>32</v>
      </c>
      <c r="I244" t="s">
        <v>35</v>
      </c>
      <c r="J244">
        <v>18</v>
      </c>
      <c r="K244">
        <v>16</v>
      </c>
      <c r="L244">
        <v>12.7</v>
      </c>
      <c r="M244">
        <v>26.5</v>
      </c>
      <c r="N244" t="s">
        <v>1399</v>
      </c>
      <c r="O244" s="10">
        <v>0.27638888888888885</v>
      </c>
      <c r="P244" s="10"/>
      <c r="Q244" t="s">
        <v>64</v>
      </c>
    </row>
    <row r="245" spans="1:24" x14ac:dyDescent="0.2">
      <c r="A245" s="3">
        <v>42594</v>
      </c>
      <c r="C245">
        <v>11995</v>
      </c>
      <c r="D245">
        <f>28-14.5</f>
        <v>13.5</v>
      </c>
      <c r="E245" t="s">
        <v>123</v>
      </c>
      <c r="F245" s="9" t="s">
        <v>1400</v>
      </c>
      <c r="G245" t="s">
        <v>63</v>
      </c>
      <c r="H245" t="s">
        <v>32</v>
      </c>
      <c r="I245" t="s">
        <v>35</v>
      </c>
      <c r="J245">
        <v>20</v>
      </c>
      <c r="K245">
        <v>15</v>
      </c>
      <c r="L245">
        <v>12.8</v>
      </c>
      <c r="M245">
        <v>26.8</v>
      </c>
      <c r="Q245" t="s">
        <v>64</v>
      </c>
      <c r="R245" t="s">
        <v>1401</v>
      </c>
    </row>
    <row r="246" spans="1:24" x14ac:dyDescent="0.2">
      <c r="A246" s="3">
        <v>42594</v>
      </c>
      <c r="B246">
        <v>50378</v>
      </c>
      <c r="C246">
        <v>50377</v>
      </c>
      <c r="D246">
        <f>39-14</f>
        <v>25</v>
      </c>
      <c r="E246" t="s">
        <v>29</v>
      </c>
      <c r="F246" s="9" t="s">
        <v>82</v>
      </c>
      <c r="G246" t="s">
        <v>279</v>
      </c>
      <c r="H246" t="s">
        <v>32</v>
      </c>
      <c r="I246" t="s">
        <v>30</v>
      </c>
      <c r="J246">
        <v>19</v>
      </c>
      <c r="K246">
        <v>16</v>
      </c>
      <c r="L246">
        <v>13.1</v>
      </c>
      <c r="M246">
        <v>28</v>
      </c>
      <c r="N246" t="s">
        <v>1402</v>
      </c>
      <c r="O246" s="10">
        <v>0.30902777777777779</v>
      </c>
      <c r="Q246" t="s">
        <v>64</v>
      </c>
    </row>
    <row r="247" spans="1:24" x14ac:dyDescent="0.2">
      <c r="A247" s="3">
        <v>42594</v>
      </c>
      <c r="B247">
        <v>50917</v>
      </c>
      <c r="C247">
        <v>50916</v>
      </c>
      <c r="D247">
        <f>43-19</f>
        <v>24</v>
      </c>
      <c r="E247" t="s">
        <v>29</v>
      </c>
      <c r="F247" s="9" t="s">
        <v>1091</v>
      </c>
      <c r="G247" t="s">
        <v>39</v>
      </c>
      <c r="H247" t="s">
        <v>32</v>
      </c>
      <c r="I247" t="s">
        <v>35</v>
      </c>
      <c r="Q247" t="s">
        <v>64</v>
      </c>
      <c r="R247" t="s">
        <v>1409</v>
      </c>
    </row>
    <row r="248" spans="1:24" x14ac:dyDescent="0.2">
      <c r="A248" s="3">
        <v>42594</v>
      </c>
      <c r="B248">
        <v>11997</v>
      </c>
      <c r="D248">
        <f>43-24</f>
        <v>19</v>
      </c>
      <c r="E248" t="s">
        <v>29</v>
      </c>
      <c r="F248" s="9" t="s">
        <v>111</v>
      </c>
      <c r="G248" t="s">
        <v>61</v>
      </c>
      <c r="H248" t="s">
        <v>32</v>
      </c>
      <c r="I248" t="s">
        <v>30</v>
      </c>
      <c r="Q248" t="s">
        <v>64</v>
      </c>
      <c r="R248" t="s">
        <v>1409</v>
      </c>
    </row>
    <row r="249" spans="1:24" x14ac:dyDescent="0.2">
      <c r="A249" s="3">
        <v>42594</v>
      </c>
      <c r="B249">
        <v>50877</v>
      </c>
      <c r="C249">
        <v>50876</v>
      </c>
      <c r="D249">
        <f>31-19</f>
        <v>12</v>
      </c>
      <c r="E249" t="s">
        <v>123</v>
      </c>
      <c r="F249" s="9" t="s">
        <v>1403</v>
      </c>
      <c r="G249" t="s">
        <v>63</v>
      </c>
      <c r="H249" t="s">
        <v>32</v>
      </c>
      <c r="I249" t="s">
        <v>35</v>
      </c>
      <c r="Q249" t="s">
        <v>64</v>
      </c>
      <c r="R249" t="s">
        <v>1409</v>
      </c>
    </row>
    <row r="250" spans="1:24" x14ac:dyDescent="0.2">
      <c r="A250" s="3">
        <v>42594</v>
      </c>
      <c r="B250">
        <v>2849</v>
      </c>
      <c r="C250">
        <v>2850</v>
      </c>
      <c r="D250">
        <f>34-18.5</f>
        <v>15.5</v>
      </c>
      <c r="E250" t="s">
        <v>123</v>
      </c>
      <c r="F250" s="9" t="s">
        <v>1404</v>
      </c>
      <c r="G250" t="s">
        <v>63</v>
      </c>
      <c r="H250" t="s">
        <v>32</v>
      </c>
      <c r="I250" t="s">
        <v>35</v>
      </c>
      <c r="Q250" t="s">
        <v>64</v>
      </c>
      <c r="R250" t="s">
        <v>1409</v>
      </c>
    </row>
    <row r="251" spans="1:24" x14ac:dyDescent="0.2">
      <c r="A251" s="3">
        <v>42594</v>
      </c>
      <c r="B251">
        <v>12000</v>
      </c>
      <c r="C251">
        <v>11999</v>
      </c>
      <c r="E251" t="s">
        <v>29</v>
      </c>
      <c r="F251" s="9" t="s">
        <v>1405</v>
      </c>
      <c r="G251" t="s">
        <v>75</v>
      </c>
      <c r="H251" t="s">
        <v>32</v>
      </c>
      <c r="I251" t="s">
        <v>30</v>
      </c>
      <c r="Q251" t="s">
        <v>64</v>
      </c>
      <c r="R251" t="s">
        <v>1409</v>
      </c>
    </row>
    <row r="252" spans="1:24" x14ac:dyDescent="0.2">
      <c r="A252" s="3">
        <v>42594</v>
      </c>
      <c r="B252">
        <v>50915</v>
      </c>
      <c r="C252">
        <v>50914</v>
      </c>
      <c r="E252" t="s">
        <v>123</v>
      </c>
      <c r="F252" s="9" t="s">
        <v>1406</v>
      </c>
      <c r="G252" t="s">
        <v>63</v>
      </c>
      <c r="H252" t="s">
        <v>32</v>
      </c>
      <c r="I252" t="s">
        <v>35</v>
      </c>
      <c r="Q252" t="s">
        <v>64</v>
      </c>
      <c r="R252" t="s">
        <v>1409</v>
      </c>
    </row>
    <row r="253" spans="1:24" x14ac:dyDescent="0.2">
      <c r="A253" s="3">
        <v>42594</v>
      </c>
      <c r="B253">
        <v>17938</v>
      </c>
      <c r="C253">
        <v>17938</v>
      </c>
      <c r="D253">
        <f>40-17</f>
        <v>23</v>
      </c>
      <c r="E253" t="s">
        <v>29</v>
      </c>
      <c r="F253" s="9" t="s">
        <v>576</v>
      </c>
      <c r="G253" t="s">
        <v>75</v>
      </c>
      <c r="H253" t="s">
        <v>32</v>
      </c>
      <c r="I253" t="s">
        <v>30</v>
      </c>
      <c r="Q253" t="s">
        <v>64</v>
      </c>
      <c r="R253" t="s">
        <v>1409</v>
      </c>
    </row>
    <row r="254" spans="1:24" x14ac:dyDescent="0.2">
      <c r="A254" s="3">
        <v>42594</v>
      </c>
      <c r="B254">
        <v>2736</v>
      </c>
      <c r="C254">
        <v>2735</v>
      </c>
      <c r="D254">
        <f>37.5-19.5</f>
        <v>18</v>
      </c>
      <c r="E254" t="s">
        <v>188</v>
      </c>
      <c r="F254" s="9" t="s">
        <v>1407</v>
      </c>
      <c r="G254" t="s">
        <v>63</v>
      </c>
      <c r="H254" t="s">
        <v>32</v>
      </c>
      <c r="I254" t="s">
        <v>35</v>
      </c>
      <c r="Q254" t="s">
        <v>64</v>
      </c>
      <c r="R254" t="s">
        <v>1409</v>
      </c>
    </row>
    <row r="255" spans="1:24" x14ac:dyDescent="0.2">
      <c r="A255" s="3">
        <v>42594</v>
      </c>
      <c r="B255">
        <v>2745</v>
      </c>
      <c r="C255">
        <v>2746</v>
      </c>
      <c r="D255">
        <f>31-17</f>
        <v>14</v>
      </c>
      <c r="E255" t="s">
        <v>123</v>
      </c>
      <c r="F255" s="9" t="s">
        <v>221</v>
      </c>
      <c r="G255" t="s">
        <v>63</v>
      </c>
      <c r="H255" t="s">
        <v>32</v>
      </c>
      <c r="I255" t="s">
        <v>35</v>
      </c>
      <c r="Q255" t="s">
        <v>64</v>
      </c>
      <c r="R255" t="s">
        <v>1409</v>
      </c>
      <c r="X255" t="s">
        <v>1410</v>
      </c>
    </row>
    <row r="256" spans="1:24" x14ac:dyDescent="0.2">
      <c r="A256" s="3">
        <v>42594</v>
      </c>
      <c r="B256">
        <v>50445</v>
      </c>
      <c r="C256">
        <v>50438</v>
      </c>
      <c r="D256">
        <f>39-21.5</f>
        <v>17.5</v>
      </c>
      <c r="E256" t="s">
        <v>188</v>
      </c>
      <c r="F256" s="9" t="s">
        <v>1408</v>
      </c>
      <c r="G256" t="s">
        <v>63</v>
      </c>
      <c r="H256" t="s">
        <v>32</v>
      </c>
      <c r="I256" t="s">
        <v>35</v>
      </c>
      <c r="Q256" t="s">
        <v>64</v>
      </c>
      <c r="R256" t="s">
        <v>1409</v>
      </c>
    </row>
    <row r="257" spans="1:18" x14ac:dyDescent="0.2">
      <c r="A257" s="3">
        <v>42594</v>
      </c>
      <c r="B257">
        <v>50918</v>
      </c>
      <c r="C257">
        <v>50919</v>
      </c>
      <c r="F257" s="9" t="s">
        <v>376</v>
      </c>
      <c r="G257" t="s">
        <v>31</v>
      </c>
      <c r="H257" t="s">
        <v>32</v>
      </c>
      <c r="N257" t="s">
        <v>1438</v>
      </c>
      <c r="O257" s="10">
        <v>0.27083333333333331</v>
      </c>
      <c r="Q257" t="s">
        <v>66</v>
      </c>
    </row>
    <row r="258" spans="1:18" x14ac:dyDescent="0.2">
      <c r="A258" s="3">
        <v>42594</v>
      </c>
      <c r="B258">
        <v>2447</v>
      </c>
      <c r="C258">
        <v>2446</v>
      </c>
      <c r="D258">
        <v>15</v>
      </c>
      <c r="E258" t="s">
        <v>123</v>
      </c>
      <c r="F258" s="9" t="s">
        <v>526</v>
      </c>
      <c r="G258" t="s">
        <v>31</v>
      </c>
      <c r="H258" t="s">
        <v>32</v>
      </c>
      <c r="I258" t="s">
        <v>30</v>
      </c>
      <c r="J258">
        <v>19</v>
      </c>
      <c r="K258">
        <v>16</v>
      </c>
      <c r="L258">
        <v>13.5</v>
      </c>
      <c r="M258">
        <v>28.5</v>
      </c>
      <c r="Q258" t="s">
        <v>66</v>
      </c>
    </row>
    <row r="259" spans="1:18" x14ac:dyDescent="0.2">
      <c r="A259" s="3">
        <v>42594</v>
      </c>
      <c r="B259">
        <v>50334</v>
      </c>
      <c r="C259">
        <v>50336</v>
      </c>
      <c r="D259">
        <v>11</v>
      </c>
      <c r="E259" t="s">
        <v>123</v>
      </c>
      <c r="F259" s="9" t="s">
        <v>1436</v>
      </c>
      <c r="G259" t="s">
        <v>63</v>
      </c>
      <c r="H259" t="s">
        <v>32</v>
      </c>
      <c r="I259" t="s">
        <v>35</v>
      </c>
      <c r="N259" t="s">
        <v>1438</v>
      </c>
      <c r="O259" s="10">
        <v>0.2986111111111111</v>
      </c>
      <c r="Q259" t="s">
        <v>66</v>
      </c>
    </row>
    <row r="260" spans="1:18" x14ac:dyDescent="0.2">
      <c r="A260" s="3">
        <v>42594</v>
      </c>
      <c r="B260">
        <v>2684</v>
      </c>
      <c r="C260">
        <v>2683</v>
      </c>
      <c r="F260" s="9" t="s">
        <v>106</v>
      </c>
      <c r="G260" t="s">
        <v>63</v>
      </c>
      <c r="H260" t="s">
        <v>32</v>
      </c>
      <c r="I260" t="s">
        <v>35</v>
      </c>
      <c r="Q260" t="s">
        <v>66</v>
      </c>
      <c r="R260" t="s">
        <v>1439</v>
      </c>
    </row>
    <row r="261" spans="1:18" x14ac:dyDescent="0.2">
      <c r="A261" s="3">
        <v>42594</v>
      </c>
      <c r="B261">
        <v>2693</v>
      </c>
      <c r="D261">
        <v>14.5</v>
      </c>
      <c r="E261" t="s">
        <v>123</v>
      </c>
      <c r="F261" s="9" t="s">
        <v>1030</v>
      </c>
      <c r="G261" t="s">
        <v>63</v>
      </c>
      <c r="H261" t="s">
        <v>32</v>
      </c>
      <c r="I261" t="s">
        <v>35</v>
      </c>
      <c r="Q261" t="s">
        <v>66</v>
      </c>
      <c r="R261" t="s">
        <v>1409</v>
      </c>
    </row>
    <row r="262" spans="1:18" x14ac:dyDescent="0.2">
      <c r="A262" s="3">
        <v>42594</v>
      </c>
      <c r="B262">
        <v>50883</v>
      </c>
      <c r="C262">
        <v>50884</v>
      </c>
      <c r="D262">
        <v>21</v>
      </c>
      <c r="E262" t="s">
        <v>29</v>
      </c>
      <c r="F262" s="9" t="s">
        <v>1010</v>
      </c>
      <c r="G262" t="s">
        <v>31</v>
      </c>
      <c r="H262" t="s">
        <v>32</v>
      </c>
      <c r="Q262" t="s">
        <v>66</v>
      </c>
      <c r="R262" t="s">
        <v>1440</v>
      </c>
    </row>
    <row r="263" spans="1:18" x14ac:dyDescent="0.2">
      <c r="A263" s="3">
        <v>42594</v>
      </c>
      <c r="B263">
        <v>50577</v>
      </c>
      <c r="C263">
        <v>50576</v>
      </c>
      <c r="D263">
        <v>16</v>
      </c>
      <c r="E263" t="s">
        <v>123</v>
      </c>
      <c r="F263" s="9" t="s">
        <v>1437</v>
      </c>
      <c r="G263" t="s">
        <v>75</v>
      </c>
      <c r="H263" t="s">
        <v>32</v>
      </c>
      <c r="I263" t="s">
        <v>30</v>
      </c>
      <c r="Q263" t="s">
        <v>66</v>
      </c>
    </row>
    <row r="264" spans="1:18" x14ac:dyDescent="0.2">
      <c r="A264" s="3">
        <v>42594</v>
      </c>
      <c r="B264">
        <v>50903</v>
      </c>
      <c r="C264">
        <v>50904</v>
      </c>
      <c r="F264" s="9" t="s">
        <v>88</v>
      </c>
      <c r="G264" t="s">
        <v>63</v>
      </c>
      <c r="H264" t="s">
        <v>32</v>
      </c>
      <c r="I264" t="s">
        <v>35</v>
      </c>
      <c r="Q264" t="s">
        <v>66</v>
      </c>
      <c r="R264" t="s">
        <v>1441</v>
      </c>
    </row>
    <row r="265" spans="1:18" x14ac:dyDescent="0.2">
      <c r="A265" s="3">
        <v>42597</v>
      </c>
      <c r="B265">
        <v>50604</v>
      </c>
      <c r="C265">
        <v>50603</v>
      </c>
      <c r="D265">
        <f>28-13</f>
        <v>15</v>
      </c>
      <c r="E265" t="s">
        <v>123</v>
      </c>
      <c r="F265" s="9" t="s">
        <v>294</v>
      </c>
      <c r="G265" t="s">
        <v>63</v>
      </c>
      <c r="H265" t="s">
        <v>32</v>
      </c>
      <c r="I265" t="s">
        <v>35</v>
      </c>
      <c r="Q265" t="s">
        <v>64</v>
      </c>
    </row>
    <row r="266" spans="1:18" x14ac:dyDescent="0.2">
      <c r="A266" s="3">
        <v>42597</v>
      </c>
      <c r="B266">
        <v>50678</v>
      </c>
      <c r="C266">
        <v>50693</v>
      </c>
      <c r="D266">
        <f>31.5-14.5</f>
        <v>17</v>
      </c>
      <c r="E266" t="s">
        <v>188</v>
      </c>
      <c r="F266" s="9" t="s">
        <v>1411</v>
      </c>
      <c r="G266" t="s">
        <v>31</v>
      </c>
      <c r="H266" t="s">
        <v>32</v>
      </c>
      <c r="I266" t="s">
        <v>30</v>
      </c>
      <c r="J266">
        <v>19</v>
      </c>
      <c r="K266">
        <v>14</v>
      </c>
      <c r="L266">
        <v>13.2</v>
      </c>
      <c r="M266">
        <v>28</v>
      </c>
      <c r="N266" t="s">
        <v>1412</v>
      </c>
      <c r="O266" s="10">
        <v>0.29444444444444445</v>
      </c>
      <c r="Q266" t="s">
        <v>64</v>
      </c>
    </row>
    <row r="267" spans="1:18" x14ac:dyDescent="0.2">
      <c r="A267" s="3">
        <v>42597</v>
      </c>
      <c r="B267">
        <v>12000</v>
      </c>
      <c r="C267">
        <v>11999</v>
      </c>
      <c r="D267">
        <f>31-12.5</f>
        <v>18.5</v>
      </c>
      <c r="E267" t="s">
        <v>188</v>
      </c>
      <c r="F267" s="9" t="s">
        <v>110</v>
      </c>
      <c r="G267" t="s">
        <v>75</v>
      </c>
      <c r="H267" t="s">
        <v>32</v>
      </c>
      <c r="I267" t="s">
        <v>30</v>
      </c>
      <c r="J267">
        <v>19</v>
      </c>
      <c r="K267">
        <v>15</v>
      </c>
      <c r="L267">
        <v>13.1</v>
      </c>
      <c r="M267">
        <v>27.7</v>
      </c>
      <c r="N267" t="s">
        <v>1413</v>
      </c>
      <c r="O267" s="10">
        <v>0.30277777777777776</v>
      </c>
      <c r="Q267" t="s">
        <v>64</v>
      </c>
    </row>
    <row r="268" spans="1:18" x14ac:dyDescent="0.2">
      <c r="A268" s="3">
        <v>42597</v>
      </c>
      <c r="B268">
        <v>50917</v>
      </c>
      <c r="C268">
        <v>50916</v>
      </c>
      <c r="D268">
        <f>35-14</f>
        <v>21</v>
      </c>
      <c r="E268" t="s">
        <v>29</v>
      </c>
      <c r="F268" s="9" t="s">
        <v>84</v>
      </c>
      <c r="G268" t="s">
        <v>63</v>
      </c>
      <c r="H268" t="s">
        <v>32</v>
      </c>
      <c r="I268" t="s">
        <v>35</v>
      </c>
      <c r="J268">
        <v>20</v>
      </c>
      <c r="K268">
        <v>14</v>
      </c>
      <c r="L268">
        <v>13.1</v>
      </c>
      <c r="M268">
        <v>27.2</v>
      </c>
      <c r="N268" t="s">
        <v>1414</v>
      </c>
      <c r="O268" s="10">
        <v>0.31666666666666665</v>
      </c>
      <c r="Q268" t="s">
        <v>64</v>
      </c>
    </row>
    <row r="269" spans="1:18" x14ac:dyDescent="0.2">
      <c r="A269" s="3">
        <v>42597</v>
      </c>
      <c r="B269">
        <v>2844</v>
      </c>
      <c r="C269">
        <v>2843</v>
      </c>
      <c r="D269">
        <f>31-13.5</f>
        <v>17.5</v>
      </c>
      <c r="E269" t="s">
        <v>188</v>
      </c>
      <c r="F269" s="9" t="s">
        <v>235</v>
      </c>
      <c r="G269" t="s">
        <v>63</v>
      </c>
      <c r="H269" t="s">
        <v>32</v>
      </c>
      <c r="I269" t="s">
        <v>35</v>
      </c>
      <c r="J269">
        <v>19</v>
      </c>
      <c r="K269">
        <v>15</v>
      </c>
      <c r="L269">
        <v>13.3</v>
      </c>
      <c r="M269">
        <v>26</v>
      </c>
      <c r="Q269" t="s">
        <v>64</v>
      </c>
    </row>
    <row r="270" spans="1:18" x14ac:dyDescent="0.2">
      <c r="A270" s="3">
        <v>42597</v>
      </c>
      <c r="B270">
        <v>50915</v>
      </c>
      <c r="C270">
        <v>50914</v>
      </c>
      <c r="E270" t="s">
        <v>123</v>
      </c>
      <c r="F270" s="9" t="s">
        <v>98</v>
      </c>
      <c r="G270" t="s">
        <v>63</v>
      </c>
      <c r="H270" t="s">
        <v>32</v>
      </c>
      <c r="I270" t="s">
        <v>35</v>
      </c>
      <c r="J270">
        <v>20</v>
      </c>
      <c r="K270">
        <v>16</v>
      </c>
      <c r="L270">
        <v>12.9</v>
      </c>
      <c r="M270">
        <v>25.7</v>
      </c>
      <c r="N270" t="s">
        <v>1415</v>
      </c>
      <c r="O270" s="10">
        <v>0.3659722222222222</v>
      </c>
      <c r="Q270" t="s">
        <v>64</v>
      </c>
    </row>
    <row r="271" spans="1:18" x14ac:dyDescent="0.2">
      <c r="A271" s="3">
        <v>42597</v>
      </c>
      <c r="B271">
        <v>50445</v>
      </c>
      <c r="C271">
        <v>50438</v>
      </c>
      <c r="D271">
        <f>34.5-18</f>
        <v>16.5</v>
      </c>
      <c r="E271" t="s">
        <v>188</v>
      </c>
      <c r="F271" s="9" t="s">
        <v>646</v>
      </c>
      <c r="G271" t="s">
        <v>63</v>
      </c>
      <c r="H271" t="s">
        <v>32</v>
      </c>
      <c r="I271" t="s">
        <v>35</v>
      </c>
      <c r="J271">
        <v>18</v>
      </c>
      <c r="K271">
        <v>16</v>
      </c>
      <c r="L271">
        <v>12.9</v>
      </c>
      <c r="Q271" t="s">
        <v>64</v>
      </c>
    </row>
    <row r="272" spans="1:18" x14ac:dyDescent="0.2">
      <c r="A272" s="3">
        <v>42597</v>
      </c>
      <c r="B272">
        <v>50887</v>
      </c>
      <c r="C272">
        <v>50886</v>
      </c>
      <c r="D272">
        <f>28-14</f>
        <v>14</v>
      </c>
      <c r="E272" t="s">
        <v>123</v>
      </c>
      <c r="F272" s="9" t="s">
        <v>105</v>
      </c>
      <c r="G272" t="s">
        <v>63</v>
      </c>
      <c r="H272" t="s">
        <v>32</v>
      </c>
      <c r="I272" t="s">
        <v>35</v>
      </c>
      <c r="J272">
        <v>19</v>
      </c>
      <c r="K272">
        <v>15</v>
      </c>
      <c r="L272">
        <v>13.1</v>
      </c>
      <c r="M272">
        <v>26.6</v>
      </c>
      <c r="N272" t="s">
        <v>1416</v>
      </c>
      <c r="O272" s="10">
        <v>0.38541666666666669</v>
      </c>
      <c r="Q272" t="s">
        <v>64</v>
      </c>
    </row>
    <row r="273" spans="1:18" x14ac:dyDescent="0.2">
      <c r="A273" s="3">
        <v>42597</v>
      </c>
      <c r="B273">
        <v>2809</v>
      </c>
      <c r="D273">
        <v>14</v>
      </c>
      <c r="E273" t="s">
        <v>123</v>
      </c>
      <c r="F273" s="9" t="s">
        <v>200</v>
      </c>
      <c r="G273" t="s">
        <v>88</v>
      </c>
      <c r="H273" t="s">
        <v>32</v>
      </c>
      <c r="I273" t="s">
        <v>30</v>
      </c>
      <c r="Q273" t="s">
        <v>66</v>
      </c>
      <c r="R273" t="s">
        <v>1440</v>
      </c>
    </row>
    <row r="274" spans="1:18" x14ac:dyDescent="0.2">
      <c r="A274" s="3">
        <v>42597</v>
      </c>
      <c r="B274">
        <v>50883</v>
      </c>
      <c r="C274">
        <v>50882</v>
      </c>
      <c r="F274" s="9" t="s">
        <v>96</v>
      </c>
      <c r="G274" t="s">
        <v>31</v>
      </c>
      <c r="H274" t="s">
        <v>32</v>
      </c>
      <c r="I274" t="s">
        <v>30</v>
      </c>
      <c r="Q274" t="s">
        <v>66</v>
      </c>
      <c r="R274" t="s">
        <v>1440</v>
      </c>
    </row>
    <row r="275" spans="1:18" x14ac:dyDescent="0.2">
      <c r="A275" s="3">
        <v>42597</v>
      </c>
      <c r="B275">
        <v>50902</v>
      </c>
      <c r="C275">
        <v>50901</v>
      </c>
      <c r="D275">
        <v>15.5</v>
      </c>
      <c r="E275" t="s">
        <v>123</v>
      </c>
      <c r="F275" s="9" t="s">
        <v>159</v>
      </c>
      <c r="G275" t="s">
        <v>31</v>
      </c>
      <c r="H275" t="s">
        <v>32</v>
      </c>
      <c r="I275" t="s">
        <v>30</v>
      </c>
      <c r="N275" t="s">
        <v>1442</v>
      </c>
      <c r="O275" s="10">
        <v>0.3298611111111111</v>
      </c>
      <c r="Q275" t="s">
        <v>66</v>
      </c>
    </row>
    <row r="276" spans="1:18" x14ac:dyDescent="0.2">
      <c r="A276" s="3">
        <v>42597</v>
      </c>
      <c r="B276">
        <v>2849</v>
      </c>
      <c r="C276">
        <v>2850</v>
      </c>
      <c r="F276" s="9" t="s">
        <v>1009</v>
      </c>
      <c r="G276" t="s">
        <v>31</v>
      </c>
      <c r="H276" t="s">
        <v>32</v>
      </c>
      <c r="Q276" t="s">
        <v>66</v>
      </c>
      <c r="R276" t="s">
        <v>1440</v>
      </c>
    </row>
    <row r="277" spans="1:18" x14ac:dyDescent="0.2">
      <c r="A277" s="3">
        <v>42597</v>
      </c>
      <c r="B277">
        <v>2834</v>
      </c>
      <c r="C277">
        <v>2835</v>
      </c>
      <c r="F277" s="9" t="s">
        <v>1437</v>
      </c>
      <c r="G277" t="s">
        <v>31</v>
      </c>
      <c r="H277" t="s">
        <v>32</v>
      </c>
      <c r="N277" t="s">
        <v>1443</v>
      </c>
      <c r="O277" s="10">
        <v>0.36458333333333331</v>
      </c>
      <c r="Q277" t="s">
        <v>66</v>
      </c>
      <c r="R277" t="s">
        <v>1440</v>
      </c>
    </row>
    <row r="278" spans="1:18" x14ac:dyDescent="0.2">
      <c r="A278" s="3">
        <v>42597</v>
      </c>
      <c r="B278">
        <v>2644</v>
      </c>
      <c r="C278">
        <v>2643</v>
      </c>
      <c r="F278" s="9" t="s">
        <v>1011</v>
      </c>
      <c r="G278" t="s">
        <v>31</v>
      </c>
      <c r="H278" t="s">
        <v>32</v>
      </c>
      <c r="I278" t="s">
        <v>30</v>
      </c>
      <c r="Q278" t="s">
        <v>66</v>
      </c>
      <c r="R278" t="s">
        <v>1440</v>
      </c>
    </row>
    <row r="279" spans="1:18" x14ac:dyDescent="0.2">
      <c r="A279" s="3">
        <v>42597</v>
      </c>
      <c r="B279" s="17" t="s">
        <v>1087</v>
      </c>
      <c r="D279">
        <f>27.5-13</f>
        <v>14.5</v>
      </c>
      <c r="E279" t="s">
        <v>123</v>
      </c>
      <c r="F279" s="9" t="s">
        <v>510</v>
      </c>
      <c r="G279" t="s">
        <v>63</v>
      </c>
      <c r="H279" t="s">
        <v>32</v>
      </c>
      <c r="I279" t="s">
        <v>35</v>
      </c>
      <c r="N279" t="s">
        <v>1788</v>
      </c>
      <c r="O279" s="10">
        <v>0.29444444444444445</v>
      </c>
      <c r="Q279" t="s">
        <v>24</v>
      </c>
    </row>
    <row r="280" spans="1:18" x14ac:dyDescent="0.2">
      <c r="A280" s="3">
        <v>42597</v>
      </c>
      <c r="B280">
        <v>16337</v>
      </c>
      <c r="C280">
        <v>16338</v>
      </c>
      <c r="D280">
        <v>13</v>
      </c>
      <c r="E280" t="s">
        <v>123</v>
      </c>
      <c r="F280" s="9" t="s">
        <v>1089</v>
      </c>
      <c r="G280" t="s">
        <v>63</v>
      </c>
      <c r="H280" t="s">
        <v>32</v>
      </c>
      <c r="I280" t="s">
        <v>35</v>
      </c>
      <c r="J280">
        <v>18</v>
      </c>
      <c r="K280">
        <v>15</v>
      </c>
      <c r="L280">
        <v>12.6</v>
      </c>
      <c r="M280">
        <v>24.1</v>
      </c>
      <c r="N280" t="s">
        <v>1789</v>
      </c>
      <c r="O280" s="10">
        <v>0.30694444444444441</v>
      </c>
      <c r="Q280" t="s">
        <v>24</v>
      </c>
    </row>
    <row r="281" spans="1:18" x14ac:dyDescent="0.2">
      <c r="A281" s="3">
        <v>42597</v>
      </c>
      <c r="B281">
        <v>50879</v>
      </c>
      <c r="C281">
        <v>50878</v>
      </c>
      <c r="D281">
        <f>29-13</f>
        <v>16</v>
      </c>
      <c r="E281" t="s">
        <v>123</v>
      </c>
      <c r="F281" s="9" t="s">
        <v>1790</v>
      </c>
      <c r="G281" t="s">
        <v>63</v>
      </c>
      <c r="H281" t="s">
        <v>32</v>
      </c>
      <c r="I281" t="s">
        <v>35</v>
      </c>
      <c r="Q281" t="s">
        <v>24</v>
      </c>
    </row>
    <row r="282" spans="1:18" x14ac:dyDescent="0.2">
      <c r="A282" s="3">
        <v>42597</v>
      </c>
      <c r="B282" s="17" t="s">
        <v>1097</v>
      </c>
      <c r="C282" s="17" t="s">
        <v>1098</v>
      </c>
      <c r="D282">
        <f>28-13</f>
        <v>15</v>
      </c>
      <c r="E282" t="s">
        <v>123</v>
      </c>
      <c r="F282" s="9" t="s">
        <v>164</v>
      </c>
      <c r="G282" t="s">
        <v>63</v>
      </c>
      <c r="H282" t="s">
        <v>32</v>
      </c>
      <c r="I282" t="s">
        <v>35</v>
      </c>
      <c r="Q282" t="s">
        <v>24</v>
      </c>
    </row>
    <row r="283" spans="1:18" x14ac:dyDescent="0.2">
      <c r="A283" s="3">
        <v>42597</v>
      </c>
      <c r="B283">
        <v>2734</v>
      </c>
      <c r="C283">
        <v>2735</v>
      </c>
      <c r="D283">
        <f>30.5-14.5</f>
        <v>16</v>
      </c>
      <c r="E283" t="s">
        <v>188</v>
      </c>
      <c r="F283" s="9" t="s">
        <v>1791</v>
      </c>
      <c r="G283" t="s">
        <v>63</v>
      </c>
      <c r="H283" t="s">
        <v>32</v>
      </c>
      <c r="I283" t="s">
        <v>35</v>
      </c>
      <c r="Q283" t="s">
        <v>24</v>
      </c>
    </row>
    <row r="284" spans="1:18" x14ac:dyDescent="0.2">
      <c r="A284" s="3">
        <v>42601</v>
      </c>
      <c r="B284">
        <v>17925</v>
      </c>
      <c r="C284">
        <v>17924</v>
      </c>
      <c r="D284">
        <f>31-12.5</f>
        <v>18.5</v>
      </c>
      <c r="E284" t="s">
        <v>188</v>
      </c>
      <c r="F284" s="9" t="s">
        <v>311</v>
      </c>
      <c r="G284" t="s">
        <v>31</v>
      </c>
      <c r="H284" t="s">
        <v>32</v>
      </c>
      <c r="I284" t="s">
        <v>30</v>
      </c>
      <c r="Q284" t="s">
        <v>24</v>
      </c>
    </row>
    <row r="285" spans="1:18" x14ac:dyDescent="0.2">
      <c r="A285" s="3">
        <v>42601</v>
      </c>
      <c r="B285">
        <v>50725</v>
      </c>
      <c r="D285">
        <f>29-14</f>
        <v>15</v>
      </c>
      <c r="E285" t="s">
        <v>188</v>
      </c>
      <c r="F285" s="9" t="s">
        <v>510</v>
      </c>
      <c r="G285" t="s">
        <v>63</v>
      </c>
      <c r="H285" t="s">
        <v>32</v>
      </c>
      <c r="I285" t="s">
        <v>35</v>
      </c>
      <c r="Q285" t="s">
        <v>24</v>
      </c>
    </row>
    <row r="286" spans="1:18" x14ac:dyDescent="0.2">
      <c r="A286" s="3">
        <v>42601</v>
      </c>
      <c r="B286">
        <v>16337</v>
      </c>
      <c r="C286">
        <v>16336</v>
      </c>
      <c r="D286">
        <v>14</v>
      </c>
      <c r="E286" t="s">
        <v>123</v>
      </c>
      <c r="F286" s="9" t="s">
        <v>1089</v>
      </c>
      <c r="G286" t="s">
        <v>63</v>
      </c>
      <c r="H286" t="s">
        <v>32</v>
      </c>
      <c r="I286" t="s">
        <v>35</v>
      </c>
      <c r="Q286" t="s">
        <v>24</v>
      </c>
    </row>
    <row r="287" spans="1:18" x14ac:dyDescent="0.2">
      <c r="A287" s="3">
        <v>42601</v>
      </c>
      <c r="B287">
        <v>2800</v>
      </c>
      <c r="C287">
        <v>2799</v>
      </c>
      <c r="D287">
        <v>21</v>
      </c>
      <c r="E287" t="s">
        <v>29</v>
      </c>
      <c r="F287" s="9" t="s">
        <v>1291</v>
      </c>
      <c r="G287" t="s">
        <v>31</v>
      </c>
      <c r="H287" t="s">
        <v>32</v>
      </c>
      <c r="I287" t="s">
        <v>30</v>
      </c>
      <c r="Q287" t="s">
        <v>24</v>
      </c>
    </row>
    <row r="288" spans="1:18" x14ac:dyDescent="0.2">
      <c r="A288" s="3">
        <v>42601</v>
      </c>
      <c r="B288">
        <v>50883</v>
      </c>
      <c r="C288">
        <v>50882</v>
      </c>
      <c r="D288">
        <f>28-13.5</f>
        <v>14.5</v>
      </c>
      <c r="E288" t="s">
        <v>123</v>
      </c>
      <c r="F288" s="9" t="s">
        <v>564</v>
      </c>
      <c r="G288" t="s">
        <v>31</v>
      </c>
      <c r="H288" t="s">
        <v>32</v>
      </c>
      <c r="I288" t="s">
        <v>30</v>
      </c>
      <c r="Q288" t="s">
        <v>24</v>
      </c>
    </row>
    <row r="289" spans="1:18" x14ac:dyDescent="0.2">
      <c r="A289" s="3">
        <v>42601</v>
      </c>
      <c r="B289">
        <v>50889</v>
      </c>
      <c r="C289">
        <v>50888</v>
      </c>
      <c r="E289" t="s">
        <v>123</v>
      </c>
      <c r="F289" s="9" t="s">
        <v>204</v>
      </c>
      <c r="H289" t="s">
        <v>32</v>
      </c>
      <c r="Q289" t="s">
        <v>24</v>
      </c>
    </row>
    <row r="290" spans="1:18" x14ac:dyDescent="0.2">
      <c r="A290" s="3">
        <v>42601</v>
      </c>
      <c r="B290">
        <v>2849</v>
      </c>
      <c r="C290">
        <v>2850</v>
      </c>
      <c r="D290">
        <f>32-15</f>
        <v>17</v>
      </c>
      <c r="E290" t="s">
        <v>123</v>
      </c>
      <c r="F290" s="9" t="s">
        <v>575</v>
      </c>
      <c r="G290" t="s">
        <v>63</v>
      </c>
      <c r="H290" t="s">
        <v>32</v>
      </c>
      <c r="I290" t="s">
        <v>35</v>
      </c>
      <c r="Q290" t="s">
        <v>24</v>
      </c>
    </row>
    <row r="291" spans="1:18" x14ac:dyDescent="0.2">
      <c r="A291" s="3">
        <v>42601</v>
      </c>
      <c r="B291">
        <v>2586</v>
      </c>
      <c r="C291">
        <v>2585</v>
      </c>
      <c r="D291">
        <f>25-14.5</f>
        <v>10.5</v>
      </c>
      <c r="E291" t="s">
        <v>123</v>
      </c>
      <c r="F291" s="9" t="s">
        <v>319</v>
      </c>
      <c r="G291" t="s">
        <v>63</v>
      </c>
      <c r="H291" t="s">
        <v>32</v>
      </c>
      <c r="I291" t="s">
        <v>35</v>
      </c>
      <c r="N291" t="s">
        <v>1788</v>
      </c>
      <c r="Q291" t="s">
        <v>24</v>
      </c>
    </row>
    <row r="292" spans="1:18" x14ac:dyDescent="0.2">
      <c r="A292" s="3">
        <v>42601</v>
      </c>
      <c r="B292">
        <v>2695</v>
      </c>
      <c r="C292">
        <v>2696</v>
      </c>
      <c r="D292">
        <f>39-17.5</f>
        <v>21.5</v>
      </c>
      <c r="E292" t="s">
        <v>29</v>
      </c>
      <c r="F292" s="9" t="s">
        <v>439</v>
      </c>
      <c r="G292" t="s">
        <v>75</v>
      </c>
      <c r="H292" t="s">
        <v>32</v>
      </c>
      <c r="I292" t="s">
        <v>30</v>
      </c>
      <c r="N292" t="s">
        <v>1862</v>
      </c>
      <c r="Q292" t="s">
        <v>24</v>
      </c>
    </row>
    <row r="293" spans="1:18" x14ac:dyDescent="0.2">
      <c r="A293" s="3">
        <v>42601</v>
      </c>
      <c r="B293">
        <v>50800</v>
      </c>
      <c r="C293">
        <v>50793</v>
      </c>
      <c r="D293">
        <f>31-16.5</f>
        <v>14.5</v>
      </c>
      <c r="E293" t="s">
        <v>123</v>
      </c>
      <c r="F293" s="9" t="s">
        <v>348</v>
      </c>
      <c r="G293" t="s">
        <v>63</v>
      </c>
      <c r="H293" t="s">
        <v>32</v>
      </c>
      <c r="I293" t="s">
        <v>35</v>
      </c>
      <c r="J293">
        <v>19</v>
      </c>
      <c r="K293">
        <v>18</v>
      </c>
      <c r="L293">
        <v>13</v>
      </c>
      <c r="M293">
        <v>25.4</v>
      </c>
      <c r="N293" t="s">
        <v>1863</v>
      </c>
      <c r="O293" s="10">
        <v>0.37777777777777777</v>
      </c>
      <c r="Q293" t="s">
        <v>24</v>
      </c>
    </row>
    <row r="294" spans="1:18" x14ac:dyDescent="0.2">
      <c r="A294" s="3">
        <v>42601</v>
      </c>
      <c r="B294">
        <v>16341</v>
      </c>
      <c r="C294">
        <v>16340</v>
      </c>
      <c r="D294">
        <f>29-14</f>
        <v>15</v>
      </c>
      <c r="E294" t="s">
        <v>123</v>
      </c>
      <c r="F294" s="9" t="s">
        <v>99</v>
      </c>
      <c r="G294" t="s">
        <v>31</v>
      </c>
      <c r="H294" t="s">
        <v>32</v>
      </c>
      <c r="I294" t="s">
        <v>30</v>
      </c>
      <c r="N294" t="s">
        <v>1864</v>
      </c>
      <c r="O294" s="10">
        <v>0.41111111111111115</v>
      </c>
      <c r="Q294" t="s">
        <v>24</v>
      </c>
    </row>
    <row r="295" spans="1:18" x14ac:dyDescent="0.2">
      <c r="A295" s="3">
        <v>42601</v>
      </c>
      <c r="B295">
        <v>2644</v>
      </c>
      <c r="C295">
        <v>2643</v>
      </c>
      <c r="D295">
        <f>38-21</f>
        <v>17</v>
      </c>
      <c r="E295" t="s">
        <v>188</v>
      </c>
      <c r="F295" s="9" t="s">
        <v>1865</v>
      </c>
      <c r="G295" t="s">
        <v>63</v>
      </c>
      <c r="H295" t="s">
        <v>32</v>
      </c>
      <c r="I295" t="s">
        <v>35</v>
      </c>
      <c r="N295" t="s">
        <v>1866</v>
      </c>
      <c r="O295" s="10">
        <v>0.4513888888888889</v>
      </c>
      <c r="Q295" t="s">
        <v>24</v>
      </c>
    </row>
    <row r="296" spans="1:18" x14ac:dyDescent="0.2">
      <c r="A296" s="3">
        <v>42601</v>
      </c>
      <c r="B296">
        <v>50604</v>
      </c>
      <c r="F296" s="9" t="s">
        <v>292</v>
      </c>
      <c r="H296" t="s">
        <v>32</v>
      </c>
      <c r="I296" t="s">
        <v>35</v>
      </c>
      <c r="Q296" t="s">
        <v>66</v>
      </c>
      <c r="R296" t="s">
        <v>1440</v>
      </c>
    </row>
    <row r="297" spans="1:18" x14ac:dyDescent="0.2">
      <c r="A297" s="3">
        <v>42601</v>
      </c>
      <c r="B297">
        <v>50577</v>
      </c>
      <c r="C297">
        <v>50576</v>
      </c>
      <c r="F297" s="9" t="s">
        <v>96</v>
      </c>
      <c r="H297" t="s">
        <v>32</v>
      </c>
      <c r="I297" t="s">
        <v>30</v>
      </c>
      <c r="Q297" t="s">
        <v>66</v>
      </c>
      <c r="R297" t="s">
        <v>1489</v>
      </c>
    </row>
    <row r="298" spans="1:18" x14ac:dyDescent="0.2">
      <c r="A298" s="3">
        <v>42601</v>
      </c>
      <c r="B298">
        <v>50678</v>
      </c>
      <c r="C298">
        <v>50693</v>
      </c>
      <c r="E298" t="s">
        <v>29</v>
      </c>
      <c r="F298" s="9" t="s">
        <v>194</v>
      </c>
      <c r="H298" t="s">
        <v>32</v>
      </c>
      <c r="Q298" t="s">
        <v>66</v>
      </c>
      <c r="R298" t="s">
        <v>1440</v>
      </c>
    </row>
    <row r="299" spans="1:18" x14ac:dyDescent="0.2">
      <c r="A299" s="3">
        <v>42601</v>
      </c>
      <c r="B299">
        <v>50905</v>
      </c>
      <c r="C299">
        <v>2838</v>
      </c>
      <c r="F299" s="9" t="s">
        <v>447</v>
      </c>
      <c r="H299" t="s">
        <v>32</v>
      </c>
      <c r="I299" t="s">
        <v>35</v>
      </c>
      <c r="Q299" t="s">
        <v>66</v>
      </c>
      <c r="R299" t="s">
        <v>1440</v>
      </c>
    </row>
    <row r="300" spans="1:18" x14ac:dyDescent="0.2">
      <c r="A300" s="3">
        <v>42601</v>
      </c>
      <c r="B300">
        <v>50902</v>
      </c>
      <c r="C300">
        <v>50901</v>
      </c>
      <c r="D300">
        <f>27-13.5</f>
        <v>13.5</v>
      </c>
      <c r="E300" t="s">
        <v>123</v>
      </c>
      <c r="F300" s="9" t="s">
        <v>84</v>
      </c>
      <c r="G300" t="s">
        <v>31</v>
      </c>
      <c r="H300" t="s">
        <v>32</v>
      </c>
      <c r="I300" t="s">
        <v>30</v>
      </c>
      <c r="J300">
        <v>18.5</v>
      </c>
      <c r="K300">
        <v>17</v>
      </c>
      <c r="L300">
        <v>12.9</v>
      </c>
      <c r="M300">
        <v>26.7</v>
      </c>
      <c r="N300" t="s">
        <v>1490</v>
      </c>
      <c r="O300" s="10">
        <v>0.31805555555555554</v>
      </c>
      <c r="Q300" t="s">
        <v>64</v>
      </c>
    </row>
    <row r="301" spans="1:18" x14ac:dyDescent="0.2">
      <c r="A301" s="3">
        <v>42601</v>
      </c>
      <c r="B301">
        <v>50881</v>
      </c>
      <c r="C301">
        <v>50880</v>
      </c>
      <c r="D301">
        <f>27-13</f>
        <v>14</v>
      </c>
      <c r="E301" t="s">
        <v>123</v>
      </c>
      <c r="F301" s="9" t="s">
        <v>1091</v>
      </c>
      <c r="G301" t="s">
        <v>31</v>
      </c>
      <c r="H301" t="s">
        <v>32</v>
      </c>
      <c r="I301" t="s">
        <v>30</v>
      </c>
      <c r="J301">
        <v>20</v>
      </c>
      <c r="K301">
        <v>14</v>
      </c>
      <c r="L301">
        <v>26.6</v>
      </c>
      <c r="M301">
        <v>12.8</v>
      </c>
      <c r="N301" t="s">
        <v>1491</v>
      </c>
      <c r="O301" s="10">
        <v>0.3263888888888889</v>
      </c>
      <c r="Q301" t="s">
        <v>64</v>
      </c>
    </row>
    <row r="302" spans="1:18" x14ac:dyDescent="0.2">
      <c r="A302" s="3">
        <v>42601</v>
      </c>
      <c r="B302">
        <v>2844</v>
      </c>
      <c r="C302">
        <v>2843</v>
      </c>
      <c r="D302">
        <f>30-14</f>
        <v>16</v>
      </c>
      <c r="E302" t="s">
        <v>188</v>
      </c>
      <c r="F302" s="9" t="s">
        <v>235</v>
      </c>
      <c r="G302" t="s">
        <v>63</v>
      </c>
      <c r="H302" t="s">
        <v>32</v>
      </c>
      <c r="I302" t="s">
        <v>35</v>
      </c>
      <c r="J302">
        <v>19.5</v>
      </c>
      <c r="K302">
        <v>15</v>
      </c>
      <c r="L302">
        <v>13</v>
      </c>
      <c r="M302">
        <v>26.8</v>
      </c>
      <c r="Q302" t="s">
        <v>64</v>
      </c>
    </row>
    <row r="303" spans="1:18" x14ac:dyDescent="0.2">
      <c r="A303" s="3">
        <v>42601</v>
      </c>
      <c r="B303">
        <v>50915</v>
      </c>
      <c r="C303">
        <v>50914</v>
      </c>
      <c r="D303">
        <f>24-13</f>
        <v>11</v>
      </c>
      <c r="E303" t="s">
        <v>123</v>
      </c>
      <c r="F303" s="9" t="s">
        <v>1406</v>
      </c>
      <c r="G303" t="s">
        <v>63</v>
      </c>
      <c r="H303" t="s">
        <v>32</v>
      </c>
      <c r="I303" t="s">
        <v>35</v>
      </c>
      <c r="J303">
        <v>19</v>
      </c>
      <c r="K303">
        <v>15</v>
      </c>
      <c r="L303">
        <v>12.8</v>
      </c>
      <c r="M303">
        <v>26.5</v>
      </c>
      <c r="Q303" t="s">
        <v>64</v>
      </c>
    </row>
    <row r="304" spans="1:18" x14ac:dyDescent="0.2">
      <c r="A304" s="3">
        <v>42601</v>
      </c>
      <c r="B304">
        <v>2686</v>
      </c>
      <c r="C304">
        <v>2685</v>
      </c>
      <c r="D304">
        <f>28.5-16</f>
        <v>12.5</v>
      </c>
      <c r="E304" t="s">
        <v>123</v>
      </c>
      <c r="F304" s="9" t="s">
        <v>296</v>
      </c>
      <c r="G304" t="s">
        <v>31</v>
      </c>
      <c r="H304" t="s">
        <v>32</v>
      </c>
      <c r="I304" t="s">
        <v>30</v>
      </c>
      <c r="J304">
        <v>18</v>
      </c>
      <c r="K304">
        <v>18</v>
      </c>
      <c r="L304">
        <v>13.1</v>
      </c>
      <c r="M304">
        <v>27.8</v>
      </c>
      <c r="Q304" t="s">
        <v>64</v>
      </c>
      <c r="R304" t="s">
        <v>1492</v>
      </c>
    </row>
    <row r="305" spans="1:17" x14ac:dyDescent="0.2">
      <c r="A305" s="3">
        <v>42601</v>
      </c>
      <c r="B305">
        <v>50907</v>
      </c>
      <c r="C305">
        <v>50906</v>
      </c>
      <c r="D305">
        <f>27.5-13.5</f>
        <v>14</v>
      </c>
      <c r="E305" t="s">
        <v>123</v>
      </c>
      <c r="F305" s="9" t="s">
        <v>98</v>
      </c>
      <c r="G305" t="s">
        <v>31</v>
      </c>
      <c r="H305" t="s">
        <v>32</v>
      </c>
      <c r="I305" t="s">
        <v>30</v>
      </c>
      <c r="N305" t="s">
        <v>1493</v>
      </c>
      <c r="O305" s="10">
        <v>0.39930555555555558</v>
      </c>
      <c r="Q305" t="s">
        <v>64</v>
      </c>
    </row>
    <row r="306" spans="1:17" x14ac:dyDescent="0.2">
      <c r="A306" s="3">
        <v>42601</v>
      </c>
      <c r="B306">
        <v>2693</v>
      </c>
      <c r="D306">
        <f>30-14</f>
        <v>16</v>
      </c>
      <c r="E306" t="s">
        <v>188</v>
      </c>
      <c r="F306" s="9" t="s">
        <v>646</v>
      </c>
      <c r="G306" t="s">
        <v>63</v>
      </c>
      <c r="H306" t="s">
        <v>32</v>
      </c>
      <c r="I306" t="s">
        <v>35</v>
      </c>
      <c r="J306">
        <v>19</v>
      </c>
      <c r="K306">
        <v>14</v>
      </c>
      <c r="L306">
        <v>12.9</v>
      </c>
      <c r="M306">
        <v>27.3</v>
      </c>
      <c r="N306" t="s">
        <v>1494</v>
      </c>
      <c r="O306" s="10">
        <v>0.41111111111111115</v>
      </c>
      <c r="Q306" t="s">
        <v>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8"/>
  <sheetViews>
    <sheetView workbookViewId="0">
      <pane ySplit="1" topLeftCell="A34" activePane="bottomLeft" state="frozen"/>
      <selection pane="bottomLeft" activeCell="B38" sqref="B38"/>
    </sheetView>
  </sheetViews>
  <sheetFormatPr baseColWidth="10" defaultColWidth="8.83203125" defaultRowHeight="15" x14ac:dyDescent="0.2"/>
  <cols>
    <col min="1" max="1" width="10.6640625" bestFit="1" customWidth="1"/>
    <col min="6" max="6" width="12.33203125" customWidth="1"/>
    <col min="7" max="7" width="27" customWidth="1"/>
    <col min="8" max="8" width="19" customWidth="1"/>
    <col min="10" max="10" width="20.5" customWidth="1"/>
  </cols>
  <sheetData>
    <row r="1" spans="1:11" x14ac:dyDescent="0.2">
      <c r="A1" t="s">
        <v>0</v>
      </c>
      <c r="B1" t="s">
        <v>176</v>
      </c>
      <c r="C1" t="s">
        <v>177</v>
      </c>
      <c r="D1" t="s">
        <v>16</v>
      </c>
      <c r="E1" t="s">
        <v>4</v>
      </c>
      <c r="F1" t="s">
        <v>178</v>
      </c>
      <c r="G1" t="s">
        <v>179</v>
      </c>
      <c r="H1" t="s">
        <v>181</v>
      </c>
      <c r="I1" t="s">
        <v>180</v>
      </c>
      <c r="J1" t="s">
        <v>185</v>
      </c>
      <c r="K1" t="s">
        <v>103</v>
      </c>
    </row>
    <row r="2" spans="1:11" x14ac:dyDescent="0.2">
      <c r="A2" s="3">
        <v>42527</v>
      </c>
      <c r="B2">
        <v>50344</v>
      </c>
      <c r="C2">
        <v>50343</v>
      </c>
      <c r="D2">
        <v>29</v>
      </c>
      <c r="E2" s="9" t="s">
        <v>172</v>
      </c>
      <c r="F2" t="s">
        <v>173</v>
      </c>
      <c r="G2" s="10">
        <v>0.29166666666666669</v>
      </c>
      <c r="H2">
        <v>0</v>
      </c>
      <c r="I2" s="11">
        <v>41426</v>
      </c>
    </row>
    <row r="3" spans="1:11" x14ac:dyDescent="0.2">
      <c r="A3" s="3">
        <v>42530</v>
      </c>
      <c r="B3">
        <v>50344</v>
      </c>
      <c r="C3">
        <v>50343</v>
      </c>
      <c r="D3">
        <v>33.5</v>
      </c>
      <c r="E3" t="s">
        <v>172</v>
      </c>
      <c r="F3" t="s">
        <v>195</v>
      </c>
      <c r="G3" s="10">
        <v>0.34027777777777773</v>
      </c>
      <c r="H3">
        <v>3</v>
      </c>
    </row>
    <row r="4" spans="1:11" x14ac:dyDescent="0.2">
      <c r="A4" s="3">
        <v>42533</v>
      </c>
      <c r="B4">
        <v>50344</v>
      </c>
      <c r="C4">
        <v>50343</v>
      </c>
      <c r="D4">
        <v>38.5</v>
      </c>
      <c r="E4" t="s">
        <v>172</v>
      </c>
      <c r="F4" t="s">
        <v>199</v>
      </c>
      <c r="G4" s="10">
        <v>0.3263888888888889</v>
      </c>
      <c r="H4">
        <v>6</v>
      </c>
    </row>
    <row r="5" spans="1:11" x14ac:dyDescent="0.2">
      <c r="A5" s="3">
        <v>42534</v>
      </c>
      <c r="B5">
        <v>50344</v>
      </c>
      <c r="C5">
        <v>50343</v>
      </c>
      <c r="D5">
        <v>35.5</v>
      </c>
      <c r="E5" t="s">
        <v>172</v>
      </c>
      <c r="G5" s="4"/>
      <c r="H5">
        <v>7</v>
      </c>
    </row>
    <row r="6" spans="1:11" x14ac:dyDescent="0.2">
      <c r="A6" s="3">
        <v>42527</v>
      </c>
      <c r="B6">
        <v>50362</v>
      </c>
      <c r="C6">
        <v>50361</v>
      </c>
      <c r="D6">
        <v>24</v>
      </c>
      <c r="E6" t="s">
        <v>194</v>
      </c>
      <c r="F6" t="s">
        <v>186</v>
      </c>
      <c r="G6" s="10">
        <v>0.84930555555555554</v>
      </c>
      <c r="H6">
        <v>0</v>
      </c>
    </row>
    <row r="7" spans="1:11" x14ac:dyDescent="0.2">
      <c r="A7" s="3">
        <v>42528</v>
      </c>
      <c r="B7">
        <v>50362</v>
      </c>
      <c r="C7">
        <v>50361</v>
      </c>
      <c r="D7">
        <v>24</v>
      </c>
      <c r="E7" t="s">
        <v>194</v>
      </c>
      <c r="F7" t="s">
        <v>184</v>
      </c>
      <c r="G7" s="10">
        <v>0.3125</v>
      </c>
      <c r="H7">
        <v>1</v>
      </c>
    </row>
    <row r="8" spans="1:11" x14ac:dyDescent="0.2">
      <c r="A8" s="3">
        <v>42530</v>
      </c>
      <c r="B8">
        <v>50362</v>
      </c>
      <c r="C8">
        <v>50361</v>
      </c>
      <c r="D8">
        <v>25.5</v>
      </c>
      <c r="E8" t="s">
        <v>194</v>
      </c>
      <c r="H8">
        <v>3</v>
      </c>
    </row>
    <row r="9" spans="1:11" x14ac:dyDescent="0.2">
      <c r="A9" s="3">
        <v>42533</v>
      </c>
      <c r="B9">
        <v>50362</v>
      </c>
      <c r="C9">
        <v>50361</v>
      </c>
      <c r="D9">
        <v>25.5</v>
      </c>
      <c r="E9" t="s">
        <v>194</v>
      </c>
      <c r="F9" t="s">
        <v>198</v>
      </c>
      <c r="G9" s="10">
        <v>0.3263888888888889</v>
      </c>
      <c r="H9">
        <v>6</v>
      </c>
    </row>
    <row r="10" spans="1:11" x14ac:dyDescent="0.2">
      <c r="A10" s="3">
        <v>42534</v>
      </c>
      <c r="B10">
        <v>50362</v>
      </c>
      <c r="C10">
        <v>50361</v>
      </c>
      <c r="D10">
        <v>23.5</v>
      </c>
      <c r="E10" t="s">
        <v>194</v>
      </c>
      <c r="G10" s="4"/>
      <c r="H10">
        <v>7</v>
      </c>
      <c r="J10" t="s">
        <v>233</v>
      </c>
    </row>
    <row r="11" spans="1:11" x14ac:dyDescent="0.2">
      <c r="A11" s="3">
        <v>42534</v>
      </c>
      <c r="B11">
        <v>50378</v>
      </c>
      <c r="C11">
        <v>50377</v>
      </c>
      <c r="D11">
        <v>24</v>
      </c>
      <c r="E11" t="s">
        <v>200</v>
      </c>
      <c r="F11" t="s">
        <v>201</v>
      </c>
      <c r="G11" s="10">
        <v>0.24097222222222223</v>
      </c>
      <c r="H11">
        <v>0</v>
      </c>
    </row>
    <row r="12" spans="1:11" x14ac:dyDescent="0.2">
      <c r="A12" s="3">
        <v>42537</v>
      </c>
      <c r="B12">
        <v>50378</v>
      </c>
      <c r="C12">
        <v>50377</v>
      </c>
      <c r="D12">
        <v>25</v>
      </c>
      <c r="E12" t="s">
        <v>200</v>
      </c>
      <c r="F12" t="s">
        <v>232</v>
      </c>
      <c r="G12" s="10">
        <v>0.3611111111111111</v>
      </c>
      <c r="H12">
        <v>3</v>
      </c>
    </row>
    <row r="13" spans="1:11" x14ac:dyDescent="0.2">
      <c r="A13" s="3">
        <v>42543</v>
      </c>
      <c r="B13">
        <v>50378</v>
      </c>
      <c r="C13">
        <v>50377</v>
      </c>
      <c r="D13">
        <v>27.5</v>
      </c>
      <c r="E13" t="s">
        <v>200</v>
      </c>
      <c r="F13" t="s">
        <v>283</v>
      </c>
      <c r="G13" s="10">
        <v>0.35694444444444445</v>
      </c>
      <c r="H13">
        <v>9</v>
      </c>
    </row>
    <row r="14" spans="1:11" x14ac:dyDescent="0.2">
      <c r="A14" s="3">
        <v>42546</v>
      </c>
      <c r="B14">
        <v>50378</v>
      </c>
      <c r="C14">
        <v>50377</v>
      </c>
      <c r="D14">
        <v>29.5</v>
      </c>
      <c r="E14" t="s">
        <v>200</v>
      </c>
      <c r="F14" t="s">
        <v>284</v>
      </c>
      <c r="G14" s="10">
        <v>0.41805555555555557</v>
      </c>
      <c r="H14">
        <v>12</v>
      </c>
    </row>
    <row r="15" spans="1:11" x14ac:dyDescent="0.2">
      <c r="A15" s="3">
        <v>42540</v>
      </c>
      <c r="B15">
        <v>50422</v>
      </c>
      <c r="C15">
        <v>50423</v>
      </c>
      <c r="D15">
        <v>24</v>
      </c>
      <c r="E15" t="s">
        <v>236</v>
      </c>
      <c r="F15" t="s">
        <v>237</v>
      </c>
      <c r="G15" s="10">
        <v>0.45833333333333331</v>
      </c>
      <c r="H15">
        <v>0</v>
      </c>
      <c r="I15" s="11">
        <v>44713</v>
      </c>
    </row>
    <row r="16" spans="1:11" x14ac:dyDescent="0.2">
      <c r="A16" s="3">
        <v>42548</v>
      </c>
      <c r="B16">
        <v>50577</v>
      </c>
      <c r="C16">
        <v>50576</v>
      </c>
      <c r="D16">
        <f>21</f>
        <v>21</v>
      </c>
      <c r="E16" t="s">
        <v>293</v>
      </c>
      <c r="F16" t="s">
        <v>301</v>
      </c>
      <c r="G16" s="10">
        <v>0.42222222222222222</v>
      </c>
      <c r="H16">
        <v>0</v>
      </c>
    </row>
    <row r="17" spans="1:11" x14ac:dyDescent="0.2">
      <c r="A17" s="3">
        <v>42549</v>
      </c>
      <c r="B17">
        <v>50378</v>
      </c>
      <c r="C17">
        <v>50377</v>
      </c>
      <c r="D17">
        <v>34</v>
      </c>
      <c r="E17" t="s">
        <v>200</v>
      </c>
      <c r="F17" t="s">
        <v>305</v>
      </c>
      <c r="G17" s="10">
        <v>0.35069444444444442</v>
      </c>
      <c r="H17">
        <v>15</v>
      </c>
      <c r="I17" s="11">
        <v>37073</v>
      </c>
    </row>
    <row r="18" spans="1:11" x14ac:dyDescent="0.2">
      <c r="A18" s="3">
        <v>42551</v>
      </c>
      <c r="B18">
        <v>50577</v>
      </c>
      <c r="C18">
        <v>50576</v>
      </c>
      <c r="D18">
        <v>27</v>
      </c>
      <c r="E18" t="s">
        <v>293</v>
      </c>
      <c r="F18" t="s">
        <v>198</v>
      </c>
      <c r="G18" s="10">
        <v>0.43402777777777773</v>
      </c>
      <c r="H18">
        <v>3</v>
      </c>
    </row>
    <row r="19" spans="1:11" x14ac:dyDescent="0.2">
      <c r="A19" s="3">
        <v>42552</v>
      </c>
      <c r="B19">
        <v>2698</v>
      </c>
      <c r="C19">
        <v>2697</v>
      </c>
      <c r="D19">
        <v>20.5</v>
      </c>
      <c r="E19" t="s">
        <v>98</v>
      </c>
      <c r="H19">
        <v>0</v>
      </c>
      <c r="I19" s="11">
        <v>40360</v>
      </c>
    </row>
    <row r="20" spans="1:11" x14ac:dyDescent="0.2">
      <c r="A20" s="3">
        <v>42554</v>
      </c>
      <c r="B20">
        <v>50406</v>
      </c>
      <c r="C20">
        <v>50405</v>
      </c>
      <c r="D20">
        <v>30.5</v>
      </c>
      <c r="E20" t="s">
        <v>243</v>
      </c>
      <c r="F20" t="s">
        <v>388</v>
      </c>
      <c r="G20" s="10">
        <v>0.44791666666666669</v>
      </c>
      <c r="H20">
        <v>14</v>
      </c>
      <c r="I20" s="11">
        <v>38899</v>
      </c>
      <c r="K20" t="s">
        <v>389</v>
      </c>
    </row>
    <row r="21" spans="1:11" x14ac:dyDescent="0.2">
      <c r="A21" s="3">
        <v>42554</v>
      </c>
      <c r="B21">
        <v>50577</v>
      </c>
      <c r="C21">
        <v>50576</v>
      </c>
      <c r="D21">
        <v>34</v>
      </c>
      <c r="E21" t="s">
        <v>293</v>
      </c>
      <c r="F21" t="s">
        <v>390</v>
      </c>
      <c r="G21" s="10">
        <v>0.49444444444444446</v>
      </c>
      <c r="H21">
        <v>6</v>
      </c>
      <c r="I21" s="11">
        <v>38534</v>
      </c>
    </row>
    <row r="22" spans="1:11" x14ac:dyDescent="0.2">
      <c r="A22" s="3">
        <v>42555</v>
      </c>
      <c r="B22">
        <v>2698</v>
      </c>
      <c r="C22">
        <v>2697</v>
      </c>
      <c r="D22">
        <f>32</f>
        <v>32</v>
      </c>
      <c r="E22" t="s">
        <v>98</v>
      </c>
      <c r="F22" t="s">
        <v>402</v>
      </c>
      <c r="G22" s="10">
        <v>0.39374999999999999</v>
      </c>
      <c r="H22">
        <v>3</v>
      </c>
    </row>
    <row r="23" spans="1:11" x14ac:dyDescent="0.2">
      <c r="A23" s="3">
        <v>42558</v>
      </c>
      <c r="B23">
        <v>2695</v>
      </c>
      <c r="C23">
        <v>2694</v>
      </c>
      <c r="D23">
        <v>26.5</v>
      </c>
      <c r="E23" t="s">
        <v>439</v>
      </c>
      <c r="F23" t="s">
        <v>454</v>
      </c>
      <c r="G23" s="10">
        <v>0.25694444444444448</v>
      </c>
      <c r="H23">
        <v>0</v>
      </c>
      <c r="K23" t="s">
        <v>441</v>
      </c>
    </row>
    <row r="24" spans="1:11" x14ac:dyDescent="0.2">
      <c r="A24" s="3">
        <v>42559</v>
      </c>
      <c r="B24">
        <v>2698</v>
      </c>
      <c r="C24">
        <v>2697</v>
      </c>
      <c r="D24">
        <v>34</v>
      </c>
      <c r="E24" t="s">
        <v>98</v>
      </c>
      <c r="F24" t="s">
        <v>455</v>
      </c>
      <c r="G24" s="10">
        <v>0.35972222222222222</v>
      </c>
      <c r="H24">
        <v>7</v>
      </c>
    </row>
    <row r="25" spans="1:11" x14ac:dyDescent="0.2">
      <c r="A25" s="3">
        <v>42561</v>
      </c>
      <c r="B25">
        <v>2800</v>
      </c>
      <c r="C25">
        <v>2786</v>
      </c>
      <c r="D25">
        <f>34-9.5</f>
        <v>24.5</v>
      </c>
      <c r="E25" t="s">
        <v>234</v>
      </c>
      <c r="F25" t="s">
        <v>481</v>
      </c>
      <c r="G25" s="10">
        <v>0.36527777777777781</v>
      </c>
      <c r="H25">
        <v>0</v>
      </c>
    </row>
    <row r="26" spans="1:11" x14ac:dyDescent="0.2">
      <c r="A26" s="3">
        <v>42562</v>
      </c>
      <c r="B26">
        <v>2633</v>
      </c>
      <c r="C26">
        <v>2632</v>
      </c>
      <c r="D26">
        <v>17</v>
      </c>
      <c r="E26" t="s">
        <v>394</v>
      </c>
      <c r="F26" t="s">
        <v>459</v>
      </c>
      <c r="G26" t="s">
        <v>460</v>
      </c>
      <c r="H26">
        <v>0</v>
      </c>
    </row>
    <row r="27" spans="1:11" x14ac:dyDescent="0.2">
      <c r="A27" s="3">
        <v>42562</v>
      </c>
      <c r="B27">
        <v>2799</v>
      </c>
      <c r="C27">
        <v>2795</v>
      </c>
      <c r="D27">
        <v>18</v>
      </c>
      <c r="E27" t="s">
        <v>461</v>
      </c>
      <c r="F27" t="s">
        <v>462</v>
      </c>
      <c r="G27" s="10">
        <v>0.35625000000000001</v>
      </c>
      <c r="H27">
        <v>0</v>
      </c>
      <c r="J27" t="s">
        <v>483</v>
      </c>
    </row>
    <row r="28" spans="1:11" x14ac:dyDescent="0.2">
      <c r="A28" s="3">
        <v>42564</v>
      </c>
      <c r="B28">
        <v>2800</v>
      </c>
      <c r="C28">
        <v>2786</v>
      </c>
      <c r="D28">
        <v>25.5</v>
      </c>
      <c r="E28" t="s">
        <v>234</v>
      </c>
      <c r="F28" t="s">
        <v>508</v>
      </c>
      <c r="G28" s="10">
        <v>0.39305555555555555</v>
      </c>
      <c r="H28">
        <v>3</v>
      </c>
    </row>
    <row r="29" spans="1:11" x14ac:dyDescent="0.2">
      <c r="A29" s="3">
        <v>42564</v>
      </c>
      <c r="B29">
        <v>2695</v>
      </c>
      <c r="C29">
        <v>2694</v>
      </c>
      <c r="D29">
        <v>24.5</v>
      </c>
      <c r="E29" t="s">
        <v>439</v>
      </c>
      <c r="F29" t="s">
        <v>509</v>
      </c>
      <c r="G29" s="10">
        <v>0.39583333333333331</v>
      </c>
      <c r="H29">
        <v>6</v>
      </c>
    </row>
    <row r="30" spans="1:11" x14ac:dyDescent="0.2">
      <c r="A30" s="3">
        <v>42565</v>
      </c>
      <c r="B30">
        <v>2799</v>
      </c>
      <c r="C30">
        <v>2795</v>
      </c>
      <c r="D30">
        <v>20</v>
      </c>
      <c r="E30" t="s">
        <v>461</v>
      </c>
      <c r="F30" t="s">
        <v>507</v>
      </c>
      <c r="G30" s="10">
        <v>0.48472222222222222</v>
      </c>
      <c r="H30">
        <v>3</v>
      </c>
    </row>
    <row r="31" spans="1:11" x14ac:dyDescent="0.2">
      <c r="A31" s="3">
        <v>42565</v>
      </c>
      <c r="B31">
        <v>2633</v>
      </c>
      <c r="C31">
        <v>2632</v>
      </c>
      <c r="D31">
        <v>21</v>
      </c>
      <c r="E31" t="s">
        <v>394</v>
      </c>
      <c r="H31">
        <v>3</v>
      </c>
    </row>
    <row r="32" spans="1:11" x14ac:dyDescent="0.2">
      <c r="A32" s="3">
        <v>42566</v>
      </c>
      <c r="B32">
        <v>2699</v>
      </c>
      <c r="C32">
        <v>2700</v>
      </c>
      <c r="D32">
        <v>24</v>
      </c>
      <c r="E32" t="s">
        <v>356</v>
      </c>
      <c r="F32" t="s">
        <v>539</v>
      </c>
      <c r="G32" s="10">
        <v>0.21805555555555556</v>
      </c>
      <c r="H32">
        <v>14</v>
      </c>
      <c r="K32" t="s">
        <v>540</v>
      </c>
    </row>
    <row r="33" spans="1:11" x14ac:dyDescent="0.2">
      <c r="A33" s="3">
        <v>42567</v>
      </c>
      <c r="B33">
        <v>2800</v>
      </c>
      <c r="C33">
        <v>2786</v>
      </c>
      <c r="D33">
        <f>35-9</f>
        <v>26</v>
      </c>
      <c r="E33" t="s">
        <v>234</v>
      </c>
      <c r="F33" t="s">
        <v>517</v>
      </c>
      <c r="G33" s="10">
        <v>0.38750000000000001</v>
      </c>
      <c r="H33">
        <v>6</v>
      </c>
    </row>
    <row r="34" spans="1:11" x14ac:dyDescent="0.2">
      <c r="A34" s="3">
        <v>42567</v>
      </c>
      <c r="B34">
        <v>2695</v>
      </c>
      <c r="C34">
        <v>2694</v>
      </c>
      <c r="D34">
        <f>33-8.5</f>
        <v>24.5</v>
      </c>
      <c r="E34" t="s">
        <v>439</v>
      </c>
      <c r="F34" t="s">
        <v>518</v>
      </c>
      <c r="G34" s="10">
        <v>0.39097222222222222</v>
      </c>
      <c r="H34">
        <v>9</v>
      </c>
    </row>
    <row r="35" spans="1:11" x14ac:dyDescent="0.2">
      <c r="A35" s="3">
        <v>42568</v>
      </c>
      <c r="B35">
        <v>2633</v>
      </c>
      <c r="C35">
        <v>2632</v>
      </c>
      <c r="D35">
        <v>19.5</v>
      </c>
      <c r="E35" t="s">
        <v>394</v>
      </c>
      <c r="F35" t="s">
        <v>519</v>
      </c>
      <c r="G35" s="10">
        <v>0.4777777777777778</v>
      </c>
      <c r="H35">
        <v>6</v>
      </c>
    </row>
    <row r="36" spans="1:11" x14ac:dyDescent="0.2">
      <c r="A36" s="3">
        <v>42568</v>
      </c>
      <c r="B36">
        <v>2799</v>
      </c>
      <c r="C36">
        <v>2795</v>
      </c>
      <c r="D36">
        <v>19</v>
      </c>
      <c r="E36" t="s">
        <v>461</v>
      </c>
      <c r="F36" t="s">
        <v>520</v>
      </c>
      <c r="G36" s="10">
        <v>0.48055555555555557</v>
      </c>
      <c r="H36">
        <v>6</v>
      </c>
      <c r="K36" t="s">
        <v>521</v>
      </c>
    </row>
    <row r="37" spans="1:11" x14ac:dyDescent="0.2">
      <c r="A37" s="3">
        <v>42569</v>
      </c>
      <c r="B37">
        <v>2699</v>
      </c>
      <c r="C37">
        <v>2700</v>
      </c>
      <c r="D37">
        <v>29</v>
      </c>
      <c r="E37" t="s">
        <v>356</v>
      </c>
      <c r="F37" t="s">
        <v>538</v>
      </c>
      <c r="G37" s="10">
        <v>0.42152777777777778</v>
      </c>
      <c r="H37">
        <v>17</v>
      </c>
    </row>
    <row r="38" spans="1:11" x14ac:dyDescent="0.2">
      <c r="A38" s="3">
        <v>42569</v>
      </c>
      <c r="B38">
        <v>50723</v>
      </c>
      <c r="C38">
        <v>50722</v>
      </c>
      <c r="D38">
        <f>39-11</f>
        <v>28</v>
      </c>
      <c r="E38" t="s">
        <v>564</v>
      </c>
      <c r="G38" s="10"/>
      <c r="H38">
        <v>0</v>
      </c>
    </row>
    <row r="39" spans="1:11" x14ac:dyDescent="0.2">
      <c r="A39" s="3">
        <v>42570</v>
      </c>
      <c r="B39">
        <v>2800</v>
      </c>
      <c r="C39">
        <v>2786</v>
      </c>
      <c r="D39">
        <f>33-9</f>
        <v>24</v>
      </c>
      <c r="E39" t="s">
        <v>234</v>
      </c>
      <c r="F39" t="s">
        <v>562</v>
      </c>
      <c r="G39" s="10">
        <v>0.48333333333333334</v>
      </c>
      <c r="H39">
        <v>9</v>
      </c>
    </row>
    <row r="40" spans="1:11" x14ac:dyDescent="0.2">
      <c r="A40" s="3">
        <v>42570</v>
      </c>
      <c r="B40">
        <v>2695</v>
      </c>
      <c r="C40">
        <v>2694</v>
      </c>
      <c r="D40">
        <f>35-10.5</f>
        <v>24.5</v>
      </c>
      <c r="E40" t="s">
        <v>439</v>
      </c>
      <c r="F40" t="s">
        <v>563</v>
      </c>
      <c r="G40" s="10">
        <v>0.4861111111111111</v>
      </c>
      <c r="H40">
        <v>12</v>
      </c>
    </row>
    <row r="41" spans="1:11" x14ac:dyDescent="0.2">
      <c r="A41" s="3">
        <v>42570</v>
      </c>
      <c r="B41">
        <v>50723</v>
      </c>
      <c r="C41">
        <v>50722</v>
      </c>
      <c r="D41">
        <f>42.5-9</f>
        <v>33.5</v>
      </c>
      <c r="E41" t="s">
        <v>564</v>
      </c>
      <c r="F41" t="s">
        <v>565</v>
      </c>
      <c r="G41" s="10">
        <v>0.47569444444444442</v>
      </c>
      <c r="H41">
        <v>1</v>
      </c>
      <c r="I41" s="11">
        <v>44378</v>
      </c>
    </row>
    <row r="42" spans="1:11" x14ac:dyDescent="0.2">
      <c r="A42" s="3">
        <v>42572</v>
      </c>
      <c r="B42">
        <v>2699</v>
      </c>
      <c r="C42">
        <v>2700</v>
      </c>
      <c r="D42">
        <v>32.5</v>
      </c>
      <c r="E42" t="s">
        <v>356</v>
      </c>
      <c r="F42" t="s">
        <v>634</v>
      </c>
      <c r="G42" s="10">
        <v>0.50347222222222221</v>
      </c>
      <c r="H42">
        <v>20</v>
      </c>
      <c r="I42" s="11">
        <v>45474</v>
      </c>
    </row>
    <row r="43" spans="1:11" x14ac:dyDescent="0.2">
      <c r="A43" s="3">
        <v>42573</v>
      </c>
      <c r="B43">
        <v>2695</v>
      </c>
      <c r="C43">
        <v>2694</v>
      </c>
      <c r="D43">
        <v>29.5</v>
      </c>
      <c r="E43" t="s">
        <v>439</v>
      </c>
      <c r="F43" t="s">
        <v>661</v>
      </c>
      <c r="G43" s="10">
        <v>0.4291666666666667</v>
      </c>
      <c r="H43">
        <v>15</v>
      </c>
      <c r="K43" t="s">
        <v>95</v>
      </c>
    </row>
    <row r="44" spans="1:11" x14ac:dyDescent="0.2">
      <c r="A44" s="3">
        <v>42573</v>
      </c>
      <c r="B44">
        <v>2800</v>
      </c>
      <c r="C44">
        <v>2786</v>
      </c>
      <c r="D44">
        <v>23</v>
      </c>
      <c r="E44" t="s">
        <v>234</v>
      </c>
      <c r="F44" t="s">
        <v>663</v>
      </c>
      <c r="G44" s="10">
        <v>0.43194444444444446</v>
      </c>
      <c r="H44">
        <v>12</v>
      </c>
      <c r="K44" t="s">
        <v>662</v>
      </c>
    </row>
    <row r="45" spans="1:11" x14ac:dyDescent="0.2">
      <c r="A45" s="3">
        <v>42576</v>
      </c>
      <c r="B45">
        <v>2695</v>
      </c>
      <c r="C45">
        <v>2694</v>
      </c>
      <c r="D45">
        <v>30.5</v>
      </c>
      <c r="E45" t="s">
        <v>439</v>
      </c>
      <c r="F45" t="s">
        <v>743</v>
      </c>
      <c r="G45" s="10">
        <v>0.40902777777777777</v>
      </c>
      <c r="H45">
        <v>18</v>
      </c>
    </row>
    <row r="46" spans="1:11" x14ac:dyDescent="0.2">
      <c r="A46" s="3">
        <v>42576</v>
      </c>
      <c r="B46">
        <v>2800</v>
      </c>
      <c r="C46">
        <v>2786</v>
      </c>
      <c r="D46">
        <v>23</v>
      </c>
      <c r="E46" t="s">
        <v>234</v>
      </c>
      <c r="F46" t="s">
        <v>742</v>
      </c>
      <c r="G46" s="10">
        <v>0.41250000000000003</v>
      </c>
      <c r="H46">
        <v>15</v>
      </c>
    </row>
    <row r="47" spans="1:11" x14ac:dyDescent="0.2">
      <c r="A47" s="3">
        <v>42579</v>
      </c>
      <c r="B47">
        <v>2800</v>
      </c>
      <c r="C47">
        <v>2786</v>
      </c>
      <c r="D47">
        <f>34-9.5</f>
        <v>24.5</v>
      </c>
      <c r="E47" t="s">
        <v>391</v>
      </c>
      <c r="F47" t="s">
        <v>824</v>
      </c>
      <c r="G47" s="10">
        <v>0.31458333333333333</v>
      </c>
      <c r="H47">
        <v>18</v>
      </c>
    </row>
    <row r="48" spans="1:11" x14ac:dyDescent="0.2">
      <c r="A48" s="3">
        <v>42582</v>
      </c>
      <c r="B48">
        <v>2800</v>
      </c>
      <c r="C48">
        <v>2786</v>
      </c>
      <c r="D48">
        <f>32.5-9</f>
        <v>23.5</v>
      </c>
      <c r="E48" t="s">
        <v>158</v>
      </c>
      <c r="F48" t="s">
        <v>825</v>
      </c>
      <c r="G48" s="10">
        <v>0.45555555555555555</v>
      </c>
      <c r="H48">
        <v>21</v>
      </c>
    </row>
  </sheetData>
  <sortState xmlns:xlrd2="http://schemas.microsoft.com/office/spreadsheetml/2017/richdata2" ref="A2:K16">
    <sortCondition ref="B2:B1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7" max="7" width="18.5" bestFit="1" customWidth="1"/>
    <col min="8" max="9" width="18.5" customWidth="1"/>
    <col min="11" max="11" width="13.33203125" customWidth="1"/>
    <col min="12" max="12" width="15" customWidth="1"/>
    <col min="13" max="13" width="12.5" customWidth="1"/>
    <col min="14" max="14" width="14.6640625" customWidth="1"/>
    <col min="15" max="17" width="23.5" customWidth="1"/>
    <col min="18" max="18" width="23.5" style="31" customWidth="1"/>
    <col min="19" max="19" width="16.5" style="4" customWidth="1"/>
    <col min="20" max="20" width="20.83203125" customWidth="1"/>
  </cols>
  <sheetData>
    <row r="1" spans="1:47" x14ac:dyDescent="0.2">
      <c r="A1" s="2" t="s">
        <v>0</v>
      </c>
      <c r="B1" s="2" t="s">
        <v>76</v>
      </c>
      <c r="C1" s="2" t="s">
        <v>77</v>
      </c>
      <c r="D1" s="2" t="s">
        <v>78</v>
      </c>
      <c r="E1" s="2" t="s">
        <v>4</v>
      </c>
      <c r="F1" s="2" t="s">
        <v>79</v>
      </c>
      <c r="G1" s="2" t="s">
        <v>80</v>
      </c>
      <c r="H1" s="2" t="s">
        <v>405</v>
      </c>
      <c r="I1" s="2" t="s">
        <v>2127</v>
      </c>
      <c r="J1" s="2" t="s">
        <v>10</v>
      </c>
      <c r="K1" s="2" t="s">
        <v>222</v>
      </c>
      <c r="L1" s="2" t="s">
        <v>223</v>
      </c>
      <c r="M1" s="2" t="s">
        <v>228</v>
      </c>
      <c r="N1" s="2" t="s">
        <v>171</v>
      </c>
      <c r="O1" s="2" t="s">
        <v>174</v>
      </c>
      <c r="P1" s="2" t="s">
        <v>306</v>
      </c>
      <c r="Q1" s="2" t="s">
        <v>368</v>
      </c>
      <c r="R1" s="30" t="s">
        <v>314</v>
      </c>
      <c r="S1" s="27" t="s">
        <v>175</v>
      </c>
      <c r="T1" s="2" t="s">
        <v>328</v>
      </c>
      <c r="U1" s="2" t="s">
        <v>5</v>
      </c>
      <c r="V1" s="2" t="s">
        <v>103</v>
      </c>
      <c r="W1" s="9"/>
      <c r="X1" s="2"/>
      <c r="Y1" s="9"/>
      <c r="Z1" s="9"/>
      <c r="AA1" s="2"/>
      <c r="AB1" s="9"/>
      <c r="AC1" s="9"/>
      <c r="AD1" s="2"/>
      <c r="AE1" s="9"/>
      <c r="AF1" s="9"/>
      <c r="AG1" s="2"/>
      <c r="AH1" s="9"/>
      <c r="AI1" s="9"/>
      <c r="AJ1" s="2"/>
      <c r="AK1" s="9"/>
      <c r="AL1" s="9"/>
      <c r="AM1" s="2"/>
      <c r="AN1" s="9"/>
      <c r="AO1" s="9"/>
      <c r="AP1" s="2"/>
      <c r="AQ1" s="9"/>
      <c r="AR1" s="9"/>
      <c r="AS1" s="2"/>
      <c r="AT1" s="9"/>
      <c r="AU1" s="9"/>
    </row>
    <row r="2" spans="1:47" x14ac:dyDescent="0.2">
      <c r="A2" s="3">
        <v>42538</v>
      </c>
      <c r="B2">
        <v>2675</v>
      </c>
      <c r="C2">
        <v>2674</v>
      </c>
      <c r="D2">
        <v>14.5</v>
      </c>
      <c r="E2" s="9" t="s">
        <v>221</v>
      </c>
      <c r="F2" t="s">
        <v>31</v>
      </c>
      <c r="G2" t="s">
        <v>32</v>
      </c>
      <c r="I2" t="s">
        <v>2130</v>
      </c>
      <c r="J2" t="s">
        <v>30</v>
      </c>
      <c r="K2" t="s">
        <v>224</v>
      </c>
      <c r="L2" t="s">
        <v>224</v>
      </c>
      <c r="M2" t="s">
        <v>229</v>
      </c>
      <c r="N2" t="s">
        <v>219</v>
      </c>
      <c r="O2" s="10">
        <v>0.29166666666666669</v>
      </c>
      <c r="P2" s="10"/>
      <c r="Q2" s="10" t="s">
        <v>2132</v>
      </c>
      <c r="S2" s="4">
        <v>0</v>
      </c>
      <c r="T2">
        <v>0</v>
      </c>
      <c r="U2" t="s">
        <v>24</v>
      </c>
      <c r="V2" t="s">
        <v>231</v>
      </c>
    </row>
    <row r="3" spans="1:47" x14ac:dyDescent="0.2">
      <c r="A3" s="3">
        <v>42538</v>
      </c>
      <c r="B3">
        <v>50406</v>
      </c>
      <c r="C3">
        <v>50405</v>
      </c>
      <c r="D3">
        <v>13</v>
      </c>
      <c r="E3" t="s">
        <v>243</v>
      </c>
      <c r="F3" t="s">
        <v>31</v>
      </c>
      <c r="G3" t="s">
        <v>145</v>
      </c>
      <c r="I3" s="16" t="s">
        <v>2128</v>
      </c>
      <c r="J3" t="s">
        <v>30</v>
      </c>
      <c r="K3" t="s">
        <v>252</v>
      </c>
      <c r="L3" t="s">
        <v>248</v>
      </c>
      <c r="M3" s="10">
        <v>0.1423611111111111</v>
      </c>
      <c r="N3" t="s">
        <v>244</v>
      </c>
      <c r="Q3" s="10" t="s">
        <v>2165</v>
      </c>
      <c r="S3" s="4">
        <v>0</v>
      </c>
      <c r="T3">
        <v>0</v>
      </c>
      <c r="U3" t="s">
        <v>64</v>
      </c>
    </row>
    <row r="4" spans="1:47" x14ac:dyDescent="0.2">
      <c r="A4" s="3">
        <v>42538</v>
      </c>
      <c r="B4">
        <v>50453</v>
      </c>
      <c r="D4">
        <f>32.5-18.5</f>
        <v>14</v>
      </c>
      <c r="E4" s="9" t="s">
        <v>225</v>
      </c>
      <c r="F4" t="s">
        <v>63</v>
      </c>
      <c r="G4" t="s">
        <v>145</v>
      </c>
      <c r="I4" s="16" t="s">
        <v>2128</v>
      </c>
      <c r="J4" t="s">
        <v>35</v>
      </c>
      <c r="K4" t="s">
        <v>226</v>
      </c>
      <c r="L4" t="s">
        <v>226</v>
      </c>
      <c r="M4" t="s">
        <v>230</v>
      </c>
      <c r="N4" s="22" t="s">
        <v>227</v>
      </c>
      <c r="O4" s="10">
        <v>0.23611111111111113</v>
      </c>
      <c r="P4" s="10"/>
      <c r="Q4" s="10" t="s">
        <v>2172</v>
      </c>
      <c r="S4" s="4">
        <v>0</v>
      </c>
      <c r="T4">
        <v>0</v>
      </c>
      <c r="U4" t="s">
        <v>64</v>
      </c>
    </row>
    <row r="5" spans="1:47" x14ac:dyDescent="0.2">
      <c r="A5" s="3">
        <v>42540</v>
      </c>
      <c r="B5">
        <v>50402</v>
      </c>
      <c r="C5">
        <v>50401</v>
      </c>
      <c r="D5">
        <v>9</v>
      </c>
      <c r="E5" t="s">
        <v>220</v>
      </c>
      <c r="F5" t="s">
        <v>31</v>
      </c>
      <c r="G5" t="s">
        <v>145</v>
      </c>
      <c r="I5" s="16" t="s">
        <v>2128</v>
      </c>
      <c r="J5" t="s">
        <v>30</v>
      </c>
      <c r="K5" t="s">
        <v>249</v>
      </c>
      <c r="N5" t="s">
        <v>261</v>
      </c>
      <c r="O5" s="10">
        <v>0.45833333333333331</v>
      </c>
      <c r="P5" s="10"/>
      <c r="Q5" s="10" t="s">
        <v>2162</v>
      </c>
      <c r="S5" s="4">
        <v>0</v>
      </c>
      <c r="T5">
        <v>0</v>
      </c>
      <c r="U5" t="s">
        <v>24</v>
      </c>
      <c r="V5" t="s">
        <v>231</v>
      </c>
    </row>
    <row r="6" spans="1:47" x14ac:dyDescent="0.2">
      <c r="A6" s="3">
        <v>42540</v>
      </c>
      <c r="B6">
        <v>50404</v>
      </c>
      <c r="C6">
        <v>50403</v>
      </c>
      <c r="D6">
        <f>29.5-14</f>
        <v>15.5</v>
      </c>
      <c r="E6" t="s">
        <v>268</v>
      </c>
      <c r="F6" t="s">
        <v>31</v>
      </c>
      <c r="G6" t="s">
        <v>32</v>
      </c>
      <c r="I6" s="16" t="s">
        <v>2130</v>
      </c>
      <c r="J6" t="s">
        <v>30</v>
      </c>
      <c r="K6" t="s">
        <v>269</v>
      </c>
      <c r="L6" t="s">
        <v>252</v>
      </c>
      <c r="M6" t="s">
        <v>270</v>
      </c>
      <c r="N6" t="s">
        <v>271</v>
      </c>
      <c r="O6" s="10">
        <v>0.33611111111111108</v>
      </c>
      <c r="P6" s="10"/>
      <c r="Q6" s="10" t="s">
        <v>2164</v>
      </c>
      <c r="S6" s="4">
        <v>0</v>
      </c>
      <c r="T6">
        <v>0</v>
      </c>
      <c r="U6" t="s">
        <v>24</v>
      </c>
      <c r="V6" t="s">
        <v>231</v>
      </c>
    </row>
    <row r="7" spans="1:47" x14ac:dyDescent="0.2">
      <c r="A7" s="3">
        <v>42540</v>
      </c>
      <c r="B7">
        <v>50593</v>
      </c>
      <c r="C7">
        <v>50592</v>
      </c>
      <c r="D7">
        <v>14.5</v>
      </c>
      <c r="E7" t="s">
        <v>246</v>
      </c>
      <c r="F7" t="s">
        <v>63</v>
      </c>
      <c r="G7" t="s">
        <v>145</v>
      </c>
      <c r="I7" s="16" t="s">
        <v>2128</v>
      </c>
      <c r="J7" t="s">
        <v>35</v>
      </c>
      <c r="K7" t="s">
        <v>253</v>
      </c>
      <c r="L7" t="s">
        <v>249</v>
      </c>
      <c r="M7" t="s">
        <v>272</v>
      </c>
      <c r="N7" t="s">
        <v>247</v>
      </c>
      <c r="O7" s="10">
        <v>0.39583333333333331</v>
      </c>
      <c r="P7" s="10"/>
      <c r="Q7" s="10" t="s">
        <v>2188</v>
      </c>
      <c r="S7" s="4">
        <v>0</v>
      </c>
      <c r="T7">
        <v>0</v>
      </c>
      <c r="U7" t="s">
        <v>24</v>
      </c>
      <c r="V7" s="10" t="s">
        <v>231</v>
      </c>
    </row>
    <row r="8" spans="1:47" x14ac:dyDescent="0.2">
      <c r="A8" s="3">
        <v>42540</v>
      </c>
      <c r="B8">
        <v>50598</v>
      </c>
      <c r="C8">
        <v>50591</v>
      </c>
      <c r="D8">
        <f>23.5-12</f>
        <v>11.5</v>
      </c>
      <c r="E8" t="s">
        <v>263</v>
      </c>
      <c r="F8" t="s">
        <v>31</v>
      </c>
      <c r="G8" t="s">
        <v>32</v>
      </c>
      <c r="I8" s="16" t="s">
        <v>2130</v>
      </c>
      <c r="J8" t="s">
        <v>30</v>
      </c>
      <c r="K8" t="s">
        <v>248</v>
      </c>
      <c r="L8" t="s">
        <v>253</v>
      </c>
      <c r="M8" s="10">
        <v>0.11805555555555557</v>
      </c>
      <c r="N8" t="s">
        <v>264</v>
      </c>
      <c r="O8" s="10">
        <v>0.29166666666666669</v>
      </c>
      <c r="P8" s="10"/>
      <c r="Q8" s="10" t="s">
        <v>2189</v>
      </c>
      <c r="S8" s="4">
        <v>0</v>
      </c>
      <c r="T8" s="4">
        <v>0</v>
      </c>
      <c r="U8" t="s">
        <v>24</v>
      </c>
    </row>
    <row r="9" spans="1:47" x14ac:dyDescent="0.2">
      <c r="A9" s="3">
        <v>42547</v>
      </c>
      <c r="B9">
        <v>50402</v>
      </c>
      <c r="C9">
        <v>50401</v>
      </c>
      <c r="E9" t="s">
        <v>220</v>
      </c>
      <c r="F9" t="s">
        <v>31</v>
      </c>
      <c r="G9" t="s">
        <v>145</v>
      </c>
      <c r="I9" s="16" t="s">
        <v>2128</v>
      </c>
      <c r="J9" t="s">
        <v>30</v>
      </c>
      <c r="N9" t="s">
        <v>286</v>
      </c>
      <c r="O9" s="10">
        <v>0.41180555555555554</v>
      </c>
      <c r="P9" s="10"/>
      <c r="Q9" s="10"/>
      <c r="S9" s="4">
        <v>7</v>
      </c>
      <c r="T9">
        <v>7</v>
      </c>
      <c r="U9" t="s">
        <v>24</v>
      </c>
      <c r="V9" t="s">
        <v>231</v>
      </c>
    </row>
    <row r="10" spans="1:47" x14ac:dyDescent="0.2">
      <c r="A10" s="3">
        <v>42547</v>
      </c>
      <c r="B10">
        <v>50406</v>
      </c>
      <c r="C10">
        <v>50405</v>
      </c>
      <c r="E10" t="s">
        <v>243</v>
      </c>
      <c r="F10" t="s">
        <v>31</v>
      </c>
      <c r="G10" t="s">
        <v>145</v>
      </c>
      <c r="I10" s="16" t="s">
        <v>2128</v>
      </c>
      <c r="J10" t="s">
        <v>30</v>
      </c>
      <c r="N10" t="s">
        <v>287</v>
      </c>
      <c r="O10" s="10">
        <v>0.41388888888888892</v>
      </c>
      <c r="P10" s="10"/>
      <c r="Q10" s="10"/>
      <c r="S10" s="4">
        <v>9</v>
      </c>
      <c r="T10">
        <v>9</v>
      </c>
      <c r="U10" t="s">
        <v>64</v>
      </c>
    </row>
    <row r="11" spans="1:47" x14ac:dyDescent="0.2">
      <c r="A11" s="3">
        <v>42547</v>
      </c>
      <c r="B11">
        <v>50593</v>
      </c>
      <c r="C11">
        <v>50592</v>
      </c>
      <c r="E11" t="s">
        <v>246</v>
      </c>
      <c r="F11" t="s">
        <v>63</v>
      </c>
      <c r="G11" t="s">
        <v>145</v>
      </c>
      <c r="I11" s="16" t="s">
        <v>2128</v>
      </c>
      <c r="J11" t="s">
        <v>35</v>
      </c>
      <c r="N11" t="s">
        <v>285</v>
      </c>
      <c r="O11" s="10">
        <v>0.40972222222222227</v>
      </c>
      <c r="P11" s="10"/>
      <c r="Q11" s="10"/>
      <c r="S11" s="4">
        <v>7</v>
      </c>
      <c r="T11">
        <v>7</v>
      </c>
      <c r="U11" t="s">
        <v>24</v>
      </c>
      <c r="V11" s="10"/>
    </row>
    <row r="12" spans="1:47" x14ac:dyDescent="0.2">
      <c r="A12" s="3">
        <v>42548</v>
      </c>
      <c r="B12">
        <v>2663</v>
      </c>
      <c r="D12">
        <v>11.5</v>
      </c>
      <c r="E12" s="9" t="s">
        <v>292</v>
      </c>
      <c r="F12" t="s">
        <v>63</v>
      </c>
      <c r="G12" t="s">
        <v>145</v>
      </c>
      <c r="I12" t="s">
        <v>2128</v>
      </c>
      <c r="J12" t="s">
        <v>35</v>
      </c>
      <c r="K12" t="s">
        <v>322</v>
      </c>
      <c r="L12" t="s">
        <v>260</v>
      </c>
      <c r="M12" t="s">
        <v>229</v>
      </c>
      <c r="N12" t="s">
        <v>323</v>
      </c>
      <c r="O12" t="s">
        <v>324</v>
      </c>
      <c r="P12" t="s">
        <v>226</v>
      </c>
      <c r="R12" s="31">
        <v>49.5</v>
      </c>
      <c r="S12" s="4">
        <v>0</v>
      </c>
      <c r="T12">
        <v>0</v>
      </c>
      <c r="U12" t="s">
        <v>66</v>
      </c>
      <c r="V12" t="s">
        <v>231</v>
      </c>
    </row>
    <row r="13" spans="1:47" x14ac:dyDescent="0.2">
      <c r="A13" s="3">
        <v>42548</v>
      </c>
      <c r="B13">
        <v>2675</v>
      </c>
      <c r="C13">
        <v>2674</v>
      </c>
      <c r="D13">
        <v>17</v>
      </c>
      <c r="E13" s="9" t="s">
        <v>239</v>
      </c>
      <c r="F13" t="s">
        <v>31</v>
      </c>
      <c r="G13" t="s">
        <v>32</v>
      </c>
      <c r="I13" t="s">
        <v>2130</v>
      </c>
      <c r="J13" t="s">
        <v>30</v>
      </c>
      <c r="S13" s="4">
        <v>0</v>
      </c>
      <c r="T13">
        <v>10</v>
      </c>
      <c r="U13" t="s">
        <v>24</v>
      </c>
      <c r="V13" t="s">
        <v>231</v>
      </c>
    </row>
    <row r="14" spans="1:47" x14ac:dyDescent="0.2">
      <c r="A14" s="3">
        <v>42548</v>
      </c>
      <c r="B14">
        <v>2797</v>
      </c>
      <c r="D14">
        <v>10.5</v>
      </c>
      <c r="E14" s="9" t="s">
        <v>325</v>
      </c>
      <c r="F14" t="s">
        <v>63</v>
      </c>
      <c r="G14" t="s">
        <v>32</v>
      </c>
      <c r="I14" t="s">
        <v>2128</v>
      </c>
      <c r="J14" t="s">
        <v>35</v>
      </c>
      <c r="M14" t="s">
        <v>326</v>
      </c>
      <c r="N14" t="s">
        <v>327</v>
      </c>
      <c r="O14" s="10">
        <v>0.43958333333333338</v>
      </c>
      <c r="P14" t="s">
        <v>252</v>
      </c>
      <c r="Q14" t="s">
        <v>2147</v>
      </c>
      <c r="R14" s="31">
        <v>55.5</v>
      </c>
      <c r="S14" s="4">
        <v>0</v>
      </c>
      <c r="T14">
        <v>0</v>
      </c>
      <c r="U14" t="s">
        <v>24</v>
      </c>
      <c r="V14" t="s">
        <v>231</v>
      </c>
    </row>
    <row r="15" spans="1:47" x14ac:dyDescent="0.2">
      <c r="A15" s="3">
        <v>42548</v>
      </c>
      <c r="B15">
        <v>50404</v>
      </c>
      <c r="C15">
        <v>50403</v>
      </c>
      <c r="D15">
        <f>34.5-15.5</f>
        <v>19</v>
      </c>
      <c r="E15" t="s">
        <v>242</v>
      </c>
      <c r="F15" t="s">
        <v>31</v>
      </c>
      <c r="G15" t="s">
        <v>32</v>
      </c>
      <c r="I15" s="16" t="s">
        <v>2130</v>
      </c>
      <c r="J15" t="s">
        <v>30</v>
      </c>
      <c r="N15" t="s">
        <v>297</v>
      </c>
      <c r="O15" s="10">
        <v>0.31944444444444448</v>
      </c>
      <c r="S15" s="4">
        <v>0</v>
      </c>
      <c r="T15">
        <v>8</v>
      </c>
      <c r="U15" t="s">
        <v>24</v>
      </c>
    </row>
    <row r="16" spans="1:47" x14ac:dyDescent="0.2">
      <c r="A16" s="3">
        <v>42548</v>
      </c>
      <c r="B16">
        <v>50433</v>
      </c>
      <c r="C16">
        <v>50432</v>
      </c>
      <c r="D16">
        <f>27-14</f>
        <v>13</v>
      </c>
      <c r="E16" t="s">
        <v>129</v>
      </c>
      <c r="F16" t="s">
        <v>63</v>
      </c>
      <c r="G16" t="s">
        <v>145</v>
      </c>
      <c r="I16" s="16" t="s">
        <v>2128</v>
      </c>
      <c r="J16" t="s">
        <v>35</v>
      </c>
      <c r="K16" t="s">
        <v>300</v>
      </c>
      <c r="M16" t="s">
        <v>302</v>
      </c>
      <c r="O16" s="10"/>
      <c r="P16" s="10"/>
      <c r="Q16" s="10" t="s">
        <v>2166</v>
      </c>
      <c r="R16" s="31">
        <v>49.5</v>
      </c>
      <c r="S16" s="4">
        <v>0</v>
      </c>
      <c r="T16">
        <v>0</v>
      </c>
      <c r="U16" t="s">
        <v>64</v>
      </c>
    </row>
    <row r="17" spans="1:22" x14ac:dyDescent="0.2">
      <c r="A17" s="3">
        <v>42548</v>
      </c>
      <c r="B17">
        <v>50445</v>
      </c>
      <c r="C17">
        <v>50438</v>
      </c>
      <c r="D17">
        <f>29-14.5</f>
        <v>14.5</v>
      </c>
      <c r="E17" t="s">
        <v>85</v>
      </c>
      <c r="F17" t="s">
        <v>63</v>
      </c>
      <c r="G17" t="s">
        <v>145</v>
      </c>
      <c r="I17" s="16" t="s">
        <v>2128</v>
      </c>
      <c r="J17" t="s">
        <v>35</v>
      </c>
      <c r="K17" t="s">
        <v>299</v>
      </c>
      <c r="M17" t="s">
        <v>230</v>
      </c>
      <c r="N17" t="s">
        <v>298</v>
      </c>
      <c r="O17" s="10">
        <v>0.45277777777777778</v>
      </c>
      <c r="P17" s="10" t="s">
        <v>2168</v>
      </c>
      <c r="Q17" s="10" t="s">
        <v>2169</v>
      </c>
      <c r="R17" s="31">
        <v>52</v>
      </c>
      <c r="S17" s="4">
        <v>0</v>
      </c>
      <c r="T17">
        <v>0</v>
      </c>
      <c r="U17" t="s">
        <v>64</v>
      </c>
    </row>
    <row r="18" spans="1:22" x14ac:dyDescent="0.2">
      <c r="A18" s="3">
        <v>42548</v>
      </c>
      <c r="B18">
        <v>50598</v>
      </c>
      <c r="C18">
        <v>50591</v>
      </c>
      <c r="D18">
        <f>32.5-18</f>
        <v>14.5</v>
      </c>
      <c r="E18" s="9" t="s">
        <v>265</v>
      </c>
      <c r="F18" t="s">
        <v>91</v>
      </c>
      <c r="G18" t="s">
        <v>32</v>
      </c>
      <c r="I18" s="16" t="s">
        <v>2130</v>
      </c>
      <c r="J18" t="s">
        <v>30</v>
      </c>
      <c r="N18" t="s">
        <v>318</v>
      </c>
      <c r="O18" s="10">
        <v>0.3125</v>
      </c>
      <c r="S18" s="4">
        <v>0</v>
      </c>
      <c r="T18">
        <v>8</v>
      </c>
      <c r="U18" t="s">
        <v>24</v>
      </c>
    </row>
    <row r="19" spans="1:22" x14ac:dyDescent="0.2">
      <c r="A19" s="3">
        <v>42548</v>
      </c>
      <c r="B19">
        <v>50604</v>
      </c>
      <c r="C19">
        <v>50603</v>
      </c>
      <c r="D19">
        <v>11</v>
      </c>
      <c r="E19" s="9" t="s">
        <v>163</v>
      </c>
      <c r="F19" t="s">
        <v>63</v>
      </c>
      <c r="G19" t="s">
        <v>145</v>
      </c>
      <c r="I19" s="16" t="s">
        <v>2128</v>
      </c>
      <c r="J19" t="s">
        <v>35</v>
      </c>
      <c r="K19" t="s">
        <v>307</v>
      </c>
      <c r="N19" t="s">
        <v>308</v>
      </c>
      <c r="O19" s="10">
        <v>0.2298611111111111</v>
      </c>
      <c r="S19" s="4">
        <v>0</v>
      </c>
      <c r="T19">
        <v>0</v>
      </c>
      <c r="U19" t="s">
        <v>66</v>
      </c>
    </row>
    <row r="20" spans="1:22" x14ac:dyDescent="0.2">
      <c r="A20" s="3">
        <v>42548</v>
      </c>
      <c r="B20">
        <v>50606</v>
      </c>
      <c r="C20">
        <v>50605</v>
      </c>
      <c r="D20">
        <v>17</v>
      </c>
      <c r="E20" s="9" t="s">
        <v>311</v>
      </c>
      <c r="F20" t="s">
        <v>31</v>
      </c>
      <c r="G20" t="s">
        <v>32</v>
      </c>
      <c r="I20" s="16" t="s">
        <v>2130</v>
      </c>
      <c r="J20" t="s">
        <v>30</v>
      </c>
      <c r="K20" t="s">
        <v>312</v>
      </c>
      <c r="M20" t="s">
        <v>270</v>
      </c>
      <c r="N20" t="s">
        <v>313</v>
      </c>
      <c r="O20" s="10">
        <v>0.2638888888888889</v>
      </c>
      <c r="P20" t="s">
        <v>253</v>
      </c>
      <c r="Q20" t="s">
        <v>2191</v>
      </c>
      <c r="R20" s="31">
        <v>51</v>
      </c>
      <c r="S20" s="4">
        <v>0</v>
      </c>
      <c r="T20">
        <v>0</v>
      </c>
      <c r="U20" t="s">
        <v>65</v>
      </c>
    </row>
    <row r="21" spans="1:22" x14ac:dyDescent="0.2">
      <c r="A21" s="3">
        <v>42548</v>
      </c>
      <c r="B21">
        <v>50608</v>
      </c>
      <c r="C21">
        <v>50607</v>
      </c>
      <c r="D21">
        <v>14.5</v>
      </c>
      <c r="E21" s="9" t="s">
        <v>317</v>
      </c>
      <c r="F21" t="s">
        <v>63</v>
      </c>
      <c r="G21" t="s">
        <v>32</v>
      </c>
      <c r="I21" s="16" t="s">
        <v>2130</v>
      </c>
      <c r="J21" t="s">
        <v>35</v>
      </c>
      <c r="K21" t="s">
        <v>315</v>
      </c>
      <c r="M21" t="s">
        <v>229</v>
      </c>
      <c r="N21" t="s">
        <v>316</v>
      </c>
      <c r="O21" s="10">
        <v>0.27083333333333331</v>
      </c>
      <c r="P21" s="10" t="s">
        <v>249</v>
      </c>
      <c r="Q21" s="10" t="s">
        <v>2192</v>
      </c>
      <c r="R21" s="31">
        <v>50</v>
      </c>
      <c r="S21" s="4">
        <v>0</v>
      </c>
      <c r="T21">
        <v>0</v>
      </c>
      <c r="U21" t="s">
        <v>66</v>
      </c>
    </row>
    <row r="22" spans="1:22" x14ac:dyDescent="0.2">
      <c r="A22" s="3">
        <v>42549</v>
      </c>
      <c r="B22">
        <v>50433</v>
      </c>
      <c r="C22">
        <v>50432</v>
      </c>
      <c r="D22">
        <v>13</v>
      </c>
      <c r="E22" t="s">
        <v>129</v>
      </c>
      <c r="F22" t="s">
        <v>63</v>
      </c>
      <c r="G22" t="s">
        <v>145</v>
      </c>
      <c r="I22" s="16" t="s">
        <v>2128</v>
      </c>
      <c r="J22" t="s">
        <v>35</v>
      </c>
      <c r="N22" t="s">
        <v>310</v>
      </c>
      <c r="O22" s="10">
        <v>0.34583333333333338</v>
      </c>
      <c r="P22" s="10"/>
      <c r="Q22" s="10"/>
      <c r="S22" s="4">
        <v>0</v>
      </c>
      <c r="T22">
        <v>1</v>
      </c>
      <c r="U22" t="s">
        <v>64</v>
      </c>
    </row>
    <row r="23" spans="1:22" x14ac:dyDescent="0.2">
      <c r="A23" s="3">
        <v>42552</v>
      </c>
      <c r="B23">
        <v>2681</v>
      </c>
      <c r="C23">
        <v>2682</v>
      </c>
      <c r="D23">
        <v>13</v>
      </c>
      <c r="E23" t="s">
        <v>163</v>
      </c>
      <c r="F23" t="s">
        <v>31</v>
      </c>
      <c r="G23" t="s">
        <v>145</v>
      </c>
      <c r="I23" t="s">
        <v>2128</v>
      </c>
      <c r="J23" t="s">
        <v>30</v>
      </c>
      <c r="K23" t="s">
        <v>366</v>
      </c>
      <c r="M23" t="s">
        <v>352</v>
      </c>
      <c r="N23" t="s">
        <v>357</v>
      </c>
      <c r="O23" s="10">
        <v>0.38958333333333334</v>
      </c>
      <c r="P23" t="s">
        <v>299</v>
      </c>
      <c r="Q23" t="s">
        <v>2134</v>
      </c>
      <c r="R23" s="31">
        <v>48.33</v>
      </c>
      <c r="S23" s="4">
        <v>0</v>
      </c>
      <c r="T23">
        <v>0</v>
      </c>
      <c r="U23" t="s">
        <v>66</v>
      </c>
    </row>
    <row r="24" spans="1:22" x14ac:dyDescent="0.2">
      <c r="A24" s="3">
        <v>42552</v>
      </c>
      <c r="B24">
        <v>2699</v>
      </c>
      <c r="C24">
        <v>2700</v>
      </c>
      <c r="D24">
        <v>13.5</v>
      </c>
      <c r="E24" t="s">
        <v>347</v>
      </c>
      <c r="F24" t="s">
        <v>31</v>
      </c>
      <c r="G24" t="s">
        <v>145</v>
      </c>
      <c r="I24" t="s">
        <v>2128</v>
      </c>
      <c r="J24" t="s">
        <v>30</v>
      </c>
      <c r="K24" t="s">
        <v>367</v>
      </c>
      <c r="M24" t="s">
        <v>350</v>
      </c>
      <c r="N24" s="22" t="s">
        <v>232</v>
      </c>
      <c r="O24" s="10">
        <v>0.38680555555555557</v>
      </c>
      <c r="P24" t="s">
        <v>269</v>
      </c>
      <c r="Q24" t="s">
        <v>2142</v>
      </c>
      <c r="S24" s="4">
        <v>0</v>
      </c>
      <c r="T24">
        <v>0</v>
      </c>
      <c r="U24" t="s">
        <v>66</v>
      </c>
    </row>
    <row r="25" spans="1:22" x14ac:dyDescent="0.2">
      <c r="A25" s="3">
        <v>42552</v>
      </c>
      <c r="B25">
        <v>50453</v>
      </c>
      <c r="E25" t="s">
        <v>225</v>
      </c>
      <c r="F25" t="s">
        <v>63</v>
      </c>
      <c r="G25" t="s">
        <v>145</v>
      </c>
      <c r="I25" s="16" t="s">
        <v>2128</v>
      </c>
      <c r="J25" t="s">
        <v>35</v>
      </c>
      <c r="L25" t="s">
        <v>269</v>
      </c>
      <c r="M25" t="s">
        <v>358</v>
      </c>
      <c r="N25" t="s">
        <v>359</v>
      </c>
      <c r="O25" s="10">
        <v>0.4368055555555555</v>
      </c>
      <c r="P25" t="s">
        <v>300</v>
      </c>
      <c r="Q25" t="s">
        <v>2173</v>
      </c>
      <c r="R25" s="31">
        <v>42.67</v>
      </c>
      <c r="S25" s="4">
        <v>14</v>
      </c>
      <c r="T25">
        <v>14</v>
      </c>
      <c r="U25" t="s">
        <v>360</v>
      </c>
    </row>
    <row r="26" spans="1:22" x14ac:dyDescent="0.2">
      <c r="A26" s="3">
        <v>42552</v>
      </c>
      <c r="B26">
        <v>50542</v>
      </c>
      <c r="C26">
        <v>50541</v>
      </c>
      <c r="D26">
        <f>24.5-11</f>
        <v>13.5</v>
      </c>
      <c r="E26" t="s">
        <v>353</v>
      </c>
      <c r="F26" t="s">
        <v>31</v>
      </c>
      <c r="G26" t="s">
        <v>32</v>
      </c>
      <c r="I26" s="16" t="s">
        <v>2130</v>
      </c>
      <c r="J26" t="s">
        <v>30</v>
      </c>
      <c r="K26" t="s">
        <v>354</v>
      </c>
      <c r="M26" t="s">
        <v>355</v>
      </c>
      <c r="Q26" t="s">
        <v>2186</v>
      </c>
      <c r="S26" s="4">
        <v>0</v>
      </c>
      <c r="T26">
        <v>0</v>
      </c>
      <c r="U26" t="s">
        <v>64</v>
      </c>
    </row>
    <row r="27" spans="1:22" x14ac:dyDescent="0.2">
      <c r="A27" s="3">
        <v>42552</v>
      </c>
      <c r="B27">
        <v>50681</v>
      </c>
      <c r="C27">
        <v>50680</v>
      </c>
      <c r="E27" t="s">
        <v>369</v>
      </c>
      <c r="G27" t="s">
        <v>32</v>
      </c>
      <c r="I27" s="16" t="s">
        <v>2130</v>
      </c>
      <c r="J27" t="s">
        <v>35</v>
      </c>
      <c r="K27" t="s">
        <v>370</v>
      </c>
      <c r="M27" t="s">
        <v>270</v>
      </c>
      <c r="N27" t="s">
        <v>371</v>
      </c>
      <c r="O27" s="10">
        <v>0.3125</v>
      </c>
      <c r="P27" t="s">
        <v>248</v>
      </c>
      <c r="Q27" t="s">
        <v>2194</v>
      </c>
      <c r="R27" s="31">
        <v>49</v>
      </c>
      <c r="S27" s="4">
        <v>0</v>
      </c>
      <c r="T27">
        <v>0</v>
      </c>
      <c r="U27" t="s">
        <v>372</v>
      </c>
    </row>
    <row r="28" spans="1:22" x14ac:dyDescent="0.2">
      <c r="A28" s="3">
        <v>42553</v>
      </c>
      <c r="B28">
        <v>2699</v>
      </c>
      <c r="C28">
        <v>2700</v>
      </c>
      <c r="E28" t="s">
        <v>404</v>
      </c>
      <c r="F28" t="s">
        <v>31</v>
      </c>
      <c r="G28" t="s">
        <v>145</v>
      </c>
      <c r="I28" t="s">
        <v>2128</v>
      </c>
      <c r="J28" t="s">
        <v>30</v>
      </c>
      <c r="N28" t="s">
        <v>374</v>
      </c>
      <c r="O28" s="10">
        <v>0.52777777777777779</v>
      </c>
      <c r="S28" s="4">
        <v>1</v>
      </c>
      <c r="T28">
        <v>1</v>
      </c>
      <c r="U28" t="s">
        <v>64</v>
      </c>
    </row>
    <row r="29" spans="1:22" x14ac:dyDescent="0.2">
      <c r="A29" s="3">
        <v>42554</v>
      </c>
      <c r="B29">
        <v>50402</v>
      </c>
      <c r="C29">
        <v>50401</v>
      </c>
      <c r="E29" t="s">
        <v>220</v>
      </c>
      <c r="F29" t="s">
        <v>31</v>
      </c>
      <c r="G29" t="s">
        <v>145</v>
      </c>
      <c r="I29" s="16" t="s">
        <v>2128</v>
      </c>
      <c r="J29" t="s">
        <v>30</v>
      </c>
      <c r="M29" t="s">
        <v>382</v>
      </c>
      <c r="N29" t="s">
        <v>383</v>
      </c>
      <c r="O29" s="10">
        <v>0.44097222222222227</v>
      </c>
      <c r="P29" t="s">
        <v>312</v>
      </c>
      <c r="Q29" t="s">
        <v>2163</v>
      </c>
      <c r="S29" s="4">
        <v>14</v>
      </c>
      <c r="T29">
        <v>7</v>
      </c>
      <c r="U29" t="s">
        <v>380</v>
      </c>
      <c r="V29" t="s">
        <v>381</v>
      </c>
    </row>
    <row r="30" spans="1:22" x14ac:dyDescent="0.2">
      <c r="A30" s="3">
        <v>42554</v>
      </c>
      <c r="B30">
        <v>50593</v>
      </c>
      <c r="C30">
        <v>50592</v>
      </c>
      <c r="E30" t="s">
        <v>246</v>
      </c>
      <c r="F30" t="s">
        <v>63</v>
      </c>
      <c r="G30" t="s">
        <v>145</v>
      </c>
      <c r="I30" s="16" t="s">
        <v>2128</v>
      </c>
      <c r="J30" t="s">
        <v>35</v>
      </c>
      <c r="M30" t="s">
        <v>378</v>
      </c>
      <c r="N30" t="s">
        <v>379</v>
      </c>
      <c r="O30" s="10">
        <v>0.42152777777777778</v>
      </c>
      <c r="P30" t="s">
        <v>307</v>
      </c>
      <c r="Q30" t="s">
        <v>2187</v>
      </c>
      <c r="S30" s="4">
        <v>14</v>
      </c>
      <c r="T30">
        <v>7</v>
      </c>
      <c r="U30" t="s">
        <v>380</v>
      </c>
      <c r="V30" t="s">
        <v>381</v>
      </c>
    </row>
    <row r="31" spans="1:22" x14ac:dyDescent="0.2">
      <c r="A31" s="3">
        <v>42554</v>
      </c>
      <c r="B31">
        <v>50678</v>
      </c>
      <c r="C31">
        <v>50698</v>
      </c>
      <c r="D31">
        <v>15</v>
      </c>
      <c r="E31" t="s">
        <v>376</v>
      </c>
      <c r="F31" t="s">
        <v>31</v>
      </c>
      <c r="G31" t="s">
        <v>145</v>
      </c>
      <c r="I31" s="16" t="s">
        <v>2128</v>
      </c>
      <c r="J31" t="s">
        <v>30</v>
      </c>
      <c r="K31" t="s">
        <v>384</v>
      </c>
      <c r="N31" t="s">
        <v>385</v>
      </c>
      <c r="O31" t="s">
        <v>386</v>
      </c>
      <c r="S31" s="4">
        <v>0</v>
      </c>
      <c r="T31">
        <v>0</v>
      </c>
      <c r="U31" t="s">
        <v>24</v>
      </c>
      <c r="V31" t="s">
        <v>387</v>
      </c>
    </row>
    <row r="32" spans="1:22" x14ac:dyDescent="0.2">
      <c r="A32" s="3">
        <v>42555</v>
      </c>
      <c r="B32">
        <v>2663</v>
      </c>
      <c r="E32" t="s">
        <v>292</v>
      </c>
      <c r="F32" t="s">
        <v>63</v>
      </c>
      <c r="G32" t="s">
        <v>145</v>
      </c>
      <c r="I32" t="s">
        <v>2128</v>
      </c>
      <c r="J32" t="s">
        <v>35</v>
      </c>
      <c r="K32" t="s">
        <v>260</v>
      </c>
      <c r="L32" t="s">
        <v>260</v>
      </c>
      <c r="M32" t="s">
        <v>260</v>
      </c>
      <c r="N32" t="s">
        <v>398</v>
      </c>
      <c r="O32" s="10">
        <v>0.38611111111111113</v>
      </c>
      <c r="P32" t="s">
        <v>260</v>
      </c>
      <c r="R32" s="31" t="s">
        <v>260</v>
      </c>
      <c r="S32" s="4">
        <v>7</v>
      </c>
      <c r="T32">
        <v>7</v>
      </c>
      <c r="U32" t="s">
        <v>64</v>
      </c>
    </row>
    <row r="33" spans="1:23" x14ac:dyDescent="0.2">
      <c r="A33" s="3">
        <v>42555</v>
      </c>
      <c r="B33">
        <v>50433</v>
      </c>
      <c r="C33">
        <v>50432</v>
      </c>
      <c r="E33" t="s">
        <v>129</v>
      </c>
      <c r="F33" t="s">
        <v>63</v>
      </c>
      <c r="G33" t="s">
        <v>145</v>
      </c>
      <c r="I33" s="16" t="s">
        <v>2128</v>
      </c>
      <c r="J33" t="s">
        <v>35</v>
      </c>
      <c r="N33" t="s">
        <v>399</v>
      </c>
      <c r="O33" s="10">
        <v>0.3888888888888889</v>
      </c>
      <c r="S33" s="4">
        <v>7</v>
      </c>
      <c r="T33">
        <v>7</v>
      </c>
      <c r="U33" t="s">
        <v>64</v>
      </c>
    </row>
    <row r="34" spans="1:23" x14ac:dyDescent="0.2">
      <c r="A34" s="3">
        <v>42555</v>
      </c>
      <c r="B34">
        <v>50445</v>
      </c>
      <c r="C34">
        <v>50438</v>
      </c>
      <c r="E34" t="s">
        <v>85</v>
      </c>
      <c r="F34" t="s">
        <v>63</v>
      </c>
      <c r="G34" t="s">
        <v>145</v>
      </c>
      <c r="I34" s="16" t="s">
        <v>2128</v>
      </c>
      <c r="J34" t="s">
        <v>35</v>
      </c>
      <c r="N34" t="s">
        <v>400</v>
      </c>
      <c r="O34" s="10">
        <v>0.39097222222222222</v>
      </c>
      <c r="S34" s="4">
        <v>7</v>
      </c>
      <c r="T34">
        <v>7</v>
      </c>
      <c r="U34" t="s">
        <v>64</v>
      </c>
    </row>
    <row r="35" spans="1:23" s="22" customFormat="1" x14ac:dyDescent="0.2">
      <c r="A35" s="3">
        <v>42555</v>
      </c>
      <c r="B35">
        <v>50532</v>
      </c>
      <c r="C35">
        <v>50531</v>
      </c>
      <c r="D35">
        <v>10</v>
      </c>
      <c r="E35" t="s">
        <v>404</v>
      </c>
      <c r="F35" t="s">
        <v>63</v>
      </c>
      <c r="G35"/>
      <c r="H35" t="s">
        <v>32</v>
      </c>
      <c r="I35" s="16" t="s">
        <v>2151</v>
      </c>
      <c r="J35" t="s">
        <v>35</v>
      </c>
      <c r="K35" t="s">
        <v>417</v>
      </c>
      <c r="L35"/>
      <c r="M35" t="s">
        <v>418</v>
      </c>
      <c r="N35" t="s">
        <v>419</v>
      </c>
      <c r="O35" s="10">
        <v>0.24097222222222223</v>
      </c>
      <c r="P35" t="s">
        <v>366</v>
      </c>
      <c r="Q35" t="s">
        <v>2175</v>
      </c>
      <c r="R35" s="31">
        <v>45</v>
      </c>
      <c r="S35" s="4">
        <v>21</v>
      </c>
      <c r="T35">
        <v>0</v>
      </c>
      <c r="U35" t="s">
        <v>360</v>
      </c>
      <c r="V35"/>
      <c r="W35"/>
    </row>
    <row r="36" spans="1:23" s="22" customFormat="1" x14ac:dyDescent="0.2">
      <c r="A36" s="3">
        <v>42555</v>
      </c>
      <c r="B36">
        <v>50534</v>
      </c>
      <c r="C36">
        <v>50533</v>
      </c>
      <c r="D36">
        <v>11.5</v>
      </c>
      <c r="E36" t="s">
        <v>404</v>
      </c>
      <c r="F36" t="s">
        <v>63</v>
      </c>
      <c r="G36"/>
      <c r="H36" t="s">
        <v>32</v>
      </c>
      <c r="I36" s="16" t="s">
        <v>2151</v>
      </c>
      <c r="J36" t="s">
        <v>35</v>
      </c>
      <c r="K36" t="s">
        <v>415</v>
      </c>
      <c r="L36"/>
      <c r="M36" t="s">
        <v>413</v>
      </c>
      <c r="N36" t="s">
        <v>414</v>
      </c>
      <c r="O36" s="10">
        <v>0.23402777777777781</v>
      </c>
      <c r="P36" t="s">
        <v>354</v>
      </c>
      <c r="Q36" t="s">
        <v>2180</v>
      </c>
      <c r="R36" s="31">
        <v>33.5</v>
      </c>
      <c r="S36" s="4">
        <v>21</v>
      </c>
      <c r="T36">
        <v>0</v>
      </c>
      <c r="U36" t="s">
        <v>360</v>
      </c>
      <c r="V36"/>
      <c r="W36"/>
    </row>
    <row r="37" spans="1:23" s="9" customFormat="1" x14ac:dyDescent="0.2">
      <c r="A37" s="3">
        <v>42555</v>
      </c>
      <c r="B37">
        <v>50536</v>
      </c>
      <c r="C37">
        <v>50535</v>
      </c>
      <c r="D37">
        <v>11</v>
      </c>
      <c r="E37" t="s">
        <v>404</v>
      </c>
      <c r="F37" t="s">
        <v>63</v>
      </c>
      <c r="G37"/>
      <c r="H37" t="s">
        <v>145</v>
      </c>
      <c r="I37" s="16" t="s">
        <v>2129</v>
      </c>
      <c r="J37" t="s">
        <v>35</v>
      </c>
      <c r="K37" t="s">
        <v>412</v>
      </c>
      <c r="L37"/>
      <c r="M37" t="s">
        <v>410</v>
      </c>
      <c r="N37" t="s">
        <v>411</v>
      </c>
      <c r="O37" s="10">
        <v>0.22638888888888889</v>
      </c>
      <c r="P37" t="s">
        <v>370</v>
      </c>
      <c r="Q37" t="s">
        <v>2183</v>
      </c>
      <c r="R37" s="31">
        <v>47</v>
      </c>
      <c r="S37" s="4">
        <v>21</v>
      </c>
      <c r="T37">
        <v>0</v>
      </c>
      <c r="U37" t="s">
        <v>360</v>
      </c>
      <c r="V37"/>
      <c r="W37"/>
    </row>
    <row r="38" spans="1:23" x14ac:dyDescent="0.2">
      <c r="A38" s="3">
        <v>42555</v>
      </c>
      <c r="B38">
        <v>50538</v>
      </c>
      <c r="C38">
        <v>50537</v>
      </c>
      <c r="D38">
        <v>9.5</v>
      </c>
      <c r="E38" t="s">
        <v>404</v>
      </c>
      <c r="F38" t="s">
        <v>31</v>
      </c>
      <c r="H38" t="s">
        <v>145</v>
      </c>
      <c r="I38" s="16" t="s">
        <v>2129</v>
      </c>
      <c r="J38" t="s">
        <v>30</v>
      </c>
      <c r="K38" t="s">
        <v>416</v>
      </c>
      <c r="M38" s="10">
        <v>0.17083333333333331</v>
      </c>
      <c r="N38" t="s">
        <v>409</v>
      </c>
      <c r="O38" s="10">
        <v>0.21527777777777779</v>
      </c>
      <c r="P38" t="s">
        <v>322</v>
      </c>
      <c r="Q38" t="s">
        <v>2184</v>
      </c>
      <c r="R38" s="31">
        <v>38.5</v>
      </c>
      <c r="S38" s="4">
        <v>21</v>
      </c>
      <c r="T38">
        <v>0</v>
      </c>
      <c r="U38" t="s">
        <v>360</v>
      </c>
    </row>
    <row r="39" spans="1:23" x14ac:dyDescent="0.2">
      <c r="A39" s="3">
        <v>42555</v>
      </c>
      <c r="B39">
        <v>50540</v>
      </c>
      <c r="C39">
        <v>50539</v>
      </c>
      <c r="D39">
        <v>11</v>
      </c>
      <c r="E39" t="s">
        <v>404</v>
      </c>
      <c r="F39" t="s">
        <v>63</v>
      </c>
      <c r="H39" t="s">
        <v>145</v>
      </c>
      <c r="I39" s="16" t="s">
        <v>2129</v>
      </c>
      <c r="J39" t="s">
        <v>35</v>
      </c>
      <c r="K39" t="s">
        <v>406</v>
      </c>
      <c r="M39" t="s">
        <v>407</v>
      </c>
      <c r="N39" t="s">
        <v>408</v>
      </c>
      <c r="O39" s="10">
        <v>0.20694444444444446</v>
      </c>
      <c r="P39" t="s">
        <v>315</v>
      </c>
      <c r="Q39" t="s">
        <v>2185</v>
      </c>
      <c r="R39" s="31">
        <v>45</v>
      </c>
      <c r="S39" s="4">
        <v>21</v>
      </c>
      <c r="T39">
        <v>0</v>
      </c>
      <c r="U39" t="s">
        <v>360</v>
      </c>
    </row>
    <row r="40" spans="1:23" x14ac:dyDescent="0.2">
      <c r="A40" s="3">
        <v>42555</v>
      </c>
      <c r="B40">
        <v>50604</v>
      </c>
      <c r="C40">
        <v>50603</v>
      </c>
      <c r="E40" t="s">
        <v>163</v>
      </c>
      <c r="G40" t="s">
        <v>145</v>
      </c>
      <c r="I40" s="16" t="s">
        <v>2128</v>
      </c>
      <c r="J40" t="s">
        <v>35</v>
      </c>
      <c r="N40" t="s">
        <v>397</v>
      </c>
      <c r="O40" s="10">
        <v>0.40277777777777773</v>
      </c>
      <c r="S40" s="4">
        <v>7</v>
      </c>
      <c r="T40">
        <v>7</v>
      </c>
      <c r="U40" t="s">
        <v>64</v>
      </c>
    </row>
    <row r="41" spans="1:23" x14ac:dyDescent="0.2">
      <c r="A41" s="3">
        <v>42558</v>
      </c>
      <c r="B41">
        <v>50530</v>
      </c>
      <c r="C41">
        <v>50529</v>
      </c>
      <c r="D41">
        <v>15</v>
      </c>
      <c r="E41">
        <v>111</v>
      </c>
      <c r="F41" t="s">
        <v>63</v>
      </c>
      <c r="G41" t="s">
        <v>32</v>
      </c>
      <c r="I41" s="16" t="s">
        <v>2130</v>
      </c>
      <c r="J41" t="s">
        <v>35</v>
      </c>
      <c r="K41" t="s">
        <v>446</v>
      </c>
      <c r="M41" t="s">
        <v>444</v>
      </c>
      <c r="P41" t="s">
        <v>367</v>
      </c>
      <c r="Q41" t="s">
        <v>2174</v>
      </c>
      <c r="R41" s="31">
        <v>51</v>
      </c>
      <c r="S41" s="4">
        <v>0</v>
      </c>
      <c r="T41">
        <v>0</v>
      </c>
      <c r="U41" t="s">
        <v>64</v>
      </c>
      <c r="V41" t="s">
        <v>874</v>
      </c>
    </row>
    <row r="42" spans="1:23" x14ac:dyDescent="0.2">
      <c r="A42" s="3">
        <v>42559</v>
      </c>
      <c r="B42">
        <v>2681</v>
      </c>
      <c r="C42">
        <v>2682</v>
      </c>
      <c r="E42" t="s">
        <v>404</v>
      </c>
      <c r="F42" t="s">
        <v>31</v>
      </c>
      <c r="G42" t="s">
        <v>145</v>
      </c>
      <c r="I42" t="s">
        <v>2128</v>
      </c>
      <c r="J42" t="s">
        <v>30</v>
      </c>
      <c r="N42" t="s">
        <v>456</v>
      </c>
      <c r="O42" s="10">
        <v>0.35833333333333334</v>
      </c>
      <c r="S42" s="4">
        <v>7</v>
      </c>
      <c r="T42">
        <v>7</v>
      </c>
      <c r="U42" t="s">
        <v>24</v>
      </c>
    </row>
    <row r="43" spans="1:23" x14ac:dyDescent="0.2">
      <c r="A43" s="3">
        <v>42559</v>
      </c>
      <c r="B43">
        <v>2693</v>
      </c>
      <c r="D43">
        <v>8.5</v>
      </c>
      <c r="E43" t="s">
        <v>447</v>
      </c>
      <c r="F43" t="s">
        <v>63</v>
      </c>
      <c r="G43" t="s">
        <v>32</v>
      </c>
      <c r="I43" t="s">
        <v>2130</v>
      </c>
      <c r="J43" t="s">
        <v>35</v>
      </c>
      <c r="K43" t="s">
        <v>479</v>
      </c>
      <c r="L43" t="s">
        <v>687</v>
      </c>
      <c r="M43" t="s">
        <v>450</v>
      </c>
      <c r="N43" t="s">
        <v>449</v>
      </c>
      <c r="O43" s="10">
        <v>0.28819444444444448</v>
      </c>
      <c r="Q43" t="s">
        <v>2140</v>
      </c>
      <c r="R43" s="31">
        <v>46.5</v>
      </c>
      <c r="S43" s="4">
        <v>0</v>
      </c>
      <c r="T43">
        <v>0</v>
      </c>
      <c r="U43" t="s">
        <v>66</v>
      </c>
    </row>
    <row r="44" spans="1:23" x14ac:dyDescent="0.2">
      <c r="A44" s="3">
        <v>42559</v>
      </c>
      <c r="B44">
        <v>2699</v>
      </c>
      <c r="C44">
        <v>2700</v>
      </c>
      <c r="E44" t="s">
        <v>404</v>
      </c>
      <c r="F44" t="s">
        <v>31</v>
      </c>
      <c r="G44" t="s">
        <v>145</v>
      </c>
      <c r="I44" t="s">
        <v>2128</v>
      </c>
      <c r="J44" t="s">
        <v>30</v>
      </c>
      <c r="N44" t="s">
        <v>457</v>
      </c>
      <c r="O44" s="10">
        <v>0.3576388888888889</v>
      </c>
      <c r="S44" s="4">
        <v>7</v>
      </c>
      <c r="T44">
        <v>6</v>
      </c>
      <c r="U44" t="s">
        <v>64</v>
      </c>
    </row>
    <row r="45" spans="1:23" x14ac:dyDescent="0.2">
      <c r="A45" s="3">
        <v>42561</v>
      </c>
      <c r="B45">
        <v>2788</v>
      </c>
      <c r="C45">
        <v>2787</v>
      </c>
      <c r="E45" t="s">
        <v>220</v>
      </c>
      <c r="F45" t="s">
        <v>31</v>
      </c>
      <c r="G45" t="s">
        <v>145</v>
      </c>
      <c r="I45" t="s">
        <v>2128</v>
      </c>
      <c r="J45" t="s">
        <v>30</v>
      </c>
      <c r="K45" t="s">
        <v>476</v>
      </c>
      <c r="M45" t="s">
        <v>477</v>
      </c>
      <c r="N45" t="s">
        <v>478</v>
      </c>
      <c r="O45" s="10">
        <v>0.27777777777777779</v>
      </c>
      <c r="P45" t="s">
        <v>406</v>
      </c>
      <c r="Q45" t="s">
        <v>2144</v>
      </c>
      <c r="R45" s="31">
        <v>50</v>
      </c>
      <c r="S45" s="4">
        <v>0</v>
      </c>
      <c r="T45">
        <v>0</v>
      </c>
      <c r="U45" t="s">
        <v>24</v>
      </c>
    </row>
    <row r="46" spans="1:23" x14ac:dyDescent="0.2">
      <c r="A46" s="3">
        <v>42562</v>
      </c>
      <c r="B46">
        <v>2663</v>
      </c>
      <c r="E46" t="s">
        <v>292</v>
      </c>
      <c r="F46" t="s">
        <v>63</v>
      </c>
      <c r="G46" t="s">
        <v>145</v>
      </c>
      <c r="I46" t="s">
        <v>2128</v>
      </c>
      <c r="J46" t="s">
        <v>35</v>
      </c>
      <c r="K46" t="s">
        <v>260</v>
      </c>
      <c r="L46" t="s">
        <v>260</v>
      </c>
      <c r="M46" t="s">
        <v>467</v>
      </c>
      <c r="N46" t="s">
        <v>468</v>
      </c>
      <c r="O46" s="10">
        <v>0.20486111111111113</v>
      </c>
      <c r="P46" t="s">
        <v>416</v>
      </c>
      <c r="Q46" t="s">
        <v>2133</v>
      </c>
      <c r="R46" s="31">
        <v>39</v>
      </c>
      <c r="S46" s="4">
        <v>14</v>
      </c>
      <c r="T46">
        <v>7</v>
      </c>
      <c r="U46" t="s">
        <v>64</v>
      </c>
      <c r="V46" t="s">
        <v>469</v>
      </c>
    </row>
    <row r="47" spans="1:23" x14ac:dyDescent="0.2">
      <c r="A47" s="3">
        <v>42562</v>
      </c>
      <c r="B47">
        <v>2799</v>
      </c>
      <c r="C47">
        <v>2795</v>
      </c>
      <c r="E47" s="9"/>
      <c r="F47" t="s">
        <v>31</v>
      </c>
      <c r="G47" t="s">
        <v>145</v>
      </c>
      <c r="I47" t="s">
        <v>2128</v>
      </c>
      <c r="J47" t="s">
        <v>30</v>
      </c>
      <c r="K47" t="s">
        <v>690</v>
      </c>
      <c r="L47" t="s">
        <v>307</v>
      </c>
      <c r="M47" t="s">
        <v>474</v>
      </c>
      <c r="N47" t="s">
        <v>462</v>
      </c>
      <c r="O47" s="10">
        <v>0.35625000000000001</v>
      </c>
      <c r="S47" s="4">
        <v>0</v>
      </c>
      <c r="T47">
        <v>0</v>
      </c>
      <c r="U47" t="s">
        <v>24</v>
      </c>
    </row>
    <row r="48" spans="1:23" x14ac:dyDescent="0.2">
      <c r="A48" s="3">
        <v>42562</v>
      </c>
      <c r="B48">
        <v>50433</v>
      </c>
      <c r="C48">
        <v>50432</v>
      </c>
      <c r="E48" t="s">
        <v>129</v>
      </c>
      <c r="F48" t="s">
        <v>63</v>
      </c>
      <c r="G48" t="s">
        <v>145</v>
      </c>
      <c r="I48" s="16" t="s">
        <v>2128</v>
      </c>
      <c r="J48" t="s">
        <v>35</v>
      </c>
      <c r="M48" t="s">
        <v>470</v>
      </c>
      <c r="N48" t="s">
        <v>471</v>
      </c>
      <c r="O48" s="10">
        <v>0.39166666666666666</v>
      </c>
      <c r="P48" t="s">
        <v>415</v>
      </c>
      <c r="Q48" t="s">
        <v>2167</v>
      </c>
      <c r="R48" s="31">
        <v>33</v>
      </c>
      <c r="S48" s="4">
        <v>14</v>
      </c>
      <c r="T48">
        <v>7</v>
      </c>
      <c r="U48" t="s">
        <v>24</v>
      </c>
    </row>
    <row r="49" spans="1:22" x14ac:dyDescent="0.2">
      <c r="A49" s="3">
        <v>42562</v>
      </c>
      <c r="B49">
        <v>50445</v>
      </c>
      <c r="C49">
        <v>50438</v>
      </c>
      <c r="E49" t="s">
        <v>85</v>
      </c>
      <c r="F49" t="s">
        <v>63</v>
      </c>
      <c r="G49" t="s">
        <v>145</v>
      </c>
      <c r="I49" s="16" t="s">
        <v>2128</v>
      </c>
      <c r="J49" t="s">
        <v>35</v>
      </c>
      <c r="M49" t="s">
        <v>474</v>
      </c>
      <c r="N49" t="s">
        <v>475</v>
      </c>
      <c r="O49" s="10">
        <v>0.40625</v>
      </c>
      <c r="P49" t="s">
        <v>412</v>
      </c>
      <c r="Q49" t="s">
        <v>2170</v>
      </c>
      <c r="R49" s="31">
        <v>50</v>
      </c>
      <c r="S49" s="4">
        <v>14</v>
      </c>
      <c r="T49">
        <v>7</v>
      </c>
      <c r="U49" t="s">
        <v>24</v>
      </c>
    </row>
    <row r="50" spans="1:22" x14ac:dyDescent="0.2">
      <c r="A50" s="3">
        <v>42562</v>
      </c>
      <c r="B50">
        <v>50532</v>
      </c>
      <c r="C50">
        <v>50531</v>
      </c>
      <c r="E50" t="s">
        <v>404</v>
      </c>
      <c r="F50" t="s">
        <v>63</v>
      </c>
      <c r="H50" t="s">
        <v>32</v>
      </c>
      <c r="I50" s="16" t="s">
        <v>2151</v>
      </c>
      <c r="J50" t="s">
        <v>35</v>
      </c>
      <c r="N50" t="s">
        <v>465</v>
      </c>
      <c r="O50" s="10">
        <v>0.35972222222222222</v>
      </c>
      <c r="S50" s="4">
        <v>28</v>
      </c>
      <c r="T50">
        <v>7</v>
      </c>
      <c r="U50" t="s">
        <v>64</v>
      </c>
    </row>
    <row r="51" spans="1:22" x14ac:dyDescent="0.2">
      <c r="A51" s="3">
        <v>42562</v>
      </c>
      <c r="B51">
        <v>50534</v>
      </c>
      <c r="C51">
        <v>50533</v>
      </c>
      <c r="E51" t="s">
        <v>404</v>
      </c>
      <c r="F51" t="s">
        <v>63</v>
      </c>
      <c r="H51" t="s">
        <v>32</v>
      </c>
      <c r="I51" s="16" t="s">
        <v>2151</v>
      </c>
      <c r="J51" t="s">
        <v>35</v>
      </c>
      <c r="N51" t="s">
        <v>466</v>
      </c>
      <c r="O51" s="10">
        <v>0.3611111111111111</v>
      </c>
      <c r="S51" s="4">
        <v>28</v>
      </c>
      <c r="T51">
        <v>7</v>
      </c>
      <c r="U51" t="s">
        <v>64</v>
      </c>
    </row>
    <row r="52" spans="1:22" x14ac:dyDescent="0.2">
      <c r="A52" s="3">
        <v>42562</v>
      </c>
      <c r="B52">
        <v>50604</v>
      </c>
      <c r="C52">
        <v>50603</v>
      </c>
      <c r="E52" t="s">
        <v>163</v>
      </c>
      <c r="F52" t="s">
        <v>63</v>
      </c>
      <c r="G52" t="s">
        <v>145</v>
      </c>
      <c r="I52" s="16" t="s">
        <v>2128</v>
      </c>
      <c r="J52" t="s">
        <v>35</v>
      </c>
      <c r="L52" t="s">
        <v>300</v>
      </c>
      <c r="M52" t="s">
        <v>472</v>
      </c>
      <c r="N52" t="s">
        <v>473</v>
      </c>
      <c r="O52" s="10">
        <v>0.39930555555555558</v>
      </c>
      <c r="Q52" t="s">
        <v>2190</v>
      </c>
      <c r="R52" s="31">
        <v>55.5</v>
      </c>
      <c r="S52" s="4">
        <v>14</v>
      </c>
      <c r="T52">
        <v>7</v>
      </c>
      <c r="U52" t="s">
        <v>24</v>
      </c>
    </row>
    <row r="53" spans="1:22" x14ac:dyDescent="0.2">
      <c r="A53" s="3">
        <v>42562</v>
      </c>
      <c r="B53">
        <v>50678</v>
      </c>
      <c r="C53">
        <v>50698</v>
      </c>
      <c r="E53" t="s">
        <v>376</v>
      </c>
      <c r="F53" t="s">
        <v>31</v>
      </c>
      <c r="G53" t="s">
        <v>145</v>
      </c>
      <c r="I53" s="16" t="s">
        <v>2128</v>
      </c>
      <c r="J53" t="s">
        <v>30</v>
      </c>
      <c r="N53" t="s">
        <v>464</v>
      </c>
      <c r="O53" s="10" t="s">
        <v>463</v>
      </c>
      <c r="S53" s="4">
        <v>8</v>
      </c>
      <c r="T53">
        <v>8</v>
      </c>
      <c r="U53" t="s">
        <v>64</v>
      </c>
    </row>
    <row r="54" spans="1:22" x14ac:dyDescent="0.2">
      <c r="A54" s="3">
        <v>42565</v>
      </c>
      <c r="B54">
        <v>2842</v>
      </c>
      <c r="C54">
        <v>2841</v>
      </c>
      <c r="D54">
        <v>11</v>
      </c>
      <c r="E54" t="s">
        <v>404</v>
      </c>
      <c r="F54" t="s">
        <v>31</v>
      </c>
      <c r="H54" t="s">
        <v>145</v>
      </c>
      <c r="I54" t="s">
        <v>2129</v>
      </c>
      <c r="J54" t="s">
        <v>30</v>
      </c>
      <c r="K54" t="s">
        <v>500</v>
      </c>
      <c r="M54" s="10">
        <v>0.125</v>
      </c>
      <c r="Q54" t="s">
        <v>2152</v>
      </c>
      <c r="R54" s="31">
        <v>54</v>
      </c>
      <c r="S54" s="4">
        <v>21</v>
      </c>
      <c r="T54">
        <v>0</v>
      </c>
      <c r="U54" t="s">
        <v>499</v>
      </c>
    </row>
    <row r="55" spans="1:22" x14ac:dyDescent="0.2">
      <c r="A55" s="3">
        <v>42565</v>
      </c>
      <c r="B55">
        <v>2844</v>
      </c>
      <c r="C55">
        <v>2843</v>
      </c>
      <c r="D55">
        <f>22.4-9</f>
        <v>13.399999999999999</v>
      </c>
      <c r="E55" t="s">
        <v>404</v>
      </c>
      <c r="F55" t="s">
        <v>63</v>
      </c>
      <c r="H55" t="s">
        <v>32</v>
      </c>
      <c r="I55" t="s">
        <v>2151</v>
      </c>
      <c r="J55" t="s">
        <v>35</v>
      </c>
      <c r="K55" t="s">
        <v>501</v>
      </c>
      <c r="M55" s="10">
        <v>0.125</v>
      </c>
      <c r="N55" t="s">
        <v>502</v>
      </c>
      <c r="O55" s="10">
        <v>0.45763888888888887</v>
      </c>
      <c r="P55" t="s">
        <v>446</v>
      </c>
      <c r="Q55" s="10" t="s">
        <v>2153</v>
      </c>
      <c r="R55" s="31">
        <v>45.5</v>
      </c>
      <c r="S55" s="4">
        <v>21</v>
      </c>
      <c r="T55">
        <v>0</v>
      </c>
      <c r="U55" t="s">
        <v>499</v>
      </c>
    </row>
    <row r="56" spans="1:22" x14ac:dyDescent="0.2">
      <c r="A56" s="3">
        <v>42565</v>
      </c>
      <c r="B56">
        <v>2846</v>
      </c>
      <c r="C56">
        <v>2845</v>
      </c>
      <c r="D56">
        <v>12.5</v>
      </c>
      <c r="E56" t="s">
        <v>404</v>
      </c>
      <c r="F56" t="s">
        <v>63</v>
      </c>
      <c r="H56" t="s">
        <v>145</v>
      </c>
      <c r="I56" t="s">
        <v>2129</v>
      </c>
      <c r="J56" t="s">
        <v>35</v>
      </c>
      <c r="K56" t="s">
        <v>497</v>
      </c>
      <c r="M56" s="10">
        <v>0.1111111111111111</v>
      </c>
      <c r="N56" t="s">
        <v>498</v>
      </c>
      <c r="O56" s="10">
        <v>0.47083333333333338</v>
      </c>
      <c r="Q56" s="10" t="s">
        <v>2154</v>
      </c>
      <c r="R56" s="31">
        <v>54</v>
      </c>
      <c r="S56" s="4">
        <v>21</v>
      </c>
      <c r="T56">
        <v>0</v>
      </c>
      <c r="U56" t="s">
        <v>499</v>
      </c>
      <c r="V56" t="s">
        <v>2065</v>
      </c>
    </row>
    <row r="57" spans="1:22" x14ac:dyDescent="0.2">
      <c r="A57" s="3">
        <v>42565</v>
      </c>
      <c r="B57">
        <v>2847</v>
      </c>
      <c r="C57">
        <v>2848</v>
      </c>
      <c r="D57">
        <v>12</v>
      </c>
      <c r="E57" t="s">
        <v>404</v>
      </c>
      <c r="F57" t="s">
        <v>63</v>
      </c>
      <c r="H57" t="s">
        <v>145</v>
      </c>
      <c r="I57" t="s">
        <v>2129</v>
      </c>
      <c r="J57" t="s">
        <v>35</v>
      </c>
      <c r="K57" t="s">
        <v>503</v>
      </c>
      <c r="M57" s="10">
        <v>0.1111111111111111</v>
      </c>
      <c r="N57" t="s">
        <v>504</v>
      </c>
      <c r="O57" s="10">
        <v>0.46388888888888885</v>
      </c>
      <c r="P57" t="s">
        <v>417</v>
      </c>
      <c r="Q57" s="10" t="s">
        <v>2155</v>
      </c>
      <c r="R57" s="31">
        <v>41.5</v>
      </c>
      <c r="S57" s="4">
        <v>21</v>
      </c>
      <c r="T57">
        <v>0</v>
      </c>
      <c r="U57" t="s">
        <v>499</v>
      </c>
      <c r="V57" t="s">
        <v>2065</v>
      </c>
    </row>
    <row r="58" spans="1:22" x14ac:dyDescent="0.2">
      <c r="A58" s="3">
        <v>42565</v>
      </c>
      <c r="B58">
        <v>2849</v>
      </c>
      <c r="C58">
        <v>2850</v>
      </c>
      <c r="D58">
        <v>11</v>
      </c>
      <c r="E58" t="s">
        <v>404</v>
      </c>
      <c r="F58" t="s">
        <v>63</v>
      </c>
      <c r="H58" t="s">
        <v>32</v>
      </c>
      <c r="I58" t="s">
        <v>2151</v>
      </c>
      <c r="J58" t="s">
        <v>35</v>
      </c>
      <c r="K58" t="s">
        <v>505</v>
      </c>
      <c r="M58" s="10">
        <v>0.15625</v>
      </c>
      <c r="N58" t="s">
        <v>506</v>
      </c>
      <c r="O58" s="10">
        <v>0.4465277777777778</v>
      </c>
      <c r="Q58" t="s">
        <v>2156</v>
      </c>
      <c r="R58" s="31">
        <v>49</v>
      </c>
      <c r="S58" s="4">
        <v>21</v>
      </c>
      <c r="T58">
        <v>0</v>
      </c>
      <c r="U58" t="s">
        <v>499</v>
      </c>
      <c r="V58" t="s">
        <v>2065</v>
      </c>
    </row>
    <row r="59" spans="1:22" x14ac:dyDescent="0.2">
      <c r="A59" s="3">
        <v>42566</v>
      </c>
      <c r="B59">
        <v>2681</v>
      </c>
      <c r="C59">
        <v>2682</v>
      </c>
      <c r="E59" t="s">
        <v>404</v>
      </c>
      <c r="F59" t="s">
        <v>31</v>
      </c>
      <c r="G59" t="s">
        <v>145</v>
      </c>
      <c r="I59" t="s">
        <v>2128</v>
      </c>
      <c r="J59" t="s">
        <v>30</v>
      </c>
      <c r="M59" s="10">
        <v>0.15416666666666667</v>
      </c>
      <c r="N59" t="s">
        <v>2136</v>
      </c>
      <c r="O59" s="10">
        <v>0.21180555555555555</v>
      </c>
      <c r="Q59" t="s">
        <v>2137</v>
      </c>
      <c r="S59" s="4">
        <v>14</v>
      </c>
      <c r="T59">
        <v>7</v>
      </c>
      <c r="U59" t="s">
        <v>24</v>
      </c>
    </row>
    <row r="60" spans="1:22" x14ac:dyDescent="0.2">
      <c r="A60" s="3">
        <v>42566</v>
      </c>
      <c r="B60">
        <v>2699</v>
      </c>
      <c r="C60">
        <v>2700</v>
      </c>
      <c r="E60" t="s">
        <v>404</v>
      </c>
      <c r="F60" t="s">
        <v>31</v>
      </c>
      <c r="G60" t="s">
        <v>145</v>
      </c>
      <c r="I60" t="s">
        <v>2128</v>
      </c>
      <c r="J60" t="s">
        <v>30</v>
      </c>
      <c r="L60" t="s">
        <v>312</v>
      </c>
      <c r="M60" s="10">
        <v>0.1388888888888889</v>
      </c>
      <c r="N60" t="s">
        <v>539</v>
      </c>
      <c r="O60" s="10">
        <v>0.21805555555555556</v>
      </c>
      <c r="Q60" t="s">
        <v>2143</v>
      </c>
      <c r="S60" s="4">
        <v>14</v>
      </c>
      <c r="T60">
        <v>7</v>
      </c>
      <c r="U60" t="s">
        <v>24</v>
      </c>
    </row>
    <row r="61" spans="1:22" x14ac:dyDescent="0.2">
      <c r="A61" s="3">
        <v>42568</v>
      </c>
      <c r="B61">
        <v>2788</v>
      </c>
      <c r="C61">
        <v>2787</v>
      </c>
      <c r="D61" t="s">
        <v>373</v>
      </c>
      <c r="E61" t="s">
        <v>404</v>
      </c>
      <c r="F61" s="9" t="s">
        <v>31</v>
      </c>
      <c r="G61" s="9" t="s">
        <v>145</v>
      </c>
      <c r="I61" t="s">
        <v>2128</v>
      </c>
      <c r="J61" t="s">
        <v>30</v>
      </c>
      <c r="M61" t="s">
        <v>523</v>
      </c>
      <c r="N61" s="10" t="s">
        <v>2145</v>
      </c>
      <c r="O61" s="10">
        <v>0.46388888888888885</v>
      </c>
      <c r="P61" t="s">
        <v>479</v>
      </c>
      <c r="Q61" s="10" t="s">
        <v>2146</v>
      </c>
      <c r="R61" s="31">
        <v>42.5</v>
      </c>
      <c r="S61" s="4">
        <v>7</v>
      </c>
      <c r="T61">
        <v>7</v>
      </c>
      <c r="U61" t="s">
        <v>360</v>
      </c>
    </row>
    <row r="62" spans="1:22" x14ac:dyDescent="0.2">
      <c r="A62" s="3">
        <v>42568</v>
      </c>
      <c r="B62">
        <v>2799</v>
      </c>
      <c r="C62">
        <v>2795</v>
      </c>
      <c r="D62">
        <v>19</v>
      </c>
      <c r="E62" t="s">
        <v>404</v>
      </c>
      <c r="F62" t="s">
        <v>31</v>
      </c>
      <c r="G62" t="s">
        <v>145</v>
      </c>
      <c r="I62" t="s">
        <v>2128</v>
      </c>
      <c r="J62" t="s">
        <v>30</v>
      </c>
      <c r="N62" t="s">
        <v>520</v>
      </c>
      <c r="O62" s="10">
        <v>0.4777777777777778</v>
      </c>
      <c r="S62" s="4">
        <v>6</v>
      </c>
      <c r="T62">
        <v>6</v>
      </c>
      <c r="U62" t="s">
        <v>360</v>
      </c>
      <c r="V62" t="s">
        <v>522</v>
      </c>
    </row>
    <row r="63" spans="1:22" x14ac:dyDescent="0.2">
      <c r="A63" s="3">
        <v>42568</v>
      </c>
      <c r="B63">
        <v>50678</v>
      </c>
      <c r="C63">
        <v>50698</v>
      </c>
      <c r="E63" t="s">
        <v>376</v>
      </c>
      <c r="F63" t="s">
        <v>31</v>
      </c>
      <c r="G63" t="s">
        <v>145</v>
      </c>
      <c r="I63" s="16" t="s">
        <v>2128</v>
      </c>
      <c r="J63" t="s">
        <v>30</v>
      </c>
      <c r="M63" t="s">
        <v>524</v>
      </c>
      <c r="N63" t="s">
        <v>525</v>
      </c>
      <c r="O63" s="10">
        <v>0.47152777777777777</v>
      </c>
      <c r="Q63" s="10" t="s">
        <v>2193</v>
      </c>
      <c r="R63" s="31">
        <v>58</v>
      </c>
      <c r="S63" s="4">
        <v>14</v>
      </c>
      <c r="T63">
        <v>6</v>
      </c>
      <c r="U63" t="s">
        <v>360</v>
      </c>
    </row>
    <row r="64" spans="1:22" x14ac:dyDescent="0.2">
      <c r="A64" s="3">
        <v>42569</v>
      </c>
      <c r="B64">
        <v>2686</v>
      </c>
      <c r="C64">
        <v>2685</v>
      </c>
      <c r="D64">
        <v>14.5</v>
      </c>
      <c r="E64" t="s">
        <v>527</v>
      </c>
      <c r="F64" t="s">
        <v>31</v>
      </c>
      <c r="G64" t="s">
        <v>145</v>
      </c>
      <c r="I64" t="s">
        <v>2128</v>
      </c>
      <c r="J64" t="s">
        <v>30</v>
      </c>
      <c r="K64" t="s">
        <v>696</v>
      </c>
      <c r="L64" t="s">
        <v>315</v>
      </c>
      <c r="M64" s="10">
        <v>0.18055555555555555</v>
      </c>
      <c r="Q64" t="s">
        <v>2139</v>
      </c>
      <c r="R64" s="31">
        <v>53.5</v>
      </c>
      <c r="S64" s="4">
        <v>0</v>
      </c>
      <c r="T64">
        <v>0</v>
      </c>
      <c r="U64" t="s">
        <v>66</v>
      </c>
    </row>
    <row r="65" spans="1:23" x14ac:dyDescent="0.2">
      <c r="A65" s="3">
        <v>42569</v>
      </c>
      <c r="B65">
        <v>2693</v>
      </c>
      <c r="D65">
        <v>12</v>
      </c>
      <c r="E65" t="s">
        <v>637</v>
      </c>
      <c r="F65" t="s">
        <v>63</v>
      </c>
      <c r="G65" t="s">
        <v>32</v>
      </c>
      <c r="I65" t="s">
        <v>2130</v>
      </c>
      <c r="J65" t="s">
        <v>35</v>
      </c>
      <c r="K65" t="s">
        <v>384</v>
      </c>
      <c r="O65" s="10"/>
      <c r="Q65" t="s">
        <v>2141</v>
      </c>
      <c r="S65" s="4">
        <v>0</v>
      </c>
      <c r="T65">
        <v>10</v>
      </c>
      <c r="U65" t="s">
        <v>65</v>
      </c>
    </row>
    <row r="66" spans="1:23" x14ac:dyDescent="0.2">
      <c r="A66" s="21">
        <v>42569</v>
      </c>
      <c r="B66" s="22">
        <v>2734</v>
      </c>
      <c r="C66" s="22">
        <v>2735</v>
      </c>
      <c r="D66" s="22">
        <v>16</v>
      </c>
      <c r="E66" s="22" t="s">
        <v>641</v>
      </c>
      <c r="F66" s="22"/>
      <c r="G66" s="22"/>
      <c r="H66" s="22"/>
      <c r="I66" s="22"/>
      <c r="J66" s="22" t="s">
        <v>35</v>
      </c>
      <c r="K66" s="22"/>
      <c r="L66" s="22"/>
      <c r="M66" s="22"/>
      <c r="N66" s="22" t="s">
        <v>640</v>
      </c>
      <c r="O66" s="24">
        <v>0.3611111111111111</v>
      </c>
      <c r="P66" s="22"/>
      <c r="Q66" s="22"/>
      <c r="R66" s="32"/>
      <c r="S66" s="28"/>
      <c r="T66" s="22"/>
      <c r="U66" s="22" t="s">
        <v>65</v>
      </c>
      <c r="V66" s="22"/>
      <c r="W66" s="22"/>
    </row>
    <row r="67" spans="1:23" x14ac:dyDescent="0.2">
      <c r="A67" s="21">
        <v>42569</v>
      </c>
      <c r="B67" s="22">
        <v>2746</v>
      </c>
      <c r="C67" s="22">
        <v>2745</v>
      </c>
      <c r="D67" s="22">
        <v>16</v>
      </c>
      <c r="E67" s="22" t="s">
        <v>268</v>
      </c>
      <c r="F67" s="22"/>
      <c r="G67" s="22"/>
      <c r="H67" s="22"/>
      <c r="I67" s="22"/>
      <c r="J67" s="22" t="s">
        <v>35</v>
      </c>
      <c r="K67" s="22"/>
      <c r="L67" s="22"/>
      <c r="M67" s="22"/>
      <c r="N67" s="22" t="s">
        <v>639</v>
      </c>
      <c r="O67" s="24">
        <v>0.33333333333333331</v>
      </c>
      <c r="P67" s="22"/>
      <c r="Q67" s="22"/>
      <c r="R67" s="32"/>
      <c r="S67" s="28"/>
      <c r="T67" s="22"/>
      <c r="U67" s="22" t="s">
        <v>65</v>
      </c>
      <c r="V67" s="22"/>
      <c r="W67" s="22"/>
    </row>
    <row r="68" spans="1:23" x14ac:dyDescent="0.2">
      <c r="A68" s="25">
        <v>42569</v>
      </c>
      <c r="B68" s="9">
        <v>2748</v>
      </c>
      <c r="C68" s="9">
        <v>2747</v>
      </c>
      <c r="D68" s="9">
        <v>12</v>
      </c>
      <c r="E68" s="9" t="s">
        <v>325</v>
      </c>
      <c r="F68" s="9" t="s">
        <v>63</v>
      </c>
      <c r="G68" s="9"/>
      <c r="H68" s="9"/>
      <c r="I68" s="9"/>
      <c r="J68" s="9" t="s">
        <v>35</v>
      </c>
      <c r="K68" s="9" t="s">
        <v>691</v>
      </c>
      <c r="L68" s="9"/>
      <c r="M68" s="9"/>
      <c r="N68" s="9" t="s">
        <v>636</v>
      </c>
      <c r="O68" s="26">
        <v>0.23958333333333334</v>
      </c>
      <c r="P68" s="9"/>
      <c r="Q68" s="9"/>
      <c r="R68" s="33"/>
      <c r="S68" s="29"/>
      <c r="T68" s="9"/>
      <c r="U68" s="9" t="s">
        <v>65</v>
      </c>
      <c r="V68" s="9"/>
      <c r="W68" s="9"/>
    </row>
    <row r="69" spans="1:23" x14ac:dyDescent="0.2">
      <c r="A69" s="3">
        <v>42569</v>
      </c>
      <c r="B69">
        <v>2799</v>
      </c>
      <c r="C69">
        <v>2795</v>
      </c>
      <c r="E69" t="s">
        <v>404</v>
      </c>
      <c r="F69" t="s">
        <v>31</v>
      </c>
      <c r="G69" t="s">
        <v>145</v>
      </c>
      <c r="I69" t="s">
        <v>2128</v>
      </c>
      <c r="J69" t="s">
        <v>30</v>
      </c>
      <c r="M69" s="10">
        <v>0.10416666666666667</v>
      </c>
      <c r="N69" t="s">
        <v>2148</v>
      </c>
      <c r="O69" s="10">
        <v>0.43055555555555558</v>
      </c>
      <c r="P69" t="s">
        <v>2149</v>
      </c>
      <c r="Q69" t="s">
        <v>2150</v>
      </c>
      <c r="R69" s="31">
        <v>41.5</v>
      </c>
      <c r="S69" s="4">
        <v>7</v>
      </c>
      <c r="T69">
        <v>1</v>
      </c>
      <c r="U69" t="s">
        <v>24</v>
      </c>
    </row>
    <row r="70" spans="1:23" x14ac:dyDescent="0.2">
      <c r="A70" s="3">
        <v>42569</v>
      </c>
      <c r="B70">
        <v>2976</v>
      </c>
      <c r="C70">
        <v>2977</v>
      </c>
      <c r="D70">
        <v>11.5</v>
      </c>
      <c r="E70" t="s">
        <v>526</v>
      </c>
      <c r="F70" t="s">
        <v>31</v>
      </c>
      <c r="G70" t="s">
        <v>145</v>
      </c>
      <c r="I70" t="s">
        <v>2128</v>
      </c>
      <c r="J70" t="s">
        <v>30</v>
      </c>
      <c r="K70" t="s">
        <v>692</v>
      </c>
      <c r="M70" t="s">
        <v>550</v>
      </c>
      <c r="N70" t="s">
        <v>568</v>
      </c>
      <c r="O70" s="10">
        <v>0.41736111111111113</v>
      </c>
      <c r="Q70" s="10" t="s">
        <v>2158</v>
      </c>
      <c r="R70" s="31">
        <v>50</v>
      </c>
      <c r="S70" s="4">
        <v>0</v>
      </c>
      <c r="T70">
        <v>0</v>
      </c>
      <c r="U70" t="s">
        <v>66</v>
      </c>
      <c r="V70" t="s">
        <v>770</v>
      </c>
    </row>
    <row r="71" spans="1:23" x14ac:dyDescent="0.2">
      <c r="A71" s="3">
        <v>42569</v>
      </c>
      <c r="B71">
        <v>50532</v>
      </c>
      <c r="C71">
        <v>50531</v>
      </c>
      <c r="E71" t="s">
        <v>404</v>
      </c>
      <c r="F71" t="s">
        <v>63</v>
      </c>
      <c r="H71" t="s">
        <v>32</v>
      </c>
      <c r="I71" s="16" t="s">
        <v>2151</v>
      </c>
      <c r="J71" s="16" t="s">
        <v>35</v>
      </c>
      <c r="M71" s="10">
        <v>0.13541666666666666</v>
      </c>
      <c r="N71" t="s">
        <v>2176</v>
      </c>
      <c r="O71" s="10">
        <v>0.22152777777777777</v>
      </c>
      <c r="P71" t="s">
        <v>476</v>
      </c>
      <c r="Q71" t="s">
        <v>2177</v>
      </c>
      <c r="R71" s="31">
        <v>52.5</v>
      </c>
      <c r="S71" s="4">
        <v>35</v>
      </c>
      <c r="T71">
        <v>7</v>
      </c>
      <c r="U71" t="s">
        <v>24</v>
      </c>
    </row>
    <row r="72" spans="1:23" x14ac:dyDescent="0.2">
      <c r="A72" s="3">
        <v>42569</v>
      </c>
      <c r="B72">
        <v>50534</v>
      </c>
      <c r="C72">
        <v>50533</v>
      </c>
      <c r="E72" t="s">
        <v>404</v>
      </c>
      <c r="F72" t="s">
        <v>63</v>
      </c>
      <c r="H72" t="s">
        <v>32</v>
      </c>
      <c r="I72" s="16" t="s">
        <v>2151</v>
      </c>
      <c r="J72" s="16" t="s">
        <v>35</v>
      </c>
      <c r="M72" t="s">
        <v>410</v>
      </c>
      <c r="N72" t="s">
        <v>2181</v>
      </c>
      <c r="O72" s="10">
        <v>0.21736111111111112</v>
      </c>
      <c r="P72" t="s">
        <v>480</v>
      </c>
      <c r="Q72" t="s">
        <v>2182</v>
      </c>
      <c r="R72" s="31">
        <v>55</v>
      </c>
      <c r="S72" s="4">
        <v>35</v>
      </c>
      <c r="T72">
        <v>7</v>
      </c>
      <c r="U72" t="s">
        <v>24</v>
      </c>
    </row>
    <row r="73" spans="1:23" x14ac:dyDescent="0.2">
      <c r="A73" s="3">
        <v>42569</v>
      </c>
      <c r="B73">
        <v>50701</v>
      </c>
      <c r="C73">
        <v>50703</v>
      </c>
      <c r="D73">
        <v>10</v>
      </c>
      <c r="E73" t="s">
        <v>535</v>
      </c>
      <c r="F73" t="s">
        <v>63</v>
      </c>
      <c r="G73" t="s">
        <v>32</v>
      </c>
      <c r="I73" s="16" t="s">
        <v>2130</v>
      </c>
      <c r="J73" t="s">
        <v>35</v>
      </c>
      <c r="K73" t="s">
        <v>682</v>
      </c>
      <c r="M73" t="s">
        <v>413</v>
      </c>
      <c r="N73" t="s">
        <v>536</v>
      </c>
      <c r="O73" s="10">
        <v>0.31041666666666667</v>
      </c>
      <c r="P73" t="s">
        <v>690</v>
      </c>
      <c r="Q73" t="s">
        <v>2195</v>
      </c>
      <c r="R73" s="31">
        <v>49</v>
      </c>
      <c r="S73" s="4">
        <v>0</v>
      </c>
      <c r="T73">
        <v>0</v>
      </c>
      <c r="U73" t="s">
        <v>360</v>
      </c>
    </row>
    <row r="74" spans="1:23" x14ac:dyDescent="0.2">
      <c r="A74" s="3">
        <v>42569</v>
      </c>
      <c r="B74">
        <v>50707</v>
      </c>
      <c r="C74">
        <v>50708</v>
      </c>
      <c r="D74">
        <v>13.5</v>
      </c>
      <c r="E74" t="s">
        <v>576</v>
      </c>
      <c r="F74" t="s">
        <v>31</v>
      </c>
      <c r="G74" t="s">
        <v>145</v>
      </c>
      <c r="I74" s="16" t="s">
        <v>2128</v>
      </c>
      <c r="J74" t="s">
        <v>30</v>
      </c>
      <c r="K74" t="s">
        <v>577</v>
      </c>
      <c r="M74" t="s">
        <v>413</v>
      </c>
      <c r="O74" s="10"/>
      <c r="P74" t="s">
        <v>500</v>
      </c>
      <c r="Q74" t="s">
        <v>2196</v>
      </c>
      <c r="R74" s="31">
        <v>56</v>
      </c>
      <c r="S74" s="4">
        <v>0</v>
      </c>
      <c r="T74">
        <v>0</v>
      </c>
      <c r="U74" t="s">
        <v>24</v>
      </c>
    </row>
    <row r="75" spans="1:23" x14ac:dyDescent="0.2">
      <c r="A75" s="3">
        <v>42569</v>
      </c>
      <c r="B75">
        <v>50800</v>
      </c>
      <c r="C75">
        <v>50793</v>
      </c>
      <c r="D75">
        <v>13.5</v>
      </c>
      <c r="E75" t="s">
        <v>348</v>
      </c>
      <c r="F75" t="s">
        <v>63</v>
      </c>
      <c r="G75" t="s">
        <v>145</v>
      </c>
      <c r="I75" s="16" t="s">
        <v>2128</v>
      </c>
      <c r="J75" t="s">
        <v>35</v>
      </c>
      <c r="K75" t="s">
        <v>693</v>
      </c>
      <c r="M75" t="s">
        <v>410</v>
      </c>
      <c r="N75" t="s">
        <v>537</v>
      </c>
      <c r="O75" s="10">
        <v>0.3611111111111111</v>
      </c>
      <c r="P75" t="s">
        <v>497</v>
      </c>
      <c r="Q75" t="s">
        <v>2199</v>
      </c>
      <c r="R75" s="31">
        <v>45.5</v>
      </c>
      <c r="S75" s="4">
        <v>0</v>
      </c>
      <c r="T75">
        <v>0</v>
      </c>
      <c r="U75" t="s">
        <v>360</v>
      </c>
    </row>
    <row r="76" spans="1:23" x14ac:dyDescent="0.2">
      <c r="A76" s="3">
        <v>42570</v>
      </c>
      <c r="B76">
        <v>2686</v>
      </c>
      <c r="C76">
        <v>2685</v>
      </c>
      <c r="E76" t="s">
        <v>404</v>
      </c>
      <c r="F76" t="s">
        <v>31</v>
      </c>
      <c r="G76" t="s">
        <v>145</v>
      </c>
      <c r="I76" t="s">
        <v>2128</v>
      </c>
      <c r="J76" t="s">
        <v>30</v>
      </c>
      <c r="L76" t="s">
        <v>260</v>
      </c>
      <c r="N76" t="s">
        <v>566</v>
      </c>
      <c r="O76" s="10">
        <v>0.47986111111111113</v>
      </c>
      <c r="S76" s="4">
        <v>1</v>
      </c>
      <c r="T76">
        <v>1</v>
      </c>
      <c r="U76" t="s">
        <v>567</v>
      </c>
    </row>
    <row r="77" spans="1:23" x14ac:dyDescent="0.2">
      <c r="A77" s="3">
        <v>42570</v>
      </c>
      <c r="B77">
        <v>2976</v>
      </c>
      <c r="C77">
        <v>2977</v>
      </c>
      <c r="E77" t="s">
        <v>526</v>
      </c>
      <c r="F77" t="s">
        <v>31</v>
      </c>
      <c r="G77" t="s">
        <v>145</v>
      </c>
      <c r="I77" t="s">
        <v>2128</v>
      </c>
      <c r="J77" t="s">
        <v>30</v>
      </c>
      <c r="N77" t="s">
        <v>569</v>
      </c>
      <c r="O77" s="10">
        <v>0.48125000000000001</v>
      </c>
      <c r="S77" s="4">
        <v>1</v>
      </c>
      <c r="T77">
        <v>1</v>
      </c>
      <c r="U77" t="s">
        <v>567</v>
      </c>
    </row>
    <row r="78" spans="1:23" x14ac:dyDescent="0.2">
      <c r="A78" s="3">
        <v>42570</v>
      </c>
      <c r="B78">
        <v>50530</v>
      </c>
      <c r="C78">
        <v>50529</v>
      </c>
      <c r="D78">
        <v>18</v>
      </c>
      <c r="E78">
        <v>111</v>
      </c>
      <c r="F78" t="s">
        <v>63</v>
      </c>
      <c r="G78" t="s">
        <v>32</v>
      </c>
      <c r="I78" s="16" t="s">
        <v>2130</v>
      </c>
      <c r="J78" t="s">
        <v>35</v>
      </c>
      <c r="M78" s="10">
        <v>0.21527777777777779</v>
      </c>
      <c r="N78" t="s">
        <v>578</v>
      </c>
      <c r="O78" s="10">
        <v>0.27291666666666664</v>
      </c>
      <c r="P78" t="s">
        <v>505</v>
      </c>
      <c r="Q78" s="10" t="s">
        <v>579</v>
      </c>
      <c r="R78" s="31">
        <v>44</v>
      </c>
      <c r="S78" s="4">
        <v>0</v>
      </c>
      <c r="T78">
        <v>12</v>
      </c>
      <c r="U78" t="s">
        <v>24</v>
      </c>
    </row>
    <row r="79" spans="1:23" x14ac:dyDescent="0.2">
      <c r="A79" s="3">
        <v>42570</v>
      </c>
      <c r="B79">
        <v>50786</v>
      </c>
      <c r="C79">
        <v>50785</v>
      </c>
      <c r="D79">
        <f>27.5-16</f>
        <v>11.5</v>
      </c>
      <c r="E79">
        <v>202</v>
      </c>
      <c r="F79" t="s">
        <v>63</v>
      </c>
      <c r="G79" t="s">
        <v>32</v>
      </c>
      <c r="I79" s="16" t="s">
        <v>2130</v>
      </c>
      <c r="J79" t="s">
        <v>35</v>
      </c>
      <c r="K79" t="s">
        <v>560</v>
      </c>
      <c r="L79" t="s">
        <v>322</v>
      </c>
      <c r="M79" t="s">
        <v>550</v>
      </c>
      <c r="N79" t="s">
        <v>553</v>
      </c>
      <c r="O79" s="10">
        <v>0.34791666666666665</v>
      </c>
      <c r="Q79" t="s">
        <v>561</v>
      </c>
      <c r="R79" s="31">
        <v>55</v>
      </c>
      <c r="S79" s="4">
        <v>0</v>
      </c>
      <c r="T79">
        <v>0</v>
      </c>
      <c r="U79" t="s">
        <v>64</v>
      </c>
      <c r="V79" t="s">
        <v>554</v>
      </c>
    </row>
    <row r="80" spans="1:23" x14ac:dyDescent="0.2">
      <c r="A80" s="3">
        <v>42570</v>
      </c>
      <c r="B80">
        <v>50790</v>
      </c>
      <c r="C80">
        <v>50789</v>
      </c>
      <c r="D80">
        <f>26.5-13</f>
        <v>13.5</v>
      </c>
      <c r="E80">
        <v>202</v>
      </c>
      <c r="F80" t="s">
        <v>31</v>
      </c>
      <c r="G80" t="s">
        <v>32</v>
      </c>
      <c r="I80" s="16" t="s">
        <v>2130</v>
      </c>
      <c r="J80" t="s">
        <v>30</v>
      </c>
      <c r="K80" t="s">
        <v>558</v>
      </c>
      <c r="M80" t="s">
        <v>550</v>
      </c>
      <c r="N80" t="s">
        <v>551</v>
      </c>
      <c r="O80" s="10">
        <v>0.32222222222222224</v>
      </c>
      <c r="P80" t="s">
        <v>501</v>
      </c>
      <c r="Q80" t="s">
        <v>559</v>
      </c>
      <c r="R80" s="31">
        <v>36</v>
      </c>
      <c r="S80" s="4">
        <v>0</v>
      </c>
      <c r="T80">
        <v>0</v>
      </c>
      <c r="U80" t="s">
        <v>64</v>
      </c>
      <c r="V80" t="s">
        <v>552</v>
      </c>
    </row>
    <row r="81" spans="1:22" x14ac:dyDescent="0.2">
      <c r="A81" s="3">
        <v>42571</v>
      </c>
      <c r="B81">
        <v>2844</v>
      </c>
      <c r="C81">
        <v>2843</v>
      </c>
      <c r="E81" t="s">
        <v>404</v>
      </c>
      <c r="F81" t="s">
        <v>63</v>
      </c>
      <c r="H81" t="s">
        <v>32</v>
      </c>
      <c r="I81" t="s">
        <v>2151</v>
      </c>
      <c r="J81" t="s">
        <v>35</v>
      </c>
      <c r="N81" t="s">
        <v>589</v>
      </c>
      <c r="O81" s="10">
        <v>0.35069444444444442</v>
      </c>
      <c r="S81" s="4">
        <v>27</v>
      </c>
      <c r="T81">
        <v>6</v>
      </c>
      <c r="U81" t="s">
        <v>64</v>
      </c>
    </row>
    <row r="82" spans="1:22" x14ac:dyDescent="0.2">
      <c r="A82" s="3">
        <v>42571</v>
      </c>
      <c r="B82">
        <v>50707</v>
      </c>
      <c r="C82">
        <v>50708</v>
      </c>
      <c r="E82" t="s">
        <v>576</v>
      </c>
      <c r="F82" t="s">
        <v>31</v>
      </c>
      <c r="G82" t="s">
        <v>145</v>
      </c>
      <c r="I82" s="16" t="s">
        <v>2128</v>
      </c>
      <c r="J82" t="s">
        <v>30</v>
      </c>
      <c r="N82" t="s">
        <v>588</v>
      </c>
      <c r="O82" s="10">
        <v>0.35486111111111113</v>
      </c>
      <c r="S82" s="4">
        <v>2</v>
      </c>
      <c r="T82">
        <v>0</v>
      </c>
      <c r="U82" t="s">
        <v>64</v>
      </c>
    </row>
    <row r="83" spans="1:22" x14ac:dyDescent="0.2">
      <c r="A83" s="3">
        <v>42571</v>
      </c>
      <c r="B83">
        <v>50721</v>
      </c>
      <c r="C83">
        <v>50720</v>
      </c>
      <c r="D83">
        <f>21.5-9</f>
        <v>12.5</v>
      </c>
      <c r="E83">
        <v>111</v>
      </c>
      <c r="F83" t="s">
        <v>31</v>
      </c>
      <c r="G83" t="s">
        <v>32</v>
      </c>
      <c r="I83" s="16" t="s">
        <v>2130</v>
      </c>
      <c r="J83" t="s">
        <v>30</v>
      </c>
      <c r="K83" t="s">
        <v>603</v>
      </c>
      <c r="M83" t="s">
        <v>474</v>
      </c>
      <c r="N83" t="s">
        <v>604</v>
      </c>
      <c r="O83" s="10">
        <v>0.27986111111111112</v>
      </c>
      <c r="Q83" t="s">
        <v>605</v>
      </c>
      <c r="S83" s="4">
        <v>0</v>
      </c>
      <c r="T83">
        <v>0</v>
      </c>
      <c r="U83" t="s">
        <v>24</v>
      </c>
      <c r="V83" t="s">
        <v>606</v>
      </c>
    </row>
    <row r="84" spans="1:22" x14ac:dyDescent="0.2">
      <c r="A84" s="3">
        <v>42571</v>
      </c>
      <c r="B84">
        <v>50778</v>
      </c>
      <c r="C84">
        <v>50777</v>
      </c>
      <c r="D84">
        <v>15</v>
      </c>
      <c r="E84">
        <v>202</v>
      </c>
      <c r="F84" t="s">
        <v>31</v>
      </c>
      <c r="G84" t="s">
        <v>32</v>
      </c>
      <c r="I84" s="16" t="s">
        <v>2130</v>
      </c>
      <c r="J84" t="s">
        <v>30</v>
      </c>
      <c r="K84" t="s">
        <v>586</v>
      </c>
      <c r="L84" t="s">
        <v>370</v>
      </c>
      <c r="M84" t="s">
        <v>452</v>
      </c>
      <c r="Q84" t="s">
        <v>2198</v>
      </c>
      <c r="R84" s="31">
        <v>54.5</v>
      </c>
      <c r="S84" s="4">
        <v>0</v>
      </c>
      <c r="T84">
        <v>0</v>
      </c>
      <c r="U84" t="s">
        <v>64</v>
      </c>
      <c r="V84" t="s">
        <v>587</v>
      </c>
    </row>
    <row r="85" spans="1:22" x14ac:dyDescent="0.2">
      <c r="A85" s="3">
        <v>42572</v>
      </c>
      <c r="B85">
        <v>2646</v>
      </c>
      <c r="C85">
        <v>2645</v>
      </c>
      <c r="D85">
        <v>14</v>
      </c>
      <c r="E85" t="s">
        <v>221</v>
      </c>
      <c r="F85" t="s">
        <v>63</v>
      </c>
      <c r="G85" t="s">
        <v>32</v>
      </c>
      <c r="I85" t="s">
        <v>2130</v>
      </c>
      <c r="J85" t="s">
        <v>35</v>
      </c>
      <c r="K85" t="s">
        <v>617</v>
      </c>
      <c r="L85" t="s">
        <v>367</v>
      </c>
      <c r="M85" t="s">
        <v>531</v>
      </c>
      <c r="N85" t="s">
        <v>613</v>
      </c>
      <c r="O85" s="10">
        <v>0.34930555555555554</v>
      </c>
      <c r="Q85" t="s">
        <v>2131</v>
      </c>
      <c r="S85" s="4">
        <v>0</v>
      </c>
      <c r="T85">
        <v>0</v>
      </c>
      <c r="U85" t="s">
        <v>66</v>
      </c>
    </row>
    <row r="86" spans="1:22" x14ac:dyDescent="0.2">
      <c r="A86" s="3">
        <v>42572</v>
      </c>
      <c r="B86">
        <v>2681</v>
      </c>
      <c r="C86">
        <v>2682</v>
      </c>
      <c r="D86">
        <v>15</v>
      </c>
      <c r="E86" t="s">
        <v>375</v>
      </c>
      <c r="F86" t="s">
        <v>31</v>
      </c>
      <c r="G86" t="s">
        <v>145</v>
      </c>
      <c r="I86" t="s">
        <v>2128</v>
      </c>
      <c r="J86" t="s">
        <v>30</v>
      </c>
      <c r="K86" t="s">
        <v>731</v>
      </c>
      <c r="L86" t="s">
        <v>497</v>
      </c>
      <c r="M86" t="s">
        <v>550</v>
      </c>
      <c r="Q86" t="s">
        <v>2135</v>
      </c>
      <c r="S86" s="4">
        <v>0</v>
      </c>
      <c r="T86">
        <v>6</v>
      </c>
      <c r="U86" t="s">
        <v>66</v>
      </c>
    </row>
    <row r="87" spans="1:22" x14ac:dyDescent="0.2">
      <c r="A87" s="3">
        <v>42572</v>
      </c>
      <c r="B87">
        <v>2684</v>
      </c>
      <c r="C87">
        <v>2683</v>
      </c>
      <c r="D87">
        <v>12</v>
      </c>
      <c r="E87" t="s">
        <v>98</v>
      </c>
      <c r="F87" t="s">
        <v>31</v>
      </c>
      <c r="G87" t="s">
        <v>32</v>
      </c>
      <c r="I87" t="s">
        <v>2130</v>
      </c>
      <c r="J87" t="s">
        <v>30</v>
      </c>
      <c r="K87" t="s">
        <v>700</v>
      </c>
      <c r="M87" t="s">
        <v>550</v>
      </c>
      <c r="N87" t="s">
        <v>645</v>
      </c>
      <c r="O87" s="10">
        <v>0.3263888888888889</v>
      </c>
      <c r="Q87" t="s">
        <v>2138</v>
      </c>
      <c r="S87" s="4">
        <v>0</v>
      </c>
      <c r="T87">
        <v>0</v>
      </c>
      <c r="U87" t="s">
        <v>65</v>
      </c>
    </row>
    <row r="88" spans="1:22" x14ac:dyDescent="0.2">
      <c r="A88" s="3">
        <v>42572</v>
      </c>
      <c r="B88">
        <v>2844</v>
      </c>
      <c r="C88">
        <v>2843</v>
      </c>
      <c r="D88">
        <v>13.4</v>
      </c>
      <c r="E88" t="s">
        <v>404</v>
      </c>
      <c r="F88" t="s">
        <v>63</v>
      </c>
      <c r="H88" t="s">
        <v>32</v>
      </c>
      <c r="I88" t="s">
        <v>2151</v>
      </c>
      <c r="J88" t="s">
        <v>35</v>
      </c>
      <c r="M88" t="s">
        <v>410</v>
      </c>
      <c r="N88" t="s">
        <v>685</v>
      </c>
      <c r="O88" s="10">
        <v>0.48819444444444443</v>
      </c>
      <c r="Q88" t="s">
        <v>686</v>
      </c>
      <c r="R88" s="31">
        <v>50</v>
      </c>
      <c r="S88" s="4">
        <v>28</v>
      </c>
      <c r="T88">
        <v>1</v>
      </c>
      <c r="U88" t="s">
        <v>24</v>
      </c>
    </row>
    <row r="89" spans="1:22" x14ac:dyDescent="0.2">
      <c r="A89" s="3">
        <v>42572</v>
      </c>
      <c r="B89">
        <v>2849</v>
      </c>
      <c r="C89">
        <v>2850</v>
      </c>
      <c r="D89">
        <v>11</v>
      </c>
      <c r="E89" t="s">
        <v>236</v>
      </c>
      <c r="F89" t="s">
        <v>63</v>
      </c>
      <c r="H89" t="s">
        <v>32</v>
      </c>
      <c r="I89" t="s">
        <v>2151</v>
      </c>
      <c r="J89" t="s">
        <v>35</v>
      </c>
      <c r="L89" t="s">
        <v>687</v>
      </c>
      <c r="M89" t="s">
        <v>474</v>
      </c>
      <c r="N89" t="s">
        <v>688</v>
      </c>
      <c r="O89" s="10">
        <v>0.4909722222222222</v>
      </c>
      <c r="Q89" t="s">
        <v>689</v>
      </c>
      <c r="R89" s="31">
        <v>34.5</v>
      </c>
      <c r="S89" s="4">
        <v>28</v>
      </c>
      <c r="T89">
        <v>7</v>
      </c>
      <c r="U89" t="s">
        <v>24</v>
      </c>
    </row>
    <row r="90" spans="1:22" x14ac:dyDescent="0.2">
      <c r="A90" s="3">
        <v>42572</v>
      </c>
      <c r="B90">
        <v>50433</v>
      </c>
      <c r="C90">
        <v>50432</v>
      </c>
      <c r="D90">
        <v>14</v>
      </c>
      <c r="E90" t="s">
        <v>92</v>
      </c>
      <c r="F90" t="s">
        <v>63</v>
      </c>
      <c r="G90" t="s">
        <v>145</v>
      </c>
      <c r="I90" s="16" t="s">
        <v>2128</v>
      </c>
      <c r="J90" t="s">
        <v>35</v>
      </c>
      <c r="K90" t="s">
        <v>615</v>
      </c>
      <c r="L90" t="s">
        <v>366</v>
      </c>
      <c r="M90" t="s">
        <v>616</v>
      </c>
      <c r="S90" s="4">
        <v>17</v>
      </c>
      <c r="T90">
        <v>10</v>
      </c>
      <c r="U90" t="s">
        <v>66</v>
      </c>
    </row>
    <row r="91" spans="1:22" x14ac:dyDescent="0.2">
      <c r="A91" s="3">
        <v>42572</v>
      </c>
      <c r="B91">
        <v>50445</v>
      </c>
      <c r="C91">
        <v>50438</v>
      </c>
      <c r="D91">
        <v>20</v>
      </c>
      <c r="E91" t="s">
        <v>646</v>
      </c>
      <c r="I91" s="16" t="s">
        <v>2128</v>
      </c>
      <c r="J91" t="s">
        <v>35</v>
      </c>
      <c r="K91" t="s">
        <v>680</v>
      </c>
      <c r="L91" t="s">
        <v>367</v>
      </c>
      <c r="M91" t="s">
        <v>474</v>
      </c>
      <c r="N91" t="s">
        <v>644</v>
      </c>
      <c r="O91" s="10">
        <v>0.40277777777777773</v>
      </c>
      <c r="Q91" t="s">
        <v>2171</v>
      </c>
      <c r="S91" s="4">
        <v>17</v>
      </c>
      <c r="T91">
        <v>10</v>
      </c>
      <c r="U91" t="s">
        <v>66</v>
      </c>
    </row>
    <row r="92" spans="1:22" x14ac:dyDescent="0.2">
      <c r="A92" s="3">
        <v>42572</v>
      </c>
      <c r="B92">
        <v>50534</v>
      </c>
      <c r="C92">
        <v>50533</v>
      </c>
      <c r="D92">
        <v>16</v>
      </c>
      <c r="E92" t="s">
        <v>642</v>
      </c>
      <c r="F92" t="s">
        <v>63</v>
      </c>
      <c r="H92" t="s">
        <v>32</v>
      </c>
      <c r="I92" s="16" t="s">
        <v>2151</v>
      </c>
      <c r="J92" t="s">
        <v>35</v>
      </c>
      <c r="K92" t="s">
        <v>698</v>
      </c>
      <c r="L92" t="s">
        <v>2178</v>
      </c>
      <c r="N92" t="s">
        <v>643</v>
      </c>
      <c r="O92" s="10">
        <v>0.30555555555555552</v>
      </c>
      <c r="Q92" t="s">
        <v>2179</v>
      </c>
      <c r="S92" s="4">
        <v>35</v>
      </c>
      <c r="T92">
        <v>3</v>
      </c>
      <c r="U92" t="s">
        <v>66</v>
      </c>
    </row>
    <row r="93" spans="1:22" x14ac:dyDescent="0.2">
      <c r="A93" s="3">
        <v>42572</v>
      </c>
      <c r="B93">
        <v>50604</v>
      </c>
      <c r="C93">
        <v>50603</v>
      </c>
      <c r="D93">
        <v>12.5</v>
      </c>
      <c r="E93" t="s">
        <v>376</v>
      </c>
      <c r="F93" t="s">
        <v>63</v>
      </c>
      <c r="G93" t="s">
        <v>32</v>
      </c>
      <c r="I93" s="16" t="s">
        <v>2128</v>
      </c>
      <c r="J93" t="s">
        <v>35</v>
      </c>
      <c r="K93" t="s">
        <v>614</v>
      </c>
      <c r="L93" t="s">
        <v>354</v>
      </c>
      <c r="M93" t="s">
        <v>531</v>
      </c>
      <c r="N93" t="s">
        <v>612</v>
      </c>
      <c r="O93" s="10">
        <v>0.26250000000000001</v>
      </c>
      <c r="S93" s="4">
        <v>17</v>
      </c>
      <c r="T93">
        <v>10</v>
      </c>
      <c r="U93" t="s">
        <v>66</v>
      </c>
    </row>
    <row r="94" spans="1:22" x14ac:dyDescent="0.2">
      <c r="A94" s="3">
        <v>42572</v>
      </c>
      <c r="B94">
        <v>50778</v>
      </c>
      <c r="C94">
        <v>50777</v>
      </c>
      <c r="D94">
        <f>26-12</f>
        <v>14</v>
      </c>
      <c r="E94">
        <v>202</v>
      </c>
      <c r="F94" t="s">
        <v>31</v>
      </c>
      <c r="G94" t="s">
        <v>32</v>
      </c>
      <c r="I94" s="16" t="s">
        <v>2130</v>
      </c>
      <c r="J94" t="s">
        <v>30</v>
      </c>
      <c r="N94" t="s">
        <v>629</v>
      </c>
      <c r="O94" s="10">
        <v>0.4069444444444445</v>
      </c>
      <c r="S94" s="4">
        <v>0</v>
      </c>
      <c r="T94">
        <v>1</v>
      </c>
      <c r="U94" t="s">
        <v>64</v>
      </c>
      <c r="V94" t="s">
        <v>630</v>
      </c>
    </row>
    <row r="95" spans="1:22" x14ac:dyDescent="0.2">
      <c r="A95" s="3">
        <v>42572</v>
      </c>
      <c r="B95">
        <v>50809</v>
      </c>
      <c r="C95">
        <v>50808</v>
      </c>
      <c r="D95">
        <v>14</v>
      </c>
      <c r="E95">
        <v>111</v>
      </c>
      <c r="F95" t="s">
        <v>63</v>
      </c>
      <c r="G95" t="s">
        <v>32</v>
      </c>
      <c r="I95" s="16" t="s">
        <v>2130</v>
      </c>
      <c r="J95" t="s">
        <v>35</v>
      </c>
      <c r="K95" t="s">
        <v>672</v>
      </c>
      <c r="M95" t="s">
        <v>550</v>
      </c>
      <c r="N95" t="s">
        <v>673</v>
      </c>
      <c r="O95" s="10">
        <v>0.26041666666666669</v>
      </c>
      <c r="Q95" t="s">
        <v>674</v>
      </c>
      <c r="R95" s="31">
        <v>58</v>
      </c>
      <c r="S95" s="4">
        <v>0</v>
      </c>
      <c r="T95">
        <v>0</v>
      </c>
      <c r="U95" t="s">
        <v>24</v>
      </c>
      <c r="V95" t="s">
        <v>675</v>
      </c>
    </row>
    <row r="96" spans="1:22" x14ac:dyDescent="0.2">
      <c r="A96" s="3">
        <v>42572</v>
      </c>
      <c r="B96">
        <v>50813</v>
      </c>
      <c r="C96">
        <v>50812</v>
      </c>
      <c r="D96">
        <v>9</v>
      </c>
      <c r="E96">
        <v>111</v>
      </c>
      <c r="F96" t="s">
        <v>63</v>
      </c>
      <c r="G96" t="s">
        <v>32</v>
      </c>
      <c r="I96" s="16" t="s">
        <v>2130</v>
      </c>
      <c r="J96" t="s">
        <v>35</v>
      </c>
      <c r="K96" t="s">
        <v>676</v>
      </c>
      <c r="M96" s="10">
        <v>0.18055555555555555</v>
      </c>
      <c r="N96" t="s">
        <v>677</v>
      </c>
      <c r="O96" s="10">
        <v>0.30069444444444443</v>
      </c>
      <c r="Q96" t="s">
        <v>678</v>
      </c>
      <c r="S96" s="4">
        <v>0</v>
      </c>
      <c r="T96">
        <v>0</v>
      </c>
      <c r="U96" t="s">
        <v>24</v>
      </c>
      <c r="V96" t="s">
        <v>679</v>
      </c>
    </row>
    <row r="97" spans="1:22" x14ac:dyDescent="0.2">
      <c r="A97" s="3">
        <v>42572</v>
      </c>
      <c r="B97">
        <v>50823</v>
      </c>
      <c r="C97">
        <v>50822</v>
      </c>
      <c r="D97">
        <v>9.5</v>
      </c>
      <c r="E97">
        <v>113</v>
      </c>
      <c r="F97" t="s">
        <v>31</v>
      </c>
      <c r="G97" t="s">
        <v>32</v>
      </c>
      <c r="I97" s="16" t="s">
        <v>2130</v>
      </c>
      <c r="J97" t="s">
        <v>35</v>
      </c>
      <c r="K97" t="s">
        <v>664</v>
      </c>
      <c r="M97" t="s">
        <v>550</v>
      </c>
      <c r="N97" t="s">
        <v>665</v>
      </c>
      <c r="O97" s="10">
        <v>0.3972222222222222</v>
      </c>
      <c r="Q97" t="s">
        <v>666</v>
      </c>
      <c r="R97" s="31">
        <v>60</v>
      </c>
      <c r="S97" s="4">
        <v>0</v>
      </c>
      <c r="T97">
        <v>0</v>
      </c>
      <c r="U97" t="s">
        <v>24</v>
      </c>
      <c r="V97" t="s">
        <v>667</v>
      </c>
    </row>
    <row r="98" spans="1:22" x14ac:dyDescent="0.2">
      <c r="A98" s="3">
        <v>42572</v>
      </c>
      <c r="B98">
        <v>50825</v>
      </c>
      <c r="C98">
        <v>50824</v>
      </c>
      <c r="D98">
        <v>14.5</v>
      </c>
      <c r="E98">
        <v>113</v>
      </c>
      <c r="F98" t="s">
        <v>63</v>
      </c>
      <c r="G98" t="s">
        <v>32</v>
      </c>
      <c r="I98" s="16" t="s">
        <v>2130</v>
      </c>
      <c r="J98" t="s">
        <v>35</v>
      </c>
      <c r="K98" t="s">
        <v>680</v>
      </c>
      <c r="M98" t="s">
        <v>550</v>
      </c>
      <c r="N98" t="s">
        <v>681</v>
      </c>
      <c r="O98" s="10">
        <v>0.41319444444444442</v>
      </c>
      <c r="P98" t="s">
        <v>682</v>
      </c>
      <c r="Q98" t="s">
        <v>683</v>
      </c>
      <c r="R98" s="31">
        <v>56</v>
      </c>
      <c r="S98" s="4">
        <v>0</v>
      </c>
      <c r="T98">
        <v>0</v>
      </c>
      <c r="U98" t="s">
        <v>24</v>
      </c>
      <c r="V98" t="s">
        <v>684</v>
      </c>
    </row>
    <row r="99" spans="1:22" x14ac:dyDescent="0.2">
      <c r="A99" s="3">
        <v>42572</v>
      </c>
      <c r="B99">
        <v>50844</v>
      </c>
      <c r="C99">
        <v>50843</v>
      </c>
      <c r="F99" t="s">
        <v>63</v>
      </c>
      <c r="G99" t="s">
        <v>32</v>
      </c>
      <c r="I99" s="16" t="s">
        <v>2130</v>
      </c>
      <c r="J99" t="s">
        <v>35</v>
      </c>
      <c r="K99" t="s">
        <v>694</v>
      </c>
      <c r="L99" t="s">
        <v>406</v>
      </c>
      <c r="M99" t="s">
        <v>477</v>
      </c>
      <c r="N99" t="s">
        <v>626</v>
      </c>
      <c r="O99" s="10">
        <v>0.3263888888888889</v>
      </c>
      <c r="Q99" t="s">
        <v>2200</v>
      </c>
      <c r="R99" s="31">
        <v>47</v>
      </c>
      <c r="S99" s="4">
        <v>0</v>
      </c>
      <c r="T99">
        <v>0</v>
      </c>
      <c r="U99" t="s">
        <v>64</v>
      </c>
      <c r="V99" t="s">
        <v>623</v>
      </c>
    </row>
    <row r="100" spans="1:22" x14ac:dyDescent="0.2">
      <c r="A100" s="3">
        <v>42572</v>
      </c>
      <c r="B100">
        <v>50846</v>
      </c>
      <c r="C100">
        <v>50845</v>
      </c>
      <c r="D100">
        <f>21-10</f>
        <v>11</v>
      </c>
      <c r="E100">
        <v>201</v>
      </c>
      <c r="F100" t="s">
        <v>31</v>
      </c>
      <c r="G100" t="s">
        <v>32</v>
      </c>
      <c r="I100" s="16" t="s">
        <v>2130</v>
      </c>
      <c r="J100" t="s">
        <v>30</v>
      </c>
      <c r="K100" t="s">
        <v>701</v>
      </c>
      <c r="M100" t="s">
        <v>477</v>
      </c>
      <c r="N100" t="s">
        <v>624</v>
      </c>
      <c r="O100" s="10">
        <v>0.2951388888888889</v>
      </c>
      <c r="Q100" t="s">
        <v>2201</v>
      </c>
      <c r="R100" s="31">
        <v>54</v>
      </c>
      <c r="S100" s="4">
        <v>0</v>
      </c>
      <c r="T100">
        <v>0</v>
      </c>
      <c r="U100" t="s">
        <v>64</v>
      </c>
      <c r="V100" t="s">
        <v>621</v>
      </c>
    </row>
    <row r="101" spans="1:22" x14ac:dyDescent="0.2">
      <c r="A101" s="3">
        <v>42572</v>
      </c>
      <c r="B101">
        <v>50852</v>
      </c>
      <c r="C101">
        <v>50851</v>
      </c>
      <c r="D101">
        <v>9.5</v>
      </c>
      <c r="E101">
        <v>113</v>
      </c>
      <c r="F101" t="s">
        <v>31</v>
      </c>
      <c r="G101" t="s">
        <v>32</v>
      </c>
      <c r="I101" s="16" t="s">
        <v>2130</v>
      </c>
      <c r="J101" t="s">
        <v>30</v>
      </c>
      <c r="K101" t="s">
        <v>668</v>
      </c>
      <c r="M101" t="s">
        <v>477</v>
      </c>
      <c r="N101" t="s">
        <v>669</v>
      </c>
      <c r="O101" s="10">
        <v>0.4375</v>
      </c>
      <c r="Q101" t="s">
        <v>670</v>
      </c>
      <c r="S101" s="4">
        <v>0</v>
      </c>
      <c r="T101">
        <v>0</v>
      </c>
      <c r="U101" t="s">
        <v>24</v>
      </c>
      <c r="V101" t="s">
        <v>671</v>
      </c>
    </row>
    <row r="102" spans="1:22" x14ac:dyDescent="0.2">
      <c r="A102" s="3">
        <v>42572</v>
      </c>
      <c r="B102" t="s">
        <v>620</v>
      </c>
      <c r="F102" t="s">
        <v>31</v>
      </c>
      <c r="G102" t="s">
        <v>32</v>
      </c>
      <c r="I102" s="16" t="s">
        <v>2130</v>
      </c>
      <c r="J102" t="s">
        <v>30</v>
      </c>
      <c r="K102" t="s">
        <v>695</v>
      </c>
      <c r="M102" t="s">
        <v>477</v>
      </c>
      <c r="N102" t="s">
        <v>625</v>
      </c>
      <c r="O102" s="10">
        <v>0.3125</v>
      </c>
      <c r="Q102" s="10" t="s">
        <v>2206</v>
      </c>
      <c r="R102" s="31">
        <v>55.5</v>
      </c>
      <c r="S102" s="4">
        <v>0</v>
      </c>
      <c r="T102">
        <v>0</v>
      </c>
      <c r="U102" t="s">
        <v>64</v>
      </c>
      <c r="V102" t="s">
        <v>622</v>
      </c>
    </row>
    <row r="103" spans="1:22" x14ac:dyDescent="0.2">
      <c r="A103" s="3">
        <v>42573</v>
      </c>
      <c r="B103">
        <v>50335</v>
      </c>
      <c r="C103">
        <v>50334</v>
      </c>
      <c r="D103">
        <v>12.5</v>
      </c>
      <c r="E103" t="s">
        <v>404</v>
      </c>
      <c r="F103" t="s">
        <v>63</v>
      </c>
      <c r="H103" t="s">
        <v>32</v>
      </c>
      <c r="I103" s="16" t="s">
        <v>2151</v>
      </c>
      <c r="J103" t="s">
        <v>35</v>
      </c>
      <c r="K103" t="s">
        <v>735</v>
      </c>
      <c r="L103" t="s">
        <v>415</v>
      </c>
      <c r="M103" s="10">
        <v>0.19930555555555554</v>
      </c>
      <c r="N103" t="s">
        <v>736</v>
      </c>
      <c r="O103" s="10">
        <v>0.3888888888888889</v>
      </c>
      <c r="Q103" t="s">
        <v>737</v>
      </c>
      <c r="R103" s="31">
        <v>44</v>
      </c>
      <c r="S103" s="4">
        <v>21</v>
      </c>
      <c r="T103">
        <v>0</v>
      </c>
      <c r="U103" t="s">
        <v>24</v>
      </c>
      <c r="V103" t="s">
        <v>738</v>
      </c>
    </row>
    <row r="104" spans="1:22" x14ac:dyDescent="0.2">
      <c r="A104" s="3">
        <v>42573</v>
      </c>
      <c r="B104">
        <v>50337</v>
      </c>
      <c r="C104">
        <v>50336</v>
      </c>
      <c r="D104">
        <v>11.5</v>
      </c>
      <c r="E104" t="s">
        <v>404</v>
      </c>
      <c r="F104" t="s">
        <v>63</v>
      </c>
      <c r="H104" t="s">
        <v>145</v>
      </c>
      <c r="I104" s="16" t="s">
        <v>2129</v>
      </c>
      <c r="J104" t="s">
        <v>35</v>
      </c>
      <c r="K104" t="s">
        <v>731</v>
      </c>
      <c r="M104" t="s">
        <v>550</v>
      </c>
      <c r="N104" t="s">
        <v>732</v>
      </c>
      <c r="O104" s="10">
        <v>0.39583333333333331</v>
      </c>
      <c r="P104" t="s">
        <v>693</v>
      </c>
      <c r="Q104" t="s">
        <v>733</v>
      </c>
      <c r="R104" s="31">
        <v>40</v>
      </c>
      <c r="S104" s="4">
        <v>21</v>
      </c>
      <c r="T104">
        <v>0</v>
      </c>
      <c r="U104" t="s">
        <v>24</v>
      </c>
      <c r="V104" t="s">
        <v>734</v>
      </c>
    </row>
    <row r="105" spans="1:22" x14ac:dyDescent="0.2">
      <c r="A105" s="3">
        <v>42573</v>
      </c>
      <c r="B105">
        <v>50339</v>
      </c>
      <c r="C105">
        <v>50338</v>
      </c>
      <c r="D105">
        <v>10.5</v>
      </c>
      <c r="E105" t="s">
        <v>404</v>
      </c>
      <c r="F105" t="s">
        <v>31</v>
      </c>
      <c r="H105" t="s">
        <v>145</v>
      </c>
      <c r="I105" s="16" t="s">
        <v>2129</v>
      </c>
      <c r="J105" t="s">
        <v>30</v>
      </c>
      <c r="K105" t="s">
        <v>727</v>
      </c>
      <c r="M105" t="s">
        <v>550</v>
      </c>
      <c r="N105" t="s">
        <v>728</v>
      </c>
      <c r="O105" s="10">
        <v>0.4055555555555555</v>
      </c>
      <c r="P105" t="s">
        <v>577</v>
      </c>
      <c r="Q105" t="s">
        <v>729</v>
      </c>
      <c r="R105" s="31">
        <v>47</v>
      </c>
      <c r="S105" s="4">
        <v>21</v>
      </c>
      <c r="T105">
        <v>0</v>
      </c>
      <c r="U105" t="s">
        <v>24</v>
      </c>
      <c r="V105" t="s">
        <v>730</v>
      </c>
    </row>
    <row r="106" spans="1:22" x14ac:dyDescent="0.2">
      <c r="A106" s="3">
        <v>42573</v>
      </c>
      <c r="B106">
        <v>50341</v>
      </c>
      <c r="C106">
        <v>50340</v>
      </c>
      <c r="D106">
        <v>9.5</v>
      </c>
      <c r="E106" t="s">
        <v>404</v>
      </c>
      <c r="F106" t="s">
        <v>31</v>
      </c>
      <c r="H106" t="s">
        <v>32</v>
      </c>
      <c r="I106" s="16" t="s">
        <v>2151</v>
      </c>
      <c r="J106" t="s">
        <v>30</v>
      </c>
      <c r="K106" t="s">
        <v>723</v>
      </c>
      <c r="M106" s="10">
        <v>0.22916666666666666</v>
      </c>
      <c r="N106" t="s">
        <v>724</v>
      </c>
      <c r="O106" s="10">
        <v>0.41250000000000003</v>
      </c>
      <c r="P106" t="s">
        <v>691</v>
      </c>
      <c r="Q106" t="s">
        <v>725</v>
      </c>
      <c r="R106" s="31">
        <v>49</v>
      </c>
      <c r="S106" s="4">
        <v>21</v>
      </c>
      <c r="T106">
        <v>0</v>
      </c>
      <c r="U106" t="s">
        <v>24</v>
      </c>
      <c r="V106" t="s">
        <v>726</v>
      </c>
    </row>
    <row r="107" spans="1:22" x14ac:dyDescent="0.2">
      <c r="A107" s="3">
        <v>42573</v>
      </c>
      <c r="B107">
        <v>50343</v>
      </c>
      <c r="C107">
        <v>50342</v>
      </c>
      <c r="D107">
        <v>10.5</v>
      </c>
      <c r="E107" t="s">
        <v>404</v>
      </c>
      <c r="F107" t="s">
        <v>63</v>
      </c>
      <c r="H107" t="s">
        <v>145</v>
      </c>
      <c r="I107" s="16" t="s">
        <v>2129</v>
      </c>
      <c r="J107" t="s">
        <v>35</v>
      </c>
      <c r="K107" t="s">
        <v>719</v>
      </c>
      <c r="L107" t="s">
        <v>417</v>
      </c>
      <c r="M107" s="10">
        <v>0.17361111111111113</v>
      </c>
      <c r="N107" t="s">
        <v>720</v>
      </c>
      <c r="O107" s="10">
        <v>0.42222222222222222</v>
      </c>
      <c r="Q107" t="s">
        <v>721</v>
      </c>
      <c r="R107" s="31">
        <v>42</v>
      </c>
      <c r="S107" s="4">
        <v>21</v>
      </c>
      <c r="T107">
        <v>0</v>
      </c>
      <c r="U107" t="s">
        <v>24</v>
      </c>
      <c r="V107" t="s">
        <v>722</v>
      </c>
    </row>
    <row r="108" spans="1:22" x14ac:dyDescent="0.2">
      <c r="A108" s="3">
        <v>42575</v>
      </c>
      <c r="B108">
        <v>2788</v>
      </c>
      <c r="C108">
        <v>2787</v>
      </c>
      <c r="E108" t="s">
        <v>404</v>
      </c>
      <c r="F108" t="s">
        <v>31</v>
      </c>
      <c r="G108" t="s">
        <v>145</v>
      </c>
      <c r="I108" t="s">
        <v>2128</v>
      </c>
      <c r="J108" t="s">
        <v>30</v>
      </c>
      <c r="M108" s="10">
        <v>0.14583333333333334</v>
      </c>
      <c r="N108" t="s">
        <v>2079</v>
      </c>
      <c r="O108" s="10">
        <v>0.53680555555555554</v>
      </c>
      <c r="P108" t="s">
        <v>384</v>
      </c>
      <c r="Q108" t="s">
        <v>2080</v>
      </c>
      <c r="R108" s="31">
        <v>54</v>
      </c>
      <c r="S108" s="4">
        <v>14</v>
      </c>
      <c r="T108">
        <v>7</v>
      </c>
      <c r="U108" t="s">
        <v>24</v>
      </c>
    </row>
    <row r="109" spans="1:22" x14ac:dyDescent="0.2">
      <c r="A109" s="3">
        <v>42577</v>
      </c>
      <c r="B109">
        <v>2644</v>
      </c>
      <c r="C109">
        <v>2643</v>
      </c>
      <c r="D109">
        <v>15</v>
      </c>
      <c r="E109" t="s">
        <v>162</v>
      </c>
      <c r="F109" t="s">
        <v>63</v>
      </c>
      <c r="G109" t="s">
        <v>32</v>
      </c>
      <c r="I109" t="s">
        <v>2130</v>
      </c>
      <c r="J109" t="s">
        <v>35</v>
      </c>
      <c r="K109" t="s">
        <v>766</v>
      </c>
      <c r="L109" t="s">
        <v>260</v>
      </c>
      <c r="M109" t="s">
        <v>352</v>
      </c>
      <c r="N109" t="s">
        <v>745</v>
      </c>
      <c r="O109" s="10">
        <v>0.35486111111111113</v>
      </c>
      <c r="P109" t="s">
        <v>692</v>
      </c>
      <c r="Q109" t="s">
        <v>767</v>
      </c>
      <c r="R109" s="31">
        <v>43.3</v>
      </c>
      <c r="S109" s="4">
        <v>0</v>
      </c>
      <c r="T109">
        <v>0</v>
      </c>
      <c r="U109" t="s">
        <v>66</v>
      </c>
    </row>
    <row r="110" spans="1:22" x14ac:dyDescent="0.2">
      <c r="A110" s="3">
        <v>42577</v>
      </c>
      <c r="B110">
        <v>2686</v>
      </c>
      <c r="C110">
        <v>2685</v>
      </c>
      <c r="E110" t="s">
        <v>404</v>
      </c>
      <c r="F110" t="s">
        <v>31</v>
      </c>
      <c r="G110" t="s">
        <v>145</v>
      </c>
      <c r="I110" t="s">
        <v>2128</v>
      </c>
      <c r="J110" t="s">
        <v>30</v>
      </c>
      <c r="L110" t="s">
        <v>260</v>
      </c>
      <c r="M110" t="s">
        <v>474</v>
      </c>
      <c r="N110" t="s">
        <v>781</v>
      </c>
      <c r="O110" s="10">
        <v>0.45902777777777781</v>
      </c>
      <c r="P110" t="s">
        <v>696</v>
      </c>
      <c r="Q110" t="s">
        <v>782</v>
      </c>
      <c r="R110" s="31">
        <v>36.5</v>
      </c>
      <c r="S110" s="4">
        <v>8</v>
      </c>
      <c r="T110">
        <v>8</v>
      </c>
      <c r="U110" t="s">
        <v>24</v>
      </c>
    </row>
    <row r="111" spans="1:22" x14ac:dyDescent="0.2">
      <c r="A111" s="3">
        <v>42577</v>
      </c>
      <c r="B111">
        <v>2693</v>
      </c>
      <c r="D111">
        <v>13</v>
      </c>
      <c r="E111" t="s">
        <v>246</v>
      </c>
      <c r="F111" t="s">
        <v>63</v>
      </c>
      <c r="G111" t="s">
        <v>32</v>
      </c>
      <c r="I111" t="s">
        <v>2130</v>
      </c>
      <c r="J111" t="s">
        <v>35</v>
      </c>
      <c r="L111" t="s">
        <v>260</v>
      </c>
      <c r="M111" t="s">
        <v>477</v>
      </c>
      <c r="P111" t="s">
        <v>701</v>
      </c>
      <c r="S111" s="4">
        <v>0</v>
      </c>
      <c r="T111">
        <v>8</v>
      </c>
      <c r="U111" t="s">
        <v>24</v>
      </c>
    </row>
    <row r="112" spans="1:22" x14ac:dyDescent="0.2">
      <c r="A112" s="3">
        <v>42577</v>
      </c>
      <c r="B112">
        <v>2799</v>
      </c>
      <c r="C112">
        <v>2795</v>
      </c>
      <c r="E112" t="s">
        <v>404</v>
      </c>
      <c r="F112" t="s">
        <v>31</v>
      </c>
      <c r="G112" t="s">
        <v>145</v>
      </c>
      <c r="I112" t="s">
        <v>2128</v>
      </c>
      <c r="J112" t="s">
        <v>30</v>
      </c>
      <c r="M112" s="10">
        <v>9.375E-2</v>
      </c>
      <c r="N112" t="s">
        <v>779</v>
      </c>
      <c r="O112" s="10">
        <v>0.46875</v>
      </c>
      <c r="P112" t="s">
        <v>558</v>
      </c>
      <c r="Q112" s="10" t="s">
        <v>780</v>
      </c>
      <c r="R112" s="31">
        <v>42.5</v>
      </c>
      <c r="S112" s="4">
        <v>15</v>
      </c>
      <c r="T112">
        <v>8</v>
      </c>
      <c r="U112" t="s">
        <v>24</v>
      </c>
    </row>
    <row r="113" spans="1:22" x14ac:dyDescent="0.2">
      <c r="A113" s="3">
        <v>42577</v>
      </c>
      <c r="B113">
        <v>2976</v>
      </c>
      <c r="C113">
        <v>2977</v>
      </c>
      <c r="E113" t="s">
        <v>526</v>
      </c>
      <c r="F113" t="s">
        <v>31</v>
      </c>
      <c r="G113" t="s">
        <v>145</v>
      </c>
      <c r="I113" t="s">
        <v>2128</v>
      </c>
      <c r="J113" t="s">
        <v>30</v>
      </c>
      <c r="M113" t="s">
        <v>474</v>
      </c>
      <c r="N113" t="s">
        <v>783</v>
      </c>
      <c r="O113" s="10">
        <v>0.46527777777777773</v>
      </c>
      <c r="P113" t="s">
        <v>560</v>
      </c>
      <c r="Q113" t="s">
        <v>784</v>
      </c>
      <c r="R113" s="31">
        <v>46</v>
      </c>
      <c r="S113" s="4">
        <v>8</v>
      </c>
      <c r="T113">
        <v>7</v>
      </c>
      <c r="U113" t="s">
        <v>24</v>
      </c>
    </row>
    <row r="114" spans="1:22" x14ac:dyDescent="0.2">
      <c r="A114" s="3">
        <v>42577</v>
      </c>
      <c r="B114">
        <v>50445</v>
      </c>
      <c r="C114">
        <v>50438</v>
      </c>
      <c r="D114">
        <v>14</v>
      </c>
      <c r="E114" t="s">
        <v>105</v>
      </c>
      <c r="F114" t="s">
        <v>63</v>
      </c>
      <c r="I114" s="16" t="s">
        <v>2128</v>
      </c>
      <c r="J114" t="s">
        <v>35</v>
      </c>
      <c r="N114" t="s">
        <v>778</v>
      </c>
      <c r="O114" s="10">
        <v>0.35069444444444442</v>
      </c>
      <c r="S114" s="4">
        <v>17</v>
      </c>
      <c r="T114">
        <v>5</v>
      </c>
      <c r="U114" t="s">
        <v>24</v>
      </c>
    </row>
    <row r="115" spans="1:22" x14ac:dyDescent="0.2">
      <c r="A115" s="3">
        <v>42577</v>
      </c>
      <c r="B115">
        <v>50678</v>
      </c>
      <c r="C115">
        <v>50693</v>
      </c>
      <c r="D115">
        <v>16</v>
      </c>
      <c r="E115" t="s">
        <v>129</v>
      </c>
      <c r="F115" t="s">
        <v>91</v>
      </c>
      <c r="G115" t="s">
        <v>32</v>
      </c>
      <c r="I115" s="16" t="s">
        <v>2128</v>
      </c>
      <c r="J115" t="s">
        <v>30</v>
      </c>
      <c r="K115" t="s">
        <v>768</v>
      </c>
      <c r="M115" t="s">
        <v>470</v>
      </c>
      <c r="N115" t="s">
        <v>747</v>
      </c>
      <c r="O115" s="10">
        <v>0.31111111111111112</v>
      </c>
      <c r="Q115" t="s">
        <v>769</v>
      </c>
      <c r="R115" s="31">
        <v>42</v>
      </c>
      <c r="S115" s="4">
        <v>14</v>
      </c>
      <c r="T115">
        <v>9</v>
      </c>
      <c r="U115" t="s">
        <v>64</v>
      </c>
      <c r="V115" t="s">
        <v>770</v>
      </c>
    </row>
    <row r="116" spans="1:22" x14ac:dyDescent="0.2">
      <c r="A116" s="3">
        <v>42577</v>
      </c>
      <c r="B116">
        <v>50701</v>
      </c>
      <c r="C116">
        <v>50703</v>
      </c>
      <c r="D116">
        <v>14</v>
      </c>
      <c r="E116" t="s">
        <v>169</v>
      </c>
      <c r="F116" t="s">
        <v>63</v>
      </c>
      <c r="G116" t="s">
        <v>32</v>
      </c>
      <c r="I116" s="16" t="s">
        <v>2130</v>
      </c>
      <c r="J116" t="s">
        <v>35</v>
      </c>
      <c r="M116" t="s">
        <v>550</v>
      </c>
      <c r="N116" t="s">
        <v>772</v>
      </c>
      <c r="O116" s="10">
        <v>0.28680555555555554</v>
      </c>
      <c r="P116" t="s">
        <v>586</v>
      </c>
      <c r="Q116" t="s">
        <v>773</v>
      </c>
      <c r="R116" s="31">
        <v>54</v>
      </c>
      <c r="S116" s="4">
        <v>0</v>
      </c>
      <c r="T116">
        <v>8</v>
      </c>
      <c r="U116" t="s">
        <v>24</v>
      </c>
    </row>
    <row r="117" spans="1:22" x14ac:dyDescent="0.2">
      <c r="A117" s="3">
        <v>42577</v>
      </c>
      <c r="B117">
        <v>50707</v>
      </c>
      <c r="C117">
        <v>50708</v>
      </c>
      <c r="E117" t="s">
        <v>576</v>
      </c>
      <c r="F117" t="s">
        <v>31</v>
      </c>
      <c r="G117" t="s">
        <v>145</v>
      </c>
      <c r="I117" s="16" t="s">
        <v>2128</v>
      </c>
      <c r="J117" t="s">
        <v>30</v>
      </c>
      <c r="M117" t="s">
        <v>410</v>
      </c>
      <c r="N117" t="s">
        <v>785</v>
      </c>
      <c r="O117" s="10">
        <v>0.47361111111111115</v>
      </c>
      <c r="P117" t="s">
        <v>603</v>
      </c>
      <c r="Q117" t="s">
        <v>786</v>
      </c>
      <c r="R117" s="31">
        <v>47.5</v>
      </c>
      <c r="S117" s="4">
        <v>8</v>
      </c>
      <c r="T117">
        <v>8</v>
      </c>
      <c r="U117" t="s">
        <v>24</v>
      </c>
    </row>
    <row r="118" spans="1:22" x14ac:dyDescent="0.2">
      <c r="A118" s="3">
        <v>42577</v>
      </c>
      <c r="B118">
        <v>50800</v>
      </c>
      <c r="C118">
        <v>50793</v>
      </c>
      <c r="E118" t="s">
        <v>348</v>
      </c>
      <c r="F118" t="s">
        <v>63</v>
      </c>
      <c r="G118" t="s">
        <v>145</v>
      </c>
      <c r="I118" s="16" t="s">
        <v>2128</v>
      </c>
      <c r="J118" t="s">
        <v>35</v>
      </c>
      <c r="M118" s="10">
        <v>7.6388888888888895E-2</v>
      </c>
      <c r="N118" t="s">
        <v>787</v>
      </c>
      <c r="O118" s="10">
        <v>0.47916666666666669</v>
      </c>
      <c r="P118" t="s">
        <v>614</v>
      </c>
      <c r="Q118" s="10" t="s">
        <v>788</v>
      </c>
      <c r="R118" s="31">
        <v>52.5</v>
      </c>
      <c r="S118" s="4">
        <v>8</v>
      </c>
      <c r="T118">
        <v>8</v>
      </c>
      <c r="U118" t="s">
        <v>24</v>
      </c>
    </row>
    <row r="119" spans="1:22" x14ac:dyDescent="0.2">
      <c r="A119" s="3">
        <v>42577</v>
      </c>
      <c r="B119">
        <v>50877</v>
      </c>
      <c r="C119">
        <v>50876</v>
      </c>
      <c r="D119">
        <v>11</v>
      </c>
      <c r="E119" t="s">
        <v>404</v>
      </c>
      <c r="F119" t="s">
        <v>63</v>
      </c>
      <c r="H119" t="s">
        <v>32</v>
      </c>
      <c r="I119" s="16" t="s">
        <v>2151</v>
      </c>
      <c r="J119" t="s">
        <v>35</v>
      </c>
      <c r="K119" t="s">
        <v>794</v>
      </c>
      <c r="M119" s="10">
        <v>0.1875</v>
      </c>
      <c r="N119" t="s">
        <v>793</v>
      </c>
      <c r="O119" s="10">
        <v>0.19791666666666666</v>
      </c>
      <c r="P119" t="s">
        <v>615</v>
      </c>
      <c r="Q119" s="10" t="s">
        <v>795</v>
      </c>
      <c r="R119" s="31">
        <v>43</v>
      </c>
      <c r="S119" s="4">
        <v>21</v>
      </c>
      <c r="T119">
        <v>0</v>
      </c>
      <c r="U119" t="s">
        <v>24</v>
      </c>
      <c r="V119" t="s">
        <v>791</v>
      </c>
    </row>
    <row r="120" spans="1:22" x14ac:dyDescent="0.2">
      <c r="A120" s="3">
        <v>42577</v>
      </c>
      <c r="B120">
        <v>50879</v>
      </c>
      <c r="C120">
        <v>50878</v>
      </c>
      <c r="D120">
        <v>10.5</v>
      </c>
      <c r="E120" t="s">
        <v>404</v>
      </c>
      <c r="F120" t="s">
        <v>63</v>
      </c>
      <c r="H120" t="s">
        <v>145</v>
      </c>
      <c r="I120" s="16" t="s">
        <v>2129</v>
      </c>
      <c r="J120" t="s">
        <v>35</v>
      </c>
      <c r="K120" t="s">
        <v>799</v>
      </c>
      <c r="M120" s="10">
        <v>0.15625</v>
      </c>
      <c r="N120" t="s">
        <v>798</v>
      </c>
      <c r="O120" s="10">
        <v>0.20833333333333334</v>
      </c>
      <c r="P120" t="s">
        <v>617</v>
      </c>
      <c r="Q120" s="10" t="s">
        <v>800</v>
      </c>
      <c r="R120" s="31">
        <v>42.5</v>
      </c>
      <c r="S120" s="4">
        <v>21</v>
      </c>
      <c r="T120">
        <v>0</v>
      </c>
      <c r="U120" t="s">
        <v>24</v>
      </c>
      <c r="V120" t="s">
        <v>791</v>
      </c>
    </row>
    <row r="121" spans="1:22" x14ac:dyDescent="0.2">
      <c r="A121" s="3">
        <v>42577</v>
      </c>
      <c r="B121">
        <v>50881</v>
      </c>
      <c r="C121">
        <v>50880</v>
      </c>
      <c r="D121">
        <v>11</v>
      </c>
      <c r="E121" t="s">
        <v>404</v>
      </c>
      <c r="F121" t="s">
        <v>31</v>
      </c>
      <c r="H121" t="s">
        <v>145</v>
      </c>
      <c r="I121" s="16" t="s">
        <v>2129</v>
      </c>
      <c r="J121" t="s">
        <v>30</v>
      </c>
      <c r="K121" t="s">
        <v>746</v>
      </c>
      <c r="M121" t="s">
        <v>474</v>
      </c>
      <c r="N121" t="s">
        <v>789</v>
      </c>
      <c r="O121" s="10">
        <v>0.21736111111111112</v>
      </c>
      <c r="P121" t="s">
        <v>697</v>
      </c>
      <c r="Q121" t="s">
        <v>790</v>
      </c>
      <c r="R121" s="31">
        <v>46.5</v>
      </c>
      <c r="S121" s="4">
        <v>21</v>
      </c>
      <c r="T121">
        <v>0</v>
      </c>
      <c r="U121" t="s">
        <v>24</v>
      </c>
      <c r="V121" t="s">
        <v>791</v>
      </c>
    </row>
    <row r="122" spans="1:22" x14ac:dyDescent="0.2">
      <c r="A122" s="3">
        <v>42577</v>
      </c>
      <c r="B122">
        <v>50883</v>
      </c>
      <c r="C122">
        <v>50882</v>
      </c>
      <c r="D122">
        <v>11</v>
      </c>
      <c r="E122" t="s">
        <v>404</v>
      </c>
      <c r="F122" t="s">
        <v>31</v>
      </c>
      <c r="H122" t="s">
        <v>145</v>
      </c>
      <c r="I122" s="16" t="s">
        <v>2129</v>
      </c>
      <c r="J122" t="s">
        <v>30</v>
      </c>
      <c r="K122" t="s">
        <v>802</v>
      </c>
      <c r="M122" t="s">
        <v>474</v>
      </c>
      <c r="N122" t="s">
        <v>801</v>
      </c>
      <c r="O122" s="10">
        <v>0.22222222222222221</v>
      </c>
      <c r="P122" t="s">
        <v>698</v>
      </c>
      <c r="Q122" t="s">
        <v>806</v>
      </c>
      <c r="R122" s="31">
        <v>45</v>
      </c>
      <c r="S122" s="4">
        <v>21</v>
      </c>
      <c r="T122">
        <v>0</v>
      </c>
      <c r="U122" t="s">
        <v>24</v>
      </c>
      <c r="V122" t="s">
        <v>791</v>
      </c>
    </row>
    <row r="123" spans="1:22" x14ac:dyDescent="0.2">
      <c r="A123" s="3">
        <v>42577</v>
      </c>
      <c r="B123">
        <v>50885</v>
      </c>
      <c r="C123">
        <v>50884</v>
      </c>
      <c r="D123">
        <v>12</v>
      </c>
      <c r="E123" t="s">
        <v>404</v>
      </c>
      <c r="F123" t="s">
        <v>63</v>
      </c>
      <c r="H123" t="s">
        <v>145</v>
      </c>
      <c r="I123" s="16" t="s">
        <v>2129</v>
      </c>
      <c r="J123" t="s">
        <v>35</v>
      </c>
      <c r="K123" t="s">
        <v>804</v>
      </c>
      <c r="M123" s="10" t="s">
        <v>474</v>
      </c>
      <c r="N123" t="s">
        <v>803</v>
      </c>
      <c r="O123" s="10">
        <v>0.23194444444444443</v>
      </c>
      <c r="P123" t="s">
        <v>699</v>
      </c>
      <c r="Q123" s="10" t="s">
        <v>805</v>
      </c>
      <c r="R123" s="31">
        <v>50</v>
      </c>
      <c r="S123" s="4">
        <v>21</v>
      </c>
      <c r="T123">
        <v>0</v>
      </c>
      <c r="U123" t="s">
        <v>24</v>
      </c>
      <c r="V123" t="s">
        <v>791</v>
      </c>
    </row>
    <row r="124" spans="1:22" x14ac:dyDescent="0.2">
      <c r="A124" s="3">
        <v>42577</v>
      </c>
      <c r="B124">
        <v>50887</v>
      </c>
      <c r="C124">
        <v>50886</v>
      </c>
      <c r="D124">
        <v>11</v>
      </c>
      <c r="E124" t="s">
        <v>404</v>
      </c>
      <c r="F124" t="s">
        <v>63</v>
      </c>
      <c r="H124" t="s">
        <v>32</v>
      </c>
      <c r="I124" s="16" t="s">
        <v>2151</v>
      </c>
      <c r="J124" t="s">
        <v>35</v>
      </c>
      <c r="K124" t="s">
        <v>796</v>
      </c>
      <c r="M124" t="s">
        <v>474</v>
      </c>
      <c r="N124" t="s">
        <v>792</v>
      </c>
      <c r="O124" s="10">
        <v>0.23819444444444446</v>
      </c>
      <c r="P124" t="s">
        <v>700</v>
      </c>
      <c r="Q124" t="s">
        <v>797</v>
      </c>
      <c r="R124" s="31">
        <v>47.5</v>
      </c>
      <c r="S124" s="4">
        <v>21</v>
      </c>
      <c r="T124">
        <v>0</v>
      </c>
      <c r="U124" t="s">
        <v>24</v>
      </c>
      <c r="V124" t="s">
        <v>791</v>
      </c>
    </row>
    <row r="125" spans="1:22" x14ac:dyDescent="0.2">
      <c r="A125" s="3">
        <v>42577</v>
      </c>
      <c r="B125">
        <v>50902</v>
      </c>
      <c r="C125">
        <v>50901</v>
      </c>
      <c r="D125">
        <v>14</v>
      </c>
      <c r="E125" t="s">
        <v>263</v>
      </c>
      <c r="F125" t="s">
        <v>31</v>
      </c>
      <c r="G125" t="s">
        <v>145</v>
      </c>
      <c r="I125" s="16" t="s">
        <v>2128</v>
      </c>
      <c r="J125" t="s">
        <v>30</v>
      </c>
      <c r="K125" t="s">
        <v>775</v>
      </c>
      <c r="M125" s="10">
        <v>0.14583333333333334</v>
      </c>
      <c r="N125" t="s">
        <v>774</v>
      </c>
      <c r="O125" s="10">
        <v>0.40138888888888885</v>
      </c>
      <c r="P125" t="s">
        <v>695</v>
      </c>
      <c r="Q125" s="10" t="s">
        <v>776</v>
      </c>
      <c r="R125" s="31">
        <v>57</v>
      </c>
      <c r="S125" s="4">
        <v>0</v>
      </c>
      <c r="T125">
        <v>0</v>
      </c>
      <c r="U125" t="s">
        <v>24</v>
      </c>
    </row>
    <row r="126" spans="1:22" x14ac:dyDescent="0.2">
      <c r="A126" s="3">
        <v>42577</v>
      </c>
      <c r="B126">
        <v>50918</v>
      </c>
      <c r="C126">
        <v>50919</v>
      </c>
      <c r="D126">
        <f>21.5-9</f>
        <v>12.5</v>
      </c>
      <c r="E126" t="s">
        <v>762</v>
      </c>
      <c r="F126" t="s">
        <v>31</v>
      </c>
      <c r="G126" t="s">
        <v>145</v>
      </c>
      <c r="I126" s="16" t="s">
        <v>2128</v>
      </c>
      <c r="J126" t="s">
        <v>30</v>
      </c>
      <c r="K126" t="s">
        <v>764</v>
      </c>
      <c r="M126" t="s">
        <v>477</v>
      </c>
      <c r="N126" t="s">
        <v>763</v>
      </c>
      <c r="O126" s="10">
        <v>0.25625000000000003</v>
      </c>
      <c r="P126" t="s">
        <v>694</v>
      </c>
      <c r="Q126" t="s">
        <v>765</v>
      </c>
      <c r="R126" s="31">
        <v>53</v>
      </c>
      <c r="S126" s="4">
        <v>0</v>
      </c>
      <c r="T126">
        <v>0</v>
      </c>
      <c r="U126" t="s">
        <v>24</v>
      </c>
    </row>
    <row r="127" spans="1:22" x14ac:dyDescent="0.2">
      <c r="A127" s="3">
        <v>42578</v>
      </c>
      <c r="B127">
        <v>2826</v>
      </c>
      <c r="C127">
        <v>2827</v>
      </c>
      <c r="D127">
        <v>9.5</v>
      </c>
      <c r="E127" t="s">
        <v>404</v>
      </c>
      <c r="F127" t="s">
        <v>63</v>
      </c>
      <c r="H127" t="s">
        <v>145</v>
      </c>
      <c r="I127" t="s">
        <v>2129</v>
      </c>
      <c r="J127" t="s">
        <v>35</v>
      </c>
      <c r="K127" t="s">
        <v>821</v>
      </c>
      <c r="M127" s="10" t="s">
        <v>822</v>
      </c>
      <c r="N127" t="s">
        <v>820</v>
      </c>
      <c r="O127" s="10">
        <v>0.45</v>
      </c>
      <c r="Q127" s="10" t="s">
        <v>823</v>
      </c>
      <c r="S127" s="4">
        <v>21</v>
      </c>
      <c r="T127">
        <v>0</v>
      </c>
      <c r="U127" t="s">
        <v>24</v>
      </c>
      <c r="V127" t="s">
        <v>809</v>
      </c>
    </row>
    <row r="128" spans="1:22" x14ac:dyDescent="0.2">
      <c r="A128" s="3">
        <v>42578</v>
      </c>
      <c r="B128">
        <v>2828</v>
      </c>
      <c r="C128">
        <v>2829</v>
      </c>
      <c r="D128">
        <v>5.5</v>
      </c>
      <c r="E128" t="s">
        <v>404</v>
      </c>
      <c r="F128" t="s">
        <v>63</v>
      </c>
      <c r="H128" t="s">
        <v>145</v>
      </c>
      <c r="I128" t="s">
        <v>2129</v>
      </c>
      <c r="J128" t="s">
        <v>35</v>
      </c>
      <c r="K128" t="s">
        <v>811</v>
      </c>
      <c r="M128" s="10" t="s">
        <v>410</v>
      </c>
      <c r="N128" t="s">
        <v>810</v>
      </c>
      <c r="O128" s="10">
        <v>0.46180555555555558</v>
      </c>
      <c r="Q128" s="10" t="s">
        <v>812</v>
      </c>
      <c r="R128" s="31">
        <v>52</v>
      </c>
      <c r="S128" s="4">
        <v>21</v>
      </c>
      <c r="T128">
        <v>0</v>
      </c>
      <c r="U128" t="s">
        <v>24</v>
      </c>
      <c r="V128" t="s">
        <v>809</v>
      </c>
    </row>
    <row r="129" spans="1:22" x14ac:dyDescent="0.2">
      <c r="A129" s="3">
        <v>42578</v>
      </c>
      <c r="B129">
        <v>2830</v>
      </c>
      <c r="C129">
        <v>2831</v>
      </c>
      <c r="D129">
        <v>7</v>
      </c>
      <c r="E129" t="s">
        <v>404</v>
      </c>
      <c r="F129" t="s">
        <v>31</v>
      </c>
      <c r="H129" t="s">
        <v>145</v>
      </c>
      <c r="I129" t="s">
        <v>2129</v>
      </c>
      <c r="J129" t="s">
        <v>30</v>
      </c>
      <c r="K129" t="s">
        <v>815</v>
      </c>
      <c r="M129" t="s">
        <v>410</v>
      </c>
      <c r="N129" t="s">
        <v>814</v>
      </c>
      <c r="O129" s="10">
        <v>0.46875</v>
      </c>
      <c r="R129" s="31">
        <v>56</v>
      </c>
      <c r="S129" s="4">
        <v>21</v>
      </c>
      <c r="T129">
        <v>0</v>
      </c>
      <c r="U129" t="s">
        <v>24</v>
      </c>
      <c r="V129" t="s">
        <v>809</v>
      </c>
    </row>
    <row r="130" spans="1:22" x14ac:dyDescent="0.2">
      <c r="A130" s="3">
        <v>42578</v>
      </c>
      <c r="B130">
        <v>2833</v>
      </c>
      <c r="C130">
        <v>2832</v>
      </c>
      <c r="D130">
        <v>6</v>
      </c>
      <c r="E130" t="s">
        <v>404</v>
      </c>
      <c r="F130" t="s">
        <v>31</v>
      </c>
      <c r="H130" t="s">
        <v>145</v>
      </c>
      <c r="I130" t="s">
        <v>2129</v>
      </c>
      <c r="J130" t="s">
        <v>30</v>
      </c>
      <c r="K130" t="s">
        <v>808</v>
      </c>
      <c r="M130" t="s">
        <v>410</v>
      </c>
      <c r="N130" t="s">
        <v>807</v>
      </c>
      <c r="O130" s="10">
        <v>0.4513888888888889</v>
      </c>
      <c r="P130" t="s">
        <v>664</v>
      </c>
      <c r="R130" s="31">
        <v>47</v>
      </c>
      <c r="S130" s="4">
        <v>21</v>
      </c>
      <c r="T130">
        <v>0</v>
      </c>
      <c r="U130" t="s">
        <v>24</v>
      </c>
      <c r="V130" t="s">
        <v>809</v>
      </c>
    </row>
    <row r="131" spans="1:22" x14ac:dyDescent="0.2">
      <c r="A131" s="3">
        <v>42578</v>
      </c>
      <c r="B131">
        <v>2834</v>
      </c>
      <c r="C131">
        <v>2835</v>
      </c>
      <c r="D131">
        <v>9</v>
      </c>
      <c r="E131" t="s">
        <v>404</v>
      </c>
      <c r="F131" t="s">
        <v>31</v>
      </c>
      <c r="H131" t="s">
        <v>32</v>
      </c>
      <c r="I131" t="s">
        <v>2151</v>
      </c>
      <c r="J131" t="s">
        <v>30</v>
      </c>
      <c r="K131" t="s">
        <v>818</v>
      </c>
      <c r="M131" s="10">
        <v>0.14583333333333334</v>
      </c>
      <c r="N131" t="s">
        <v>817</v>
      </c>
      <c r="O131" s="10">
        <v>0.4826388888888889</v>
      </c>
      <c r="Q131" t="s">
        <v>819</v>
      </c>
      <c r="R131" s="31">
        <v>56.5</v>
      </c>
      <c r="S131" s="4">
        <v>21</v>
      </c>
      <c r="T131">
        <v>0</v>
      </c>
      <c r="U131" t="s">
        <v>24</v>
      </c>
      <c r="V131" t="s">
        <v>809</v>
      </c>
    </row>
    <row r="132" spans="1:22" x14ac:dyDescent="0.2">
      <c r="A132" s="3">
        <v>42578</v>
      </c>
      <c r="B132">
        <v>2836</v>
      </c>
      <c r="C132">
        <v>2837</v>
      </c>
      <c r="D132">
        <v>6.5</v>
      </c>
      <c r="E132" t="s">
        <v>404</v>
      </c>
      <c r="F132" t="s">
        <v>31</v>
      </c>
      <c r="H132" t="s">
        <v>32</v>
      </c>
      <c r="I132" t="s">
        <v>2151</v>
      </c>
      <c r="J132" t="s">
        <v>30</v>
      </c>
      <c r="K132" t="s">
        <v>394</v>
      </c>
      <c r="M132" s="10" t="s">
        <v>410</v>
      </c>
      <c r="N132" t="s">
        <v>816</v>
      </c>
      <c r="O132" s="10">
        <v>0.46249999999999997</v>
      </c>
      <c r="S132" s="4">
        <v>21</v>
      </c>
      <c r="T132">
        <v>0</v>
      </c>
      <c r="U132" t="s">
        <v>24</v>
      </c>
      <c r="V132" t="s">
        <v>809</v>
      </c>
    </row>
    <row r="133" spans="1:22" x14ac:dyDescent="0.2">
      <c r="A133" s="3">
        <v>42582</v>
      </c>
      <c r="B133">
        <v>2844</v>
      </c>
      <c r="C133">
        <v>2843</v>
      </c>
      <c r="E133" t="s">
        <v>404</v>
      </c>
      <c r="F133" t="s">
        <v>63</v>
      </c>
      <c r="H133" t="s">
        <v>32</v>
      </c>
      <c r="I133" t="s">
        <v>2151</v>
      </c>
      <c r="J133" t="s">
        <v>35</v>
      </c>
      <c r="M133" s="10">
        <v>0.14583333333333334</v>
      </c>
      <c r="N133" t="s">
        <v>2089</v>
      </c>
      <c r="O133" s="10">
        <v>0.44444444444444442</v>
      </c>
      <c r="Q133" s="10" t="s">
        <v>2090</v>
      </c>
      <c r="R133" s="31">
        <v>51</v>
      </c>
      <c r="S133" s="4">
        <v>38</v>
      </c>
      <c r="T133">
        <v>10</v>
      </c>
      <c r="U133" t="s">
        <v>24</v>
      </c>
      <c r="V133" t="s">
        <v>2065</v>
      </c>
    </row>
    <row r="134" spans="1:22" x14ac:dyDescent="0.2">
      <c r="A134" s="3">
        <v>42582</v>
      </c>
      <c r="B134">
        <v>2849</v>
      </c>
      <c r="C134">
        <v>2850</v>
      </c>
      <c r="E134" t="s">
        <v>236</v>
      </c>
      <c r="F134" t="s">
        <v>63</v>
      </c>
      <c r="H134" t="s">
        <v>32</v>
      </c>
      <c r="I134" t="s">
        <v>2151</v>
      </c>
      <c r="J134" t="s">
        <v>35</v>
      </c>
      <c r="M134" s="10">
        <v>7.2916666666666671E-2</v>
      </c>
      <c r="N134" t="s">
        <v>2061</v>
      </c>
      <c r="O134" s="10">
        <v>0.4513888888888889</v>
      </c>
      <c r="Q134" s="10" t="s">
        <v>2062</v>
      </c>
      <c r="R134" s="31">
        <v>46.5</v>
      </c>
      <c r="S134" s="4">
        <v>38</v>
      </c>
      <c r="T134">
        <v>10</v>
      </c>
      <c r="U134" t="s">
        <v>24</v>
      </c>
    </row>
    <row r="135" spans="1:22" x14ac:dyDescent="0.2">
      <c r="A135" s="3">
        <v>42582</v>
      </c>
      <c r="B135">
        <v>50905</v>
      </c>
      <c r="C135">
        <v>2383</v>
      </c>
      <c r="D135">
        <v>11</v>
      </c>
      <c r="E135" t="s">
        <v>404</v>
      </c>
      <c r="F135" t="s">
        <v>63</v>
      </c>
      <c r="H135" t="s">
        <v>32</v>
      </c>
      <c r="I135" s="16" t="s">
        <v>2151</v>
      </c>
      <c r="J135" s="16" t="s">
        <v>35</v>
      </c>
      <c r="K135" s="16" t="s">
        <v>2055</v>
      </c>
      <c r="M135" s="10">
        <v>0.22916666666666666</v>
      </c>
      <c r="N135" t="s">
        <v>2202</v>
      </c>
      <c r="O135" s="10">
        <v>0.4368055555555555</v>
      </c>
      <c r="P135" t="s">
        <v>731</v>
      </c>
      <c r="Q135" s="10" t="s">
        <v>2203</v>
      </c>
      <c r="R135" s="31">
        <v>44</v>
      </c>
      <c r="S135" s="4">
        <v>21</v>
      </c>
      <c r="T135">
        <v>0</v>
      </c>
      <c r="U135" s="10"/>
    </row>
    <row r="136" spans="1:22" x14ac:dyDescent="0.2">
      <c r="A136" s="3">
        <v>42582</v>
      </c>
      <c r="B136">
        <v>50907</v>
      </c>
      <c r="C136">
        <v>50906</v>
      </c>
      <c r="D136">
        <v>9</v>
      </c>
      <c r="E136" t="s">
        <v>404</v>
      </c>
      <c r="F136" t="s">
        <v>31</v>
      </c>
      <c r="H136" t="s">
        <v>32</v>
      </c>
      <c r="I136" s="16" t="s">
        <v>2151</v>
      </c>
      <c r="J136" s="16" t="s">
        <v>30</v>
      </c>
      <c r="M136" s="10" t="s">
        <v>477</v>
      </c>
      <c r="N136" t="s">
        <v>2204</v>
      </c>
      <c r="O136" s="10">
        <v>0.42569444444444443</v>
      </c>
      <c r="P136" t="s">
        <v>676</v>
      </c>
      <c r="Q136" s="10" t="s">
        <v>2205</v>
      </c>
      <c r="R136" s="31">
        <v>41</v>
      </c>
      <c r="S136" s="4">
        <v>21</v>
      </c>
      <c r="T136">
        <v>0</v>
      </c>
      <c r="U136" s="10"/>
    </row>
    <row r="137" spans="1:22" x14ac:dyDescent="0.2">
      <c r="A137" s="3">
        <v>42582</v>
      </c>
      <c r="B137">
        <v>50909</v>
      </c>
      <c r="C137">
        <v>50908</v>
      </c>
      <c r="D137">
        <v>9</v>
      </c>
      <c r="E137" t="s">
        <v>404</v>
      </c>
      <c r="F137" t="s">
        <v>31</v>
      </c>
      <c r="H137" t="s">
        <v>145</v>
      </c>
      <c r="I137" s="16" t="s">
        <v>2129</v>
      </c>
      <c r="J137" t="s">
        <v>30</v>
      </c>
      <c r="K137" t="s">
        <v>2071</v>
      </c>
      <c r="M137" s="10">
        <v>0.14583333333333334</v>
      </c>
      <c r="N137" t="s">
        <v>2072</v>
      </c>
      <c r="O137" s="10">
        <v>0.4152777777777778</v>
      </c>
      <c r="P137" t="s">
        <v>680</v>
      </c>
      <c r="Q137" s="10" t="s">
        <v>2073</v>
      </c>
      <c r="R137" s="31">
        <v>44</v>
      </c>
      <c r="S137" s="4">
        <v>21</v>
      </c>
      <c r="T137">
        <v>0</v>
      </c>
      <c r="U137" t="s">
        <v>24</v>
      </c>
      <c r="V137" t="s">
        <v>2025</v>
      </c>
    </row>
    <row r="138" spans="1:22" x14ac:dyDescent="0.2">
      <c r="A138" s="3">
        <v>42582</v>
      </c>
      <c r="B138">
        <v>50911</v>
      </c>
      <c r="C138">
        <v>50910</v>
      </c>
      <c r="E138" t="s">
        <v>404</v>
      </c>
      <c r="F138" t="s">
        <v>31</v>
      </c>
      <c r="H138" t="s">
        <v>145</v>
      </c>
      <c r="I138" s="16" t="s">
        <v>2129</v>
      </c>
      <c r="J138" t="s">
        <v>30</v>
      </c>
      <c r="K138" t="s">
        <v>1982</v>
      </c>
      <c r="M138" s="10" t="s">
        <v>474</v>
      </c>
      <c r="N138" t="s">
        <v>395</v>
      </c>
      <c r="O138" s="10">
        <v>0.40833333333333338</v>
      </c>
      <c r="P138" t="s">
        <v>672</v>
      </c>
      <c r="Q138" s="10" t="s">
        <v>2032</v>
      </c>
      <c r="R138" s="31">
        <v>48.5</v>
      </c>
      <c r="S138" s="4">
        <v>21</v>
      </c>
      <c r="T138">
        <v>0</v>
      </c>
      <c r="U138" t="s">
        <v>24</v>
      </c>
      <c r="V138" t="s">
        <v>2025</v>
      </c>
    </row>
    <row r="139" spans="1:22" x14ac:dyDescent="0.2">
      <c r="A139" s="3">
        <v>42582</v>
      </c>
      <c r="B139">
        <v>50913</v>
      </c>
      <c r="C139">
        <v>50912</v>
      </c>
      <c r="D139">
        <v>10</v>
      </c>
      <c r="E139" t="s">
        <v>404</v>
      </c>
      <c r="F139" t="s">
        <v>63</v>
      </c>
      <c r="H139" t="s">
        <v>145</v>
      </c>
      <c r="I139" s="16" t="s">
        <v>2129</v>
      </c>
      <c r="J139" t="s">
        <v>35</v>
      </c>
      <c r="K139" t="s">
        <v>1967</v>
      </c>
      <c r="L139" t="s">
        <v>446</v>
      </c>
      <c r="M139" s="10" t="s">
        <v>550</v>
      </c>
      <c r="N139" t="s">
        <v>2030</v>
      </c>
      <c r="O139" s="10">
        <v>0.3979166666666667</v>
      </c>
      <c r="Q139" s="10" t="s">
        <v>2031</v>
      </c>
      <c r="R139" s="31">
        <v>52</v>
      </c>
      <c r="S139" s="4">
        <v>21</v>
      </c>
      <c r="T139">
        <v>0</v>
      </c>
      <c r="U139" t="s">
        <v>24</v>
      </c>
      <c r="V139" t="s">
        <v>2025</v>
      </c>
    </row>
    <row r="140" spans="1:22" x14ac:dyDescent="0.2">
      <c r="A140" s="3">
        <v>42582</v>
      </c>
      <c r="B140">
        <v>50915</v>
      </c>
      <c r="C140">
        <v>50914</v>
      </c>
      <c r="D140">
        <v>10</v>
      </c>
      <c r="E140" t="s">
        <v>404</v>
      </c>
      <c r="F140" t="s">
        <v>63</v>
      </c>
      <c r="H140" t="s">
        <v>145</v>
      </c>
      <c r="I140" s="16" t="s">
        <v>2129</v>
      </c>
      <c r="J140" t="s">
        <v>35</v>
      </c>
      <c r="K140" t="s">
        <v>2018</v>
      </c>
      <c r="M140" s="10" t="s">
        <v>550</v>
      </c>
      <c r="N140" t="s">
        <v>2019</v>
      </c>
      <c r="O140" s="10">
        <v>0.38541666666666669</v>
      </c>
      <c r="P140" t="s">
        <v>668</v>
      </c>
      <c r="Q140" s="10" t="s">
        <v>2020</v>
      </c>
      <c r="R140" s="31">
        <v>55</v>
      </c>
      <c r="S140" s="4">
        <v>21</v>
      </c>
      <c r="T140">
        <v>0</v>
      </c>
      <c r="U140" t="s">
        <v>24</v>
      </c>
      <c r="V140" t="s">
        <v>2021</v>
      </c>
    </row>
    <row r="141" spans="1:22" x14ac:dyDescent="0.2">
      <c r="A141" s="3">
        <v>42584</v>
      </c>
      <c r="B141">
        <v>2686</v>
      </c>
      <c r="C141">
        <v>2685</v>
      </c>
      <c r="E141" t="s">
        <v>404</v>
      </c>
      <c r="F141" t="s">
        <v>31</v>
      </c>
      <c r="G141" t="s">
        <v>145</v>
      </c>
      <c r="I141" t="s">
        <v>2128</v>
      </c>
      <c r="J141" t="s">
        <v>30</v>
      </c>
      <c r="L141" t="s">
        <v>260</v>
      </c>
      <c r="M141" s="10" t="s">
        <v>1940</v>
      </c>
      <c r="N141" t="s">
        <v>1941</v>
      </c>
      <c r="O141" s="10">
        <v>0.53749999999999998</v>
      </c>
      <c r="Q141" s="10" t="s">
        <v>1942</v>
      </c>
      <c r="R141" s="31">
        <v>48</v>
      </c>
      <c r="S141" s="4">
        <v>16</v>
      </c>
      <c r="T141">
        <v>8</v>
      </c>
      <c r="U141" t="s">
        <v>24</v>
      </c>
    </row>
    <row r="142" spans="1:22" x14ac:dyDescent="0.2">
      <c r="A142" s="3">
        <v>42584</v>
      </c>
      <c r="B142">
        <v>2976</v>
      </c>
      <c r="C142">
        <v>2977</v>
      </c>
      <c r="E142" t="s">
        <v>526</v>
      </c>
      <c r="F142" t="s">
        <v>31</v>
      </c>
      <c r="G142" t="s">
        <v>145</v>
      </c>
      <c r="I142" t="s">
        <v>2128</v>
      </c>
      <c r="J142" t="s">
        <v>30</v>
      </c>
      <c r="M142" s="10" t="s">
        <v>2099</v>
      </c>
      <c r="N142" t="s">
        <v>2100</v>
      </c>
      <c r="O142" s="10">
        <v>4.1666666666666664E-2</v>
      </c>
      <c r="Q142" s="10" t="s">
        <v>2101</v>
      </c>
      <c r="R142" s="31">
        <v>46</v>
      </c>
      <c r="S142" s="4">
        <v>16</v>
      </c>
      <c r="T142">
        <v>8</v>
      </c>
      <c r="U142" t="s">
        <v>24</v>
      </c>
    </row>
    <row r="143" spans="1:22" x14ac:dyDescent="0.2">
      <c r="A143" s="3">
        <v>42584</v>
      </c>
      <c r="B143">
        <v>50707</v>
      </c>
      <c r="C143">
        <v>50708</v>
      </c>
      <c r="E143" t="s">
        <v>576</v>
      </c>
      <c r="F143" t="s">
        <v>31</v>
      </c>
      <c r="G143" t="s">
        <v>145</v>
      </c>
      <c r="I143" s="16" t="s">
        <v>2128</v>
      </c>
      <c r="J143" t="s">
        <v>30</v>
      </c>
      <c r="M143" s="10" t="s">
        <v>2099</v>
      </c>
      <c r="N143" t="s">
        <v>2102</v>
      </c>
      <c r="O143" s="10">
        <v>0.52083333333333337</v>
      </c>
      <c r="Q143" s="10" t="s">
        <v>2103</v>
      </c>
      <c r="R143" s="31">
        <v>58</v>
      </c>
      <c r="S143" s="4">
        <v>16</v>
      </c>
      <c r="T143">
        <v>8</v>
      </c>
      <c r="U143" t="s">
        <v>24</v>
      </c>
    </row>
    <row r="144" spans="1:22" x14ac:dyDescent="0.2">
      <c r="A144" s="3">
        <v>42584</v>
      </c>
      <c r="B144">
        <v>50800</v>
      </c>
      <c r="C144">
        <v>50793</v>
      </c>
      <c r="F144" t="s">
        <v>63</v>
      </c>
      <c r="G144" t="s">
        <v>145</v>
      </c>
      <c r="I144" s="16" t="s">
        <v>2128</v>
      </c>
      <c r="J144" t="s">
        <v>35</v>
      </c>
      <c r="M144" s="10" t="s">
        <v>1940</v>
      </c>
      <c r="N144" t="s">
        <v>1948</v>
      </c>
      <c r="O144" s="10">
        <v>0.53333333333333333</v>
      </c>
      <c r="Q144" s="10" t="s">
        <v>1949</v>
      </c>
      <c r="R144" s="31">
        <v>50</v>
      </c>
      <c r="S144" s="4">
        <v>16</v>
      </c>
      <c r="T144">
        <v>8</v>
      </c>
      <c r="U144" t="s">
        <v>24</v>
      </c>
    </row>
    <row r="145" spans="1:22" x14ac:dyDescent="0.2">
      <c r="A145" s="3">
        <v>42584</v>
      </c>
      <c r="B145">
        <v>50877</v>
      </c>
      <c r="C145">
        <v>50876</v>
      </c>
      <c r="E145" t="s">
        <v>404</v>
      </c>
      <c r="F145" t="s">
        <v>63</v>
      </c>
      <c r="H145" t="s">
        <v>32</v>
      </c>
      <c r="I145" s="16" t="s">
        <v>2151</v>
      </c>
      <c r="J145" t="s">
        <v>35</v>
      </c>
      <c r="M145" s="10"/>
      <c r="O145" s="10"/>
      <c r="Q145" s="10"/>
      <c r="S145" s="4">
        <v>29</v>
      </c>
      <c r="T145">
        <v>7</v>
      </c>
      <c r="U145" t="s">
        <v>24</v>
      </c>
    </row>
    <row r="146" spans="1:22" x14ac:dyDescent="0.2">
      <c r="A146" s="3">
        <v>42584</v>
      </c>
      <c r="B146">
        <v>50887</v>
      </c>
      <c r="C146">
        <v>50886</v>
      </c>
      <c r="E146" t="s">
        <v>404</v>
      </c>
      <c r="F146" t="s">
        <v>63</v>
      </c>
      <c r="H146" t="s">
        <v>32</v>
      </c>
      <c r="I146" s="16" t="s">
        <v>2151</v>
      </c>
      <c r="J146" t="s">
        <v>35</v>
      </c>
      <c r="M146" s="10" t="s">
        <v>1995</v>
      </c>
      <c r="N146" t="s">
        <v>1996</v>
      </c>
      <c r="O146" s="10">
        <v>0.52638888888888891</v>
      </c>
      <c r="Q146" s="10" t="s">
        <v>1997</v>
      </c>
      <c r="R146" s="31">
        <v>54</v>
      </c>
      <c r="S146" s="4">
        <v>29</v>
      </c>
      <c r="T146">
        <v>8</v>
      </c>
      <c r="U146" t="s">
        <v>24</v>
      </c>
      <c r="V146" t="s">
        <v>791</v>
      </c>
    </row>
    <row r="147" spans="1:22" x14ac:dyDescent="0.2">
      <c r="A147" s="3">
        <v>42584</v>
      </c>
      <c r="B147">
        <v>50902</v>
      </c>
      <c r="C147">
        <v>50901</v>
      </c>
      <c r="F147" t="s">
        <v>31</v>
      </c>
      <c r="G147" t="s">
        <v>145</v>
      </c>
      <c r="I147" s="16" t="s">
        <v>2128</v>
      </c>
      <c r="J147" t="s">
        <v>30</v>
      </c>
      <c r="M147" s="10" t="s">
        <v>2001</v>
      </c>
      <c r="N147" t="s">
        <v>2002</v>
      </c>
      <c r="O147" s="10">
        <v>0.51388888888888895</v>
      </c>
      <c r="Q147" s="10" t="s">
        <v>2003</v>
      </c>
      <c r="R147" s="31">
        <v>56</v>
      </c>
      <c r="S147" s="4">
        <v>7</v>
      </c>
      <c r="T147">
        <v>7</v>
      </c>
      <c r="U147" t="s">
        <v>24</v>
      </c>
    </row>
    <row r="148" spans="1:22" x14ac:dyDescent="0.2">
      <c r="A148" s="3">
        <v>42584</v>
      </c>
      <c r="B148">
        <v>50918</v>
      </c>
      <c r="C148">
        <v>50919</v>
      </c>
      <c r="E148" t="s">
        <v>762</v>
      </c>
      <c r="F148" t="s">
        <v>31</v>
      </c>
      <c r="G148" t="s">
        <v>145</v>
      </c>
      <c r="I148" s="16" t="s">
        <v>2128</v>
      </c>
      <c r="J148" t="s">
        <v>30</v>
      </c>
      <c r="M148" s="10" t="s">
        <v>2001</v>
      </c>
      <c r="N148" t="s">
        <v>2047</v>
      </c>
      <c r="O148" s="10">
        <v>0.51666666666666672</v>
      </c>
      <c r="Q148" s="10" t="s">
        <v>2048</v>
      </c>
      <c r="R148" s="31">
        <v>52.5</v>
      </c>
      <c r="S148" s="4">
        <v>7</v>
      </c>
      <c r="T148">
        <v>7</v>
      </c>
      <c r="U148" t="s">
        <v>24</v>
      </c>
    </row>
    <row r="149" spans="1:22" x14ac:dyDescent="0.2">
      <c r="A149" s="3">
        <v>42587</v>
      </c>
      <c r="B149">
        <v>2449</v>
      </c>
      <c r="C149">
        <v>2641</v>
      </c>
      <c r="D149">
        <v>13</v>
      </c>
      <c r="E149" t="s">
        <v>361</v>
      </c>
      <c r="F149" t="s">
        <v>63</v>
      </c>
      <c r="G149" t="s">
        <v>145</v>
      </c>
      <c r="I149" t="s">
        <v>2128</v>
      </c>
      <c r="J149" t="s">
        <v>35</v>
      </c>
      <c r="K149" t="s">
        <v>294</v>
      </c>
      <c r="M149" s="10" t="s">
        <v>550</v>
      </c>
      <c r="N149" t="s">
        <v>2011</v>
      </c>
      <c r="O149" s="10">
        <v>6.9444444444444434E-2</v>
      </c>
      <c r="P149" t="s">
        <v>799</v>
      </c>
      <c r="Q149" s="10" t="s">
        <v>2012</v>
      </c>
      <c r="R149" s="31">
        <v>57.5</v>
      </c>
      <c r="S149" s="4">
        <v>0</v>
      </c>
      <c r="T149">
        <v>0</v>
      </c>
      <c r="U149" t="s">
        <v>24</v>
      </c>
    </row>
    <row r="150" spans="1:22" x14ac:dyDescent="0.2">
      <c r="A150" s="3">
        <v>42587</v>
      </c>
      <c r="B150">
        <v>2644</v>
      </c>
      <c r="C150">
        <v>2643</v>
      </c>
      <c r="F150" t="s">
        <v>63</v>
      </c>
      <c r="G150" t="s">
        <v>32</v>
      </c>
      <c r="I150" t="s">
        <v>2130</v>
      </c>
      <c r="J150" t="s">
        <v>35</v>
      </c>
      <c r="M150" s="10" t="s">
        <v>1018</v>
      </c>
      <c r="N150" t="s">
        <v>1015</v>
      </c>
      <c r="P150" t="s">
        <v>764</v>
      </c>
      <c r="Q150" t="s">
        <v>2093</v>
      </c>
      <c r="R150" s="31">
        <v>45.5</v>
      </c>
      <c r="S150" s="4">
        <v>0</v>
      </c>
      <c r="T150">
        <v>10</v>
      </c>
      <c r="U150" t="s">
        <v>66</v>
      </c>
      <c r="V150" t="s">
        <v>1019</v>
      </c>
    </row>
    <row r="151" spans="1:22" x14ac:dyDescent="0.2">
      <c r="A151" s="3">
        <v>42587</v>
      </c>
      <c r="B151">
        <v>2684</v>
      </c>
      <c r="C151">
        <v>2683</v>
      </c>
      <c r="D151">
        <v>14</v>
      </c>
      <c r="E151" t="s">
        <v>527</v>
      </c>
      <c r="F151" t="s">
        <v>63</v>
      </c>
      <c r="G151" t="s">
        <v>32</v>
      </c>
      <c r="I151" t="s">
        <v>2130</v>
      </c>
      <c r="J151" t="s">
        <v>30</v>
      </c>
      <c r="M151" s="10" t="s">
        <v>352</v>
      </c>
      <c r="N151" t="s">
        <v>1016</v>
      </c>
      <c r="P151" t="s">
        <v>775</v>
      </c>
      <c r="Q151" t="s">
        <v>2092</v>
      </c>
      <c r="R151" s="31">
        <v>45</v>
      </c>
      <c r="S151" s="4">
        <v>0</v>
      </c>
      <c r="T151">
        <v>15</v>
      </c>
      <c r="U151" t="s">
        <v>66</v>
      </c>
    </row>
    <row r="152" spans="1:22" x14ac:dyDescent="0.2">
      <c r="A152" s="3">
        <v>42587</v>
      </c>
      <c r="B152" s="17" t="s">
        <v>2076</v>
      </c>
      <c r="C152" s="17" t="s">
        <v>2077</v>
      </c>
      <c r="F152" t="s">
        <v>31</v>
      </c>
      <c r="G152" t="s">
        <v>145</v>
      </c>
      <c r="I152" t="s">
        <v>2128</v>
      </c>
      <c r="J152" t="s">
        <v>30</v>
      </c>
      <c r="M152" s="10">
        <v>0.1875</v>
      </c>
      <c r="N152" t="s">
        <v>1092</v>
      </c>
      <c r="O152" s="10">
        <v>0.31527777777777777</v>
      </c>
      <c r="P152" t="s">
        <v>723</v>
      </c>
      <c r="Q152" s="10" t="s">
        <v>2078</v>
      </c>
      <c r="R152" s="31">
        <v>52.5</v>
      </c>
      <c r="S152" s="4">
        <v>15</v>
      </c>
      <c r="T152">
        <v>12</v>
      </c>
      <c r="U152" s="10" t="s">
        <v>24</v>
      </c>
    </row>
    <row r="153" spans="1:22" x14ac:dyDescent="0.2">
      <c r="A153" s="3">
        <v>42587</v>
      </c>
      <c r="B153">
        <v>2844</v>
      </c>
      <c r="C153">
        <v>2843</v>
      </c>
      <c r="D153">
        <v>17</v>
      </c>
      <c r="E153" t="s">
        <v>1009</v>
      </c>
      <c r="F153" t="s">
        <v>63</v>
      </c>
      <c r="H153" t="s">
        <v>32</v>
      </c>
      <c r="I153" t="s">
        <v>2151</v>
      </c>
      <c r="J153" t="s">
        <v>35</v>
      </c>
      <c r="M153" s="10" t="s">
        <v>531</v>
      </c>
      <c r="P153" t="s">
        <v>794</v>
      </c>
      <c r="Q153" t="s">
        <v>2091</v>
      </c>
      <c r="R153" s="31">
        <v>53</v>
      </c>
      <c r="S153" s="4">
        <v>38</v>
      </c>
      <c r="T153">
        <v>5</v>
      </c>
      <c r="U153" t="s">
        <v>66</v>
      </c>
    </row>
    <row r="154" spans="1:22" x14ac:dyDescent="0.2">
      <c r="A154" s="3">
        <v>42587</v>
      </c>
      <c r="B154" s="17" t="s">
        <v>2063</v>
      </c>
      <c r="C154" s="17" t="s">
        <v>2064</v>
      </c>
      <c r="E154" t="s">
        <v>236</v>
      </c>
      <c r="F154" t="s">
        <v>63</v>
      </c>
      <c r="H154" t="s">
        <v>32</v>
      </c>
      <c r="I154" t="s">
        <v>2151</v>
      </c>
      <c r="J154" t="s">
        <v>35</v>
      </c>
      <c r="M154" s="10" t="s">
        <v>550</v>
      </c>
      <c r="N154" t="s">
        <v>1094</v>
      </c>
      <c r="O154" s="10">
        <v>0.33819444444444446</v>
      </c>
      <c r="P154" t="s">
        <v>802</v>
      </c>
      <c r="Q154" s="10" t="s">
        <v>2157</v>
      </c>
      <c r="R154" s="31">
        <v>47</v>
      </c>
      <c r="S154" s="4">
        <v>38</v>
      </c>
      <c r="T154">
        <v>5</v>
      </c>
      <c r="U154" s="10" t="s">
        <v>24</v>
      </c>
      <c r="V154" t="s">
        <v>2065</v>
      </c>
    </row>
    <row r="155" spans="1:22" x14ac:dyDescent="0.2">
      <c r="A155" s="3">
        <v>42587</v>
      </c>
      <c r="B155" s="17" t="s">
        <v>1087</v>
      </c>
      <c r="C155" s="17"/>
      <c r="D155">
        <v>13</v>
      </c>
      <c r="E155" t="s">
        <v>510</v>
      </c>
      <c r="F155" t="s">
        <v>63</v>
      </c>
      <c r="G155" t="s">
        <v>32</v>
      </c>
      <c r="I155" s="16" t="s">
        <v>2130</v>
      </c>
      <c r="J155" t="s">
        <v>35</v>
      </c>
      <c r="K155" t="s">
        <v>2039</v>
      </c>
      <c r="M155" s="10" t="s">
        <v>474</v>
      </c>
      <c r="O155" s="10"/>
      <c r="P155" t="s">
        <v>727</v>
      </c>
      <c r="Q155" s="10" t="s">
        <v>2040</v>
      </c>
      <c r="R155" s="31">
        <v>42.5</v>
      </c>
      <c r="S155" s="4">
        <v>0</v>
      </c>
      <c r="T155">
        <v>0</v>
      </c>
      <c r="U155" t="s">
        <v>24</v>
      </c>
    </row>
    <row r="156" spans="1:22" x14ac:dyDescent="0.2">
      <c r="A156" s="3">
        <v>42587</v>
      </c>
      <c r="B156" s="17" t="s">
        <v>1097</v>
      </c>
      <c r="C156" s="17" t="s">
        <v>1098</v>
      </c>
      <c r="D156">
        <v>13.5</v>
      </c>
      <c r="E156" t="s">
        <v>164</v>
      </c>
      <c r="F156" t="s">
        <v>63</v>
      </c>
      <c r="G156" t="s">
        <v>32</v>
      </c>
      <c r="I156" s="16" t="s">
        <v>2130</v>
      </c>
      <c r="J156" t="s">
        <v>35</v>
      </c>
      <c r="K156" t="s">
        <v>2023</v>
      </c>
      <c r="M156" s="10" t="s">
        <v>477</v>
      </c>
      <c r="N156" t="s">
        <v>1095</v>
      </c>
      <c r="O156" s="10"/>
      <c r="P156" t="s">
        <v>719</v>
      </c>
      <c r="Q156" s="10" t="s">
        <v>2104</v>
      </c>
      <c r="R156" s="31">
        <v>51</v>
      </c>
      <c r="S156" s="4">
        <v>0</v>
      </c>
      <c r="T156">
        <v>0</v>
      </c>
      <c r="U156" s="10" t="s">
        <v>24</v>
      </c>
    </row>
    <row r="157" spans="1:22" x14ac:dyDescent="0.2">
      <c r="A157" s="3">
        <v>42587</v>
      </c>
      <c r="B157" s="17" t="s">
        <v>1100</v>
      </c>
      <c r="C157" s="17" t="s">
        <v>1040</v>
      </c>
      <c r="D157">
        <v>13</v>
      </c>
      <c r="E157" t="s">
        <v>1101</v>
      </c>
      <c r="F157" t="s">
        <v>31</v>
      </c>
      <c r="G157" t="s">
        <v>32</v>
      </c>
      <c r="I157" s="16" t="s">
        <v>2130</v>
      </c>
      <c r="J157" t="s">
        <v>30</v>
      </c>
      <c r="K157" t="s">
        <v>2066</v>
      </c>
      <c r="M157" s="10" t="s">
        <v>550</v>
      </c>
      <c r="N157" t="s">
        <v>1102</v>
      </c>
      <c r="O157" s="10">
        <v>0.37638888888888888</v>
      </c>
      <c r="Q157" s="10" t="s">
        <v>2105</v>
      </c>
      <c r="R157" s="31">
        <v>54</v>
      </c>
      <c r="S157" s="4">
        <v>0</v>
      </c>
      <c r="T157">
        <v>0</v>
      </c>
      <c r="U157" s="10" t="s">
        <v>24</v>
      </c>
      <c r="V157" t="s">
        <v>2106</v>
      </c>
    </row>
    <row r="158" spans="1:22" x14ac:dyDescent="0.2">
      <c r="A158" s="3">
        <v>42587</v>
      </c>
      <c r="B158">
        <v>16337</v>
      </c>
      <c r="C158">
        <v>16338</v>
      </c>
      <c r="D158">
        <v>11</v>
      </c>
      <c r="E158" t="s">
        <v>133</v>
      </c>
      <c r="F158" t="s">
        <v>63</v>
      </c>
      <c r="G158" t="s">
        <v>32</v>
      </c>
      <c r="I158" s="16" t="s">
        <v>2130</v>
      </c>
      <c r="J158" t="s">
        <v>35</v>
      </c>
      <c r="M158" s="10" t="s">
        <v>531</v>
      </c>
      <c r="N158" t="s">
        <v>1012</v>
      </c>
      <c r="S158" s="4">
        <v>0</v>
      </c>
      <c r="T158">
        <v>0</v>
      </c>
      <c r="U158" t="s">
        <v>66</v>
      </c>
      <c r="V158" t="s">
        <v>2161</v>
      </c>
    </row>
    <row r="159" spans="1:22" x14ac:dyDescent="0.2">
      <c r="A159" s="3">
        <v>42587</v>
      </c>
      <c r="B159" s="17" t="s">
        <v>1598</v>
      </c>
      <c r="C159" s="17" t="s">
        <v>1599</v>
      </c>
      <c r="E159" t="s">
        <v>404</v>
      </c>
      <c r="F159" t="s">
        <v>63</v>
      </c>
      <c r="H159" t="s">
        <v>32</v>
      </c>
      <c r="I159" s="16" t="s">
        <v>2151</v>
      </c>
      <c r="J159" t="s">
        <v>35</v>
      </c>
      <c r="M159" s="10" t="s">
        <v>410</v>
      </c>
      <c r="N159" t="s">
        <v>2053</v>
      </c>
      <c r="O159" s="10">
        <v>0.51944444444444449</v>
      </c>
      <c r="P159" t="s">
        <v>746</v>
      </c>
      <c r="Q159" s="10" t="s">
        <v>2054</v>
      </c>
      <c r="R159" s="31">
        <v>46</v>
      </c>
      <c r="S159" s="4">
        <v>35</v>
      </c>
      <c r="T159">
        <v>14</v>
      </c>
      <c r="U159" t="s">
        <v>24</v>
      </c>
    </row>
    <row r="160" spans="1:22" x14ac:dyDescent="0.2">
      <c r="A160" s="3">
        <v>42587</v>
      </c>
      <c r="B160" s="17" t="s">
        <v>2094</v>
      </c>
      <c r="C160" s="17" t="s">
        <v>2095</v>
      </c>
      <c r="E160" t="s">
        <v>404</v>
      </c>
      <c r="F160" t="s">
        <v>31</v>
      </c>
      <c r="H160" t="s">
        <v>32</v>
      </c>
      <c r="I160" s="16" t="s">
        <v>2151</v>
      </c>
      <c r="J160" t="s">
        <v>30</v>
      </c>
      <c r="M160" s="10" t="s">
        <v>474</v>
      </c>
      <c r="N160" t="s">
        <v>2096</v>
      </c>
      <c r="O160" s="10">
        <v>0.51527777777777783</v>
      </c>
      <c r="P160" t="s">
        <v>2097</v>
      </c>
      <c r="Q160" s="10" t="s">
        <v>2098</v>
      </c>
      <c r="R160" s="31">
        <v>51</v>
      </c>
      <c r="S160" s="4">
        <v>35</v>
      </c>
      <c r="T160">
        <v>14</v>
      </c>
      <c r="U160" s="10" t="s">
        <v>24</v>
      </c>
    </row>
    <row r="161" spans="1:26" x14ac:dyDescent="0.2">
      <c r="A161" s="3">
        <v>42587</v>
      </c>
      <c r="B161" s="17" t="s">
        <v>2081</v>
      </c>
      <c r="C161" s="17" t="s">
        <v>2082</v>
      </c>
      <c r="E161" t="s">
        <v>535</v>
      </c>
      <c r="F161" t="s">
        <v>63</v>
      </c>
      <c r="G161" t="s">
        <v>32</v>
      </c>
      <c r="I161" s="16" t="s">
        <v>2130</v>
      </c>
      <c r="J161" t="s">
        <v>35</v>
      </c>
      <c r="M161" s="10"/>
      <c r="O161" s="10"/>
      <c r="P161" t="s">
        <v>735</v>
      </c>
      <c r="Q161" s="10" t="s">
        <v>2083</v>
      </c>
      <c r="R161" s="31">
        <v>48.5</v>
      </c>
      <c r="S161" s="4">
        <v>0</v>
      </c>
      <c r="T161">
        <v>10</v>
      </c>
      <c r="U161" s="10" t="s">
        <v>24</v>
      </c>
    </row>
    <row r="162" spans="1:26" x14ac:dyDescent="0.2">
      <c r="A162" s="3">
        <v>42587</v>
      </c>
      <c r="B162" s="17" t="s">
        <v>1929</v>
      </c>
      <c r="C162" s="17" t="s">
        <v>2057</v>
      </c>
      <c r="F162" t="s">
        <v>63</v>
      </c>
      <c r="H162" t="s">
        <v>145</v>
      </c>
      <c r="I162" s="16" t="s">
        <v>2129</v>
      </c>
      <c r="J162" t="s">
        <v>35</v>
      </c>
      <c r="L162" t="s">
        <v>479</v>
      </c>
      <c r="M162" s="10" t="s">
        <v>358</v>
      </c>
      <c r="N162" t="s">
        <v>1014</v>
      </c>
      <c r="O162" s="10"/>
      <c r="Q162" s="10" t="s">
        <v>2058</v>
      </c>
      <c r="R162" s="31">
        <v>55</v>
      </c>
      <c r="S162" s="4">
        <v>21</v>
      </c>
      <c r="T162">
        <v>10</v>
      </c>
      <c r="U162" t="s">
        <v>24</v>
      </c>
      <c r="V162" t="s">
        <v>791</v>
      </c>
    </row>
    <row r="163" spans="1:26" x14ac:dyDescent="0.2">
      <c r="A163" s="3">
        <v>42588</v>
      </c>
      <c r="B163" s="17" t="s">
        <v>917</v>
      </c>
      <c r="C163" s="17" t="s">
        <v>918</v>
      </c>
      <c r="D163">
        <f>25-11</f>
        <v>14</v>
      </c>
      <c r="E163">
        <v>112</v>
      </c>
      <c r="F163" t="s">
        <v>63</v>
      </c>
      <c r="G163" t="s">
        <v>32</v>
      </c>
      <c r="I163" t="s">
        <v>2130</v>
      </c>
      <c r="J163" t="s">
        <v>35</v>
      </c>
      <c r="K163" t="s">
        <v>90</v>
      </c>
      <c r="M163" s="10" t="s">
        <v>477</v>
      </c>
      <c r="N163" t="s">
        <v>1203</v>
      </c>
      <c r="O163" s="10">
        <v>0.37152777777777773</v>
      </c>
      <c r="P163" t="s">
        <v>1967</v>
      </c>
      <c r="Q163" s="10" t="s">
        <v>1968</v>
      </c>
      <c r="R163" s="31">
        <v>63.5</v>
      </c>
      <c r="S163" s="4">
        <v>0</v>
      </c>
      <c r="T163">
        <v>0</v>
      </c>
      <c r="U163" t="s">
        <v>64</v>
      </c>
      <c r="V163" t="s">
        <v>1218</v>
      </c>
    </row>
    <row r="164" spans="1:26" x14ac:dyDescent="0.2">
      <c r="A164" s="3">
        <v>42588</v>
      </c>
      <c r="B164" s="17" t="s">
        <v>1073</v>
      </c>
      <c r="C164" s="17" t="s">
        <v>1074</v>
      </c>
      <c r="D164">
        <f>30-16</f>
        <v>14</v>
      </c>
      <c r="E164">
        <v>111</v>
      </c>
      <c r="F164" t="s">
        <v>63</v>
      </c>
      <c r="G164" t="s">
        <v>32</v>
      </c>
      <c r="I164" t="s">
        <v>2130</v>
      </c>
      <c r="J164" t="s">
        <v>35</v>
      </c>
      <c r="K164" t="s">
        <v>1971</v>
      </c>
      <c r="M164" s="10" t="s">
        <v>452</v>
      </c>
      <c r="N164" t="s">
        <v>1199</v>
      </c>
      <c r="O164" s="10">
        <v>0.31458333333333333</v>
      </c>
      <c r="P164" t="s">
        <v>804</v>
      </c>
      <c r="Q164" s="10" t="s">
        <v>2159</v>
      </c>
      <c r="R164" s="31">
        <v>56</v>
      </c>
      <c r="S164" s="4">
        <v>0</v>
      </c>
      <c r="T164">
        <v>0</v>
      </c>
      <c r="U164" t="s">
        <v>64</v>
      </c>
      <c r="V164" t="s">
        <v>1216</v>
      </c>
    </row>
    <row r="165" spans="1:26" x14ac:dyDescent="0.2">
      <c r="A165" s="3">
        <v>42588</v>
      </c>
      <c r="B165" s="17" t="s">
        <v>975</v>
      </c>
      <c r="C165" s="17" t="s">
        <v>976</v>
      </c>
      <c r="D165">
        <v>10</v>
      </c>
      <c r="E165">
        <v>113</v>
      </c>
      <c r="F165" t="s">
        <v>31</v>
      </c>
      <c r="G165" t="s">
        <v>32</v>
      </c>
      <c r="I165" t="s">
        <v>2130</v>
      </c>
      <c r="J165" t="s">
        <v>30</v>
      </c>
      <c r="K165" t="s">
        <v>1980</v>
      </c>
      <c r="M165" s="10" t="s">
        <v>474</v>
      </c>
      <c r="N165" t="s">
        <v>1981</v>
      </c>
      <c r="O165" s="10"/>
      <c r="P165" t="s">
        <v>1982</v>
      </c>
      <c r="Q165" s="10" t="s">
        <v>1983</v>
      </c>
      <c r="R165" s="31">
        <v>60.5</v>
      </c>
      <c r="S165" s="4">
        <v>0</v>
      </c>
      <c r="T165">
        <v>0</v>
      </c>
      <c r="U165" s="10" t="s">
        <v>24</v>
      </c>
    </row>
    <row r="166" spans="1:26" x14ac:dyDescent="0.2">
      <c r="A166" s="3">
        <v>42588</v>
      </c>
      <c r="B166" s="17" t="s">
        <v>1041</v>
      </c>
      <c r="C166" s="17" t="s">
        <v>1042</v>
      </c>
      <c r="D166">
        <v>8</v>
      </c>
      <c r="E166">
        <v>111</v>
      </c>
      <c r="F166" t="s">
        <v>63</v>
      </c>
      <c r="G166" t="s">
        <v>32</v>
      </c>
      <c r="I166" s="16" t="s">
        <v>2130</v>
      </c>
      <c r="J166" t="s">
        <v>35</v>
      </c>
      <c r="K166" t="s">
        <v>1986</v>
      </c>
      <c r="M166" s="10" t="s">
        <v>474</v>
      </c>
      <c r="N166" t="s">
        <v>1987</v>
      </c>
      <c r="O166" s="10">
        <v>0.28055555555555556</v>
      </c>
      <c r="P166" t="s">
        <v>394</v>
      </c>
      <c r="Q166" s="10" t="s">
        <v>1988</v>
      </c>
      <c r="R166" s="31">
        <v>42.5</v>
      </c>
      <c r="S166" s="4">
        <v>0</v>
      </c>
      <c r="T166">
        <v>0</v>
      </c>
      <c r="U166" s="10" t="s">
        <v>24</v>
      </c>
    </row>
    <row r="167" spans="1:26" x14ac:dyDescent="0.2">
      <c r="A167" s="3">
        <v>42588</v>
      </c>
      <c r="B167" s="17" t="s">
        <v>1206</v>
      </c>
      <c r="C167" s="17" t="s">
        <v>1207</v>
      </c>
      <c r="D167">
        <f>27-13</f>
        <v>14</v>
      </c>
      <c r="E167">
        <v>113</v>
      </c>
      <c r="F167" t="s">
        <v>63</v>
      </c>
      <c r="G167" t="s">
        <v>32</v>
      </c>
      <c r="I167" s="16" t="s">
        <v>2130</v>
      </c>
      <c r="J167" t="s">
        <v>35</v>
      </c>
      <c r="K167" t="s">
        <v>2068</v>
      </c>
      <c r="M167" s="10" t="s">
        <v>550</v>
      </c>
      <c r="N167" t="s">
        <v>1208</v>
      </c>
      <c r="O167" s="10">
        <v>0.41666666666666669</v>
      </c>
      <c r="P167" t="s">
        <v>796</v>
      </c>
      <c r="Q167" s="10" t="s">
        <v>2112</v>
      </c>
      <c r="R167" s="31">
        <v>54</v>
      </c>
      <c r="S167" s="4">
        <v>0</v>
      </c>
      <c r="T167">
        <v>0</v>
      </c>
      <c r="U167" t="s">
        <v>64</v>
      </c>
      <c r="V167" t="s">
        <v>1219</v>
      </c>
    </row>
    <row r="168" spans="1:26" x14ac:dyDescent="0.2">
      <c r="A168" s="3">
        <v>42588</v>
      </c>
      <c r="B168" s="17" t="s">
        <v>1224</v>
      </c>
      <c r="C168" s="17" t="s">
        <v>1225</v>
      </c>
      <c r="D168">
        <f>28-13</f>
        <v>15</v>
      </c>
      <c r="E168">
        <v>113</v>
      </c>
      <c r="F168" t="s">
        <v>63</v>
      </c>
      <c r="G168" t="s">
        <v>32</v>
      </c>
      <c r="I168" s="16" t="s">
        <v>2130</v>
      </c>
      <c r="J168" t="s">
        <v>35</v>
      </c>
      <c r="K168" t="s">
        <v>1963</v>
      </c>
      <c r="M168" s="10" t="s">
        <v>550</v>
      </c>
      <c r="N168" t="s">
        <v>1226</v>
      </c>
      <c r="O168" s="10">
        <v>0.46319444444444446</v>
      </c>
      <c r="P168" t="s">
        <v>768</v>
      </c>
      <c r="Q168" s="10" t="s">
        <v>1966</v>
      </c>
      <c r="R168" s="31">
        <v>57</v>
      </c>
      <c r="S168" s="4">
        <v>0</v>
      </c>
      <c r="T168">
        <v>0</v>
      </c>
      <c r="U168" t="s">
        <v>64</v>
      </c>
      <c r="Z168" t="s">
        <v>1204</v>
      </c>
    </row>
    <row r="169" spans="1:26" x14ac:dyDescent="0.2">
      <c r="A169" s="3">
        <v>42588</v>
      </c>
      <c r="B169">
        <v>15788</v>
      </c>
      <c r="C169">
        <v>15787</v>
      </c>
      <c r="D169">
        <v>9</v>
      </c>
      <c r="E169">
        <v>111</v>
      </c>
      <c r="F169" t="s">
        <v>31</v>
      </c>
      <c r="G169" t="s">
        <v>32</v>
      </c>
      <c r="I169" s="16" t="s">
        <v>2130</v>
      </c>
      <c r="J169" t="s">
        <v>30</v>
      </c>
      <c r="K169" t="s">
        <v>2087</v>
      </c>
      <c r="M169" s="10" t="s">
        <v>1198</v>
      </c>
      <c r="P169" t="s">
        <v>815</v>
      </c>
      <c r="Q169" s="10" t="s">
        <v>2116</v>
      </c>
      <c r="R169" s="31">
        <v>46</v>
      </c>
      <c r="S169" s="4">
        <v>0</v>
      </c>
      <c r="T169">
        <v>0</v>
      </c>
      <c r="U169" t="s">
        <v>64</v>
      </c>
      <c r="V169" t="s">
        <v>1214</v>
      </c>
    </row>
    <row r="170" spans="1:26" x14ac:dyDescent="0.2">
      <c r="A170" s="3">
        <v>42588</v>
      </c>
      <c r="B170">
        <v>50721</v>
      </c>
      <c r="C170">
        <v>50720</v>
      </c>
      <c r="D170">
        <f>27-15</f>
        <v>12</v>
      </c>
      <c r="E170">
        <v>111</v>
      </c>
      <c r="F170" t="s">
        <v>31</v>
      </c>
      <c r="G170" t="s">
        <v>32</v>
      </c>
      <c r="I170" s="16" t="s">
        <v>2130</v>
      </c>
      <c r="J170" t="s">
        <v>30</v>
      </c>
      <c r="M170" s="10" t="s">
        <v>413</v>
      </c>
      <c r="Q170" t="s">
        <v>2029</v>
      </c>
      <c r="S170" s="4">
        <v>0</v>
      </c>
      <c r="T170">
        <v>17</v>
      </c>
      <c r="U170" t="s">
        <v>64</v>
      </c>
      <c r="V170" t="s">
        <v>1217</v>
      </c>
      <c r="Z170" t="s">
        <v>1213</v>
      </c>
    </row>
    <row r="171" spans="1:26" x14ac:dyDescent="0.2">
      <c r="A171" s="3">
        <v>42588</v>
      </c>
      <c r="B171" s="16">
        <v>50825</v>
      </c>
      <c r="C171" s="16">
        <v>50824</v>
      </c>
      <c r="D171">
        <f>29.5-13</f>
        <v>16.5</v>
      </c>
      <c r="E171">
        <v>113</v>
      </c>
      <c r="F171" t="s">
        <v>39</v>
      </c>
      <c r="G171" t="s">
        <v>32</v>
      </c>
      <c r="I171" s="16" t="s">
        <v>2130</v>
      </c>
      <c r="J171" t="s">
        <v>35</v>
      </c>
      <c r="M171" s="10" t="s">
        <v>550</v>
      </c>
      <c r="N171" t="s">
        <v>1211</v>
      </c>
      <c r="O171" s="10">
        <v>0.42708333333333331</v>
      </c>
      <c r="P171" t="s">
        <v>2018</v>
      </c>
      <c r="Q171" s="10" t="s">
        <v>2117</v>
      </c>
      <c r="R171" s="31">
        <v>58.5</v>
      </c>
      <c r="S171" s="4">
        <v>0</v>
      </c>
      <c r="T171">
        <v>16</v>
      </c>
      <c r="U171" t="s">
        <v>64</v>
      </c>
      <c r="V171" t="s">
        <v>1212</v>
      </c>
      <c r="Z171" t="s">
        <v>1221</v>
      </c>
    </row>
    <row r="172" spans="1:26" x14ac:dyDescent="0.2">
      <c r="A172" s="3">
        <v>42588</v>
      </c>
      <c r="B172" s="17" t="s">
        <v>1052</v>
      </c>
      <c r="C172" s="17" t="s">
        <v>1053</v>
      </c>
      <c r="D172">
        <v>13</v>
      </c>
      <c r="E172">
        <v>112</v>
      </c>
      <c r="F172" t="s">
        <v>63</v>
      </c>
      <c r="G172" t="s">
        <v>32</v>
      </c>
      <c r="I172" s="16" t="s">
        <v>2130</v>
      </c>
      <c r="J172" t="s">
        <v>35</v>
      </c>
      <c r="M172" s="10" t="s">
        <v>474</v>
      </c>
      <c r="N172" t="s">
        <v>2113</v>
      </c>
      <c r="O172" s="10">
        <v>0.37708333333333338</v>
      </c>
      <c r="P172" t="s">
        <v>818</v>
      </c>
      <c r="Q172" s="10" t="s">
        <v>2114</v>
      </c>
      <c r="R172" s="31">
        <v>66</v>
      </c>
      <c r="S172" s="4">
        <v>0</v>
      </c>
      <c r="T172">
        <v>0</v>
      </c>
      <c r="U172" s="10" t="s">
        <v>24</v>
      </c>
    </row>
    <row r="173" spans="1:26" x14ac:dyDescent="0.2">
      <c r="A173" s="3">
        <v>42588</v>
      </c>
      <c r="B173" s="16">
        <v>50893</v>
      </c>
      <c r="C173" s="16">
        <v>50892</v>
      </c>
      <c r="D173">
        <v>16</v>
      </c>
      <c r="E173">
        <v>113</v>
      </c>
      <c r="F173" t="s">
        <v>31</v>
      </c>
      <c r="G173" t="s">
        <v>32</v>
      </c>
      <c r="I173" s="16" t="s">
        <v>2130</v>
      </c>
      <c r="J173" t="s">
        <v>30</v>
      </c>
      <c r="K173" t="s">
        <v>1975</v>
      </c>
      <c r="M173" s="10" t="s">
        <v>474</v>
      </c>
      <c r="N173" t="s">
        <v>1976</v>
      </c>
      <c r="O173" s="10">
        <v>0.39999999999999997</v>
      </c>
      <c r="P173" t="s">
        <v>808</v>
      </c>
      <c r="Q173" s="10" t="s">
        <v>1977</v>
      </c>
      <c r="R173" s="31">
        <v>60.5</v>
      </c>
      <c r="S173" s="4">
        <v>0</v>
      </c>
      <c r="T173">
        <v>0</v>
      </c>
      <c r="U173" s="10" t="s">
        <v>24</v>
      </c>
    </row>
    <row r="174" spans="1:26" x14ac:dyDescent="0.2">
      <c r="A174" s="3">
        <v>42588</v>
      </c>
      <c r="B174" s="16">
        <v>50897</v>
      </c>
      <c r="C174" s="16">
        <v>50896</v>
      </c>
      <c r="D174">
        <f>28-13</f>
        <v>15</v>
      </c>
      <c r="E174">
        <v>113</v>
      </c>
      <c r="F174" t="s">
        <v>63</v>
      </c>
      <c r="G174" t="s">
        <v>32</v>
      </c>
      <c r="I174" s="16" t="s">
        <v>2130</v>
      </c>
      <c r="J174" t="s">
        <v>35</v>
      </c>
      <c r="K174" t="s">
        <v>2050</v>
      </c>
      <c r="L174" t="s">
        <v>480</v>
      </c>
      <c r="M174" s="10" t="s">
        <v>550</v>
      </c>
      <c r="N174" t="s">
        <v>1222</v>
      </c>
      <c r="O174" s="10">
        <v>0.44791666666666669</v>
      </c>
      <c r="P174" t="s">
        <v>821</v>
      </c>
      <c r="Q174" s="10" t="s">
        <v>2115</v>
      </c>
      <c r="R174" s="31">
        <v>52</v>
      </c>
      <c r="S174" s="4">
        <v>0</v>
      </c>
      <c r="T174">
        <v>0</v>
      </c>
      <c r="U174" t="s">
        <v>64</v>
      </c>
      <c r="V174" t="s">
        <v>1223</v>
      </c>
    </row>
    <row r="175" spans="1:26" x14ac:dyDescent="0.2">
      <c r="A175" s="3">
        <v>42588</v>
      </c>
      <c r="B175">
        <v>50952</v>
      </c>
      <c r="C175">
        <v>50951</v>
      </c>
      <c r="D175">
        <v>14</v>
      </c>
      <c r="E175">
        <v>111</v>
      </c>
      <c r="F175" t="s">
        <v>63</v>
      </c>
      <c r="G175" t="s">
        <v>32</v>
      </c>
      <c r="I175" s="16" t="s">
        <v>2130</v>
      </c>
      <c r="J175" t="s">
        <v>35</v>
      </c>
      <c r="K175" t="s">
        <v>1969</v>
      </c>
      <c r="M175" s="10" t="s">
        <v>550</v>
      </c>
      <c r="P175" t="s">
        <v>811</v>
      </c>
      <c r="Q175" t="s">
        <v>1970</v>
      </c>
      <c r="R175" s="31">
        <v>54.5</v>
      </c>
      <c r="S175" s="4">
        <v>0</v>
      </c>
      <c r="T175">
        <v>0</v>
      </c>
      <c r="U175" t="s">
        <v>64</v>
      </c>
      <c r="V175" t="s">
        <v>1215</v>
      </c>
    </row>
    <row r="176" spans="1:26" x14ac:dyDescent="0.2">
      <c r="A176" s="3">
        <v>42589</v>
      </c>
      <c r="B176" s="17" t="s">
        <v>969</v>
      </c>
      <c r="C176" s="17" t="s">
        <v>970</v>
      </c>
      <c r="D176" s="16">
        <f>26-14</f>
        <v>12</v>
      </c>
      <c r="E176" s="16">
        <v>112</v>
      </c>
      <c r="F176" s="16" t="s">
        <v>31</v>
      </c>
      <c r="G176" s="16" t="s">
        <v>32</v>
      </c>
      <c r="H176" s="16"/>
      <c r="I176" s="16" t="s">
        <v>2130</v>
      </c>
      <c r="J176" s="16" t="s">
        <v>30</v>
      </c>
      <c r="K176" s="16"/>
      <c r="L176" s="16"/>
      <c r="M176" s="10" t="s">
        <v>550</v>
      </c>
      <c r="N176" s="16" t="s">
        <v>1242</v>
      </c>
      <c r="O176" s="10">
        <v>0.34583333333333338</v>
      </c>
      <c r="P176" s="16" t="s">
        <v>1982</v>
      </c>
      <c r="Q176" s="10" t="s">
        <v>2107</v>
      </c>
      <c r="R176" s="31">
        <v>37</v>
      </c>
      <c r="S176" s="4">
        <v>0</v>
      </c>
      <c r="T176" s="16">
        <v>0</v>
      </c>
      <c r="U176" s="16" t="s">
        <v>64</v>
      </c>
      <c r="V176" s="16" t="s">
        <v>1243</v>
      </c>
      <c r="W176" s="16" t="s">
        <v>2108</v>
      </c>
    </row>
    <row r="177" spans="1:23" s="16" customFormat="1" x14ac:dyDescent="0.2">
      <c r="A177" s="3">
        <v>42589</v>
      </c>
      <c r="B177">
        <v>50726</v>
      </c>
      <c r="C177"/>
      <c r="D177">
        <v>12</v>
      </c>
      <c r="E177" t="s">
        <v>353</v>
      </c>
      <c r="F177" t="s">
        <v>63</v>
      </c>
      <c r="G177" t="s">
        <v>32</v>
      </c>
      <c r="H177"/>
      <c r="I177" s="16" t="s">
        <v>2130</v>
      </c>
      <c r="J177" t="s">
        <v>35</v>
      </c>
      <c r="K177" t="s">
        <v>480</v>
      </c>
      <c r="L177"/>
      <c r="M177" t="s">
        <v>452</v>
      </c>
      <c r="N177" t="s">
        <v>453</v>
      </c>
      <c r="O177" s="10">
        <v>0.3125</v>
      </c>
      <c r="P177" t="s">
        <v>687</v>
      </c>
      <c r="Q177" t="s">
        <v>2197</v>
      </c>
      <c r="R177" s="31">
        <v>36</v>
      </c>
      <c r="S177" s="4">
        <v>0</v>
      </c>
      <c r="T177">
        <v>0</v>
      </c>
      <c r="U177" t="s">
        <v>24</v>
      </c>
      <c r="V177"/>
      <c r="W177"/>
    </row>
    <row r="178" spans="1:23" s="16" customFormat="1" x14ac:dyDescent="0.2">
      <c r="A178" s="3">
        <v>42589</v>
      </c>
      <c r="B178" s="17" t="s">
        <v>985</v>
      </c>
      <c r="C178" s="17" t="s">
        <v>986</v>
      </c>
      <c r="D178" s="16">
        <v>14</v>
      </c>
      <c r="E178" s="16">
        <v>113</v>
      </c>
      <c r="F178" s="16" t="s">
        <v>31</v>
      </c>
      <c r="G178" s="16" t="s">
        <v>32</v>
      </c>
      <c r="I178" s="16" t="s">
        <v>2130</v>
      </c>
      <c r="J178" s="16" t="s">
        <v>30</v>
      </c>
      <c r="M178" s="10" t="s">
        <v>474</v>
      </c>
      <c r="N178" s="16" t="s">
        <v>2109</v>
      </c>
      <c r="O178" s="10">
        <v>0.40277777777777773</v>
      </c>
      <c r="Q178" s="10" t="s">
        <v>2110</v>
      </c>
      <c r="R178" s="31">
        <v>59</v>
      </c>
      <c r="S178" s="4">
        <v>0</v>
      </c>
      <c r="T178" s="16">
        <v>0</v>
      </c>
      <c r="U178" s="10" t="s">
        <v>24</v>
      </c>
      <c r="V178" s="16" t="s">
        <v>2111</v>
      </c>
    </row>
    <row r="179" spans="1:23" x14ac:dyDescent="0.2">
      <c r="A179" s="3">
        <v>42590</v>
      </c>
      <c r="B179">
        <v>2849</v>
      </c>
      <c r="C179">
        <v>2850</v>
      </c>
      <c r="D179">
        <f>28-13.5</f>
        <v>14.5</v>
      </c>
      <c r="E179" t="s">
        <v>1030</v>
      </c>
      <c r="F179" t="s">
        <v>63</v>
      </c>
      <c r="H179" t="s">
        <v>32</v>
      </c>
      <c r="I179" t="s">
        <v>2151</v>
      </c>
      <c r="J179" t="s">
        <v>35</v>
      </c>
      <c r="M179" s="10" t="s">
        <v>550</v>
      </c>
      <c r="N179" t="s">
        <v>1031</v>
      </c>
      <c r="O179" s="10">
        <v>0.41666666666666669</v>
      </c>
      <c r="P179" t="s">
        <v>2066</v>
      </c>
      <c r="Q179" s="10" t="s">
        <v>2067</v>
      </c>
      <c r="R179" s="31">
        <v>37.5</v>
      </c>
      <c r="S179" s="4">
        <v>38</v>
      </c>
      <c r="T179">
        <v>3</v>
      </c>
      <c r="U179" t="s">
        <v>64</v>
      </c>
    </row>
    <row r="180" spans="1:23" x14ac:dyDescent="0.2">
      <c r="A180" s="3">
        <v>42590</v>
      </c>
      <c r="B180">
        <v>18000</v>
      </c>
      <c r="C180">
        <v>17999</v>
      </c>
      <c r="D180">
        <v>13</v>
      </c>
      <c r="E180" t="s">
        <v>570</v>
      </c>
      <c r="F180" t="s">
        <v>63</v>
      </c>
      <c r="G180" t="s">
        <v>145</v>
      </c>
      <c r="I180" s="16" t="s">
        <v>2128</v>
      </c>
      <c r="J180" t="s">
        <v>35</v>
      </c>
      <c r="K180" t="s">
        <v>1950</v>
      </c>
      <c r="M180" s="10" t="s">
        <v>474</v>
      </c>
      <c r="N180" t="s">
        <v>1107</v>
      </c>
      <c r="O180" s="10">
        <v>0.27083333333333331</v>
      </c>
      <c r="P180" t="s">
        <v>294</v>
      </c>
      <c r="Q180" s="10" t="s">
        <v>2015</v>
      </c>
      <c r="R180" s="31">
        <v>46</v>
      </c>
      <c r="S180" s="4">
        <v>0</v>
      </c>
      <c r="T180">
        <v>0</v>
      </c>
      <c r="U180" t="s">
        <v>24</v>
      </c>
    </row>
    <row r="181" spans="1:23" x14ac:dyDescent="0.2">
      <c r="A181" s="3">
        <v>42590</v>
      </c>
      <c r="B181">
        <v>50339</v>
      </c>
      <c r="C181">
        <v>50338</v>
      </c>
      <c r="E181" t="s">
        <v>404</v>
      </c>
      <c r="F181" t="s">
        <v>31</v>
      </c>
      <c r="H181" t="s">
        <v>145</v>
      </c>
      <c r="I181" s="16" t="s">
        <v>2129</v>
      </c>
      <c r="J181" t="s">
        <v>30</v>
      </c>
      <c r="M181" s="10" t="s">
        <v>2074</v>
      </c>
      <c r="N181" t="s">
        <v>1113</v>
      </c>
      <c r="O181" s="10">
        <v>0.34583333333333338</v>
      </c>
      <c r="P181" t="s">
        <v>1967</v>
      </c>
      <c r="Q181" s="10" t="s">
        <v>2075</v>
      </c>
      <c r="R181" s="31">
        <v>50</v>
      </c>
      <c r="S181" s="4">
        <v>21</v>
      </c>
      <c r="T181">
        <v>17</v>
      </c>
      <c r="U181" s="10" t="s">
        <v>24</v>
      </c>
    </row>
    <row r="182" spans="1:23" x14ac:dyDescent="0.2">
      <c r="A182" s="3">
        <v>42590</v>
      </c>
      <c r="B182">
        <v>50701</v>
      </c>
      <c r="C182">
        <v>50703</v>
      </c>
      <c r="E182" t="s">
        <v>203</v>
      </c>
      <c r="F182" t="s">
        <v>63</v>
      </c>
      <c r="G182" t="s">
        <v>32</v>
      </c>
      <c r="I182" s="16" t="s">
        <v>2130</v>
      </c>
      <c r="J182" t="s">
        <v>35</v>
      </c>
      <c r="N182" t="s">
        <v>1024</v>
      </c>
      <c r="O182" s="10">
        <v>0.3125</v>
      </c>
      <c r="S182" s="4">
        <v>0</v>
      </c>
      <c r="T182">
        <v>3</v>
      </c>
      <c r="U182" t="s">
        <v>64</v>
      </c>
    </row>
    <row r="183" spans="1:23" x14ac:dyDescent="0.2">
      <c r="A183" s="3">
        <v>42590</v>
      </c>
      <c r="B183">
        <v>50879</v>
      </c>
      <c r="C183">
        <v>50878</v>
      </c>
      <c r="D183">
        <f>27-13.5</f>
        <v>13.5</v>
      </c>
      <c r="E183" t="s">
        <v>1025</v>
      </c>
      <c r="F183" t="s">
        <v>63</v>
      </c>
      <c r="H183" t="s">
        <v>145</v>
      </c>
      <c r="I183" s="16" t="s">
        <v>2129</v>
      </c>
      <c r="J183" t="s">
        <v>35</v>
      </c>
      <c r="M183" s="10" t="s">
        <v>1035</v>
      </c>
      <c r="N183" t="s">
        <v>1026</v>
      </c>
      <c r="O183" s="10">
        <v>0.32291666666666669</v>
      </c>
      <c r="P183" t="s">
        <v>2039</v>
      </c>
      <c r="Q183" s="10" t="s">
        <v>2060</v>
      </c>
      <c r="R183" s="31">
        <v>49</v>
      </c>
      <c r="S183" s="4">
        <v>21</v>
      </c>
      <c r="T183">
        <v>13</v>
      </c>
      <c r="U183" t="s">
        <v>64</v>
      </c>
      <c r="V183" t="s">
        <v>791</v>
      </c>
    </row>
    <row r="184" spans="1:23" x14ac:dyDescent="0.2">
      <c r="A184" s="3">
        <v>42590</v>
      </c>
      <c r="B184">
        <v>50881</v>
      </c>
      <c r="C184">
        <v>50880</v>
      </c>
      <c r="D184">
        <f>27-13</f>
        <v>14</v>
      </c>
      <c r="E184" t="s">
        <v>293</v>
      </c>
      <c r="F184" t="s">
        <v>31</v>
      </c>
      <c r="H184" t="s">
        <v>145</v>
      </c>
      <c r="I184" s="16" t="s">
        <v>2129</v>
      </c>
      <c r="J184" t="s">
        <v>30</v>
      </c>
      <c r="M184" s="10" t="s">
        <v>1036</v>
      </c>
      <c r="N184" t="s">
        <v>1034</v>
      </c>
      <c r="O184" s="10">
        <v>0.44722222222222219</v>
      </c>
      <c r="P184" t="s">
        <v>2068</v>
      </c>
      <c r="Q184" s="10" t="s">
        <v>2069</v>
      </c>
      <c r="R184" s="31">
        <v>53</v>
      </c>
      <c r="S184" s="4">
        <v>21</v>
      </c>
      <c r="T184">
        <v>13</v>
      </c>
      <c r="U184" t="s">
        <v>64</v>
      </c>
      <c r="V184" t="s">
        <v>1037</v>
      </c>
    </row>
    <row r="185" spans="1:23" x14ac:dyDescent="0.2">
      <c r="A185" s="3">
        <v>42590</v>
      </c>
      <c r="B185">
        <v>50883</v>
      </c>
      <c r="C185">
        <v>50882</v>
      </c>
      <c r="E185" t="s">
        <v>404</v>
      </c>
      <c r="F185" t="s">
        <v>31</v>
      </c>
      <c r="H185" t="s">
        <v>145</v>
      </c>
      <c r="I185" s="16" t="s">
        <v>2129</v>
      </c>
      <c r="J185" t="s">
        <v>30</v>
      </c>
      <c r="M185" s="10" t="s">
        <v>550</v>
      </c>
      <c r="N185" t="s">
        <v>1016</v>
      </c>
      <c r="O185" s="10">
        <v>0.43888888888888888</v>
      </c>
      <c r="P185" t="s">
        <v>2055</v>
      </c>
      <c r="Q185" s="10" t="s">
        <v>2056</v>
      </c>
      <c r="R185" s="31">
        <v>49.5</v>
      </c>
      <c r="S185" s="4">
        <v>21</v>
      </c>
      <c r="T185">
        <v>13</v>
      </c>
      <c r="U185" s="10" t="s">
        <v>24</v>
      </c>
      <c r="V185" t="s">
        <v>791</v>
      </c>
    </row>
    <row r="186" spans="1:23" x14ac:dyDescent="0.2">
      <c r="A186" s="3">
        <v>42590</v>
      </c>
      <c r="B186">
        <v>50885</v>
      </c>
      <c r="C186">
        <v>50884</v>
      </c>
      <c r="D186">
        <f>26-12</f>
        <v>14</v>
      </c>
      <c r="E186" t="s">
        <v>293</v>
      </c>
      <c r="F186" t="s">
        <v>63</v>
      </c>
      <c r="H186" t="s">
        <v>145</v>
      </c>
      <c r="I186" s="16" t="s">
        <v>2129</v>
      </c>
      <c r="J186" t="s">
        <v>35</v>
      </c>
      <c r="M186" s="10" t="s">
        <v>474</v>
      </c>
      <c r="N186" t="s">
        <v>1032</v>
      </c>
      <c r="O186" s="10">
        <v>0.43124999999999997</v>
      </c>
      <c r="Q186" t="s">
        <v>2059</v>
      </c>
      <c r="R186" s="31">
        <v>52.5</v>
      </c>
      <c r="S186" s="4">
        <v>21</v>
      </c>
      <c r="T186">
        <v>3</v>
      </c>
      <c r="U186" t="s">
        <v>64</v>
      </c>
      <c r="V186" t="s">
        <v>1037</v>
      </c>
    </row>
    <row r="187" spans="1:23" x14ac:dyDescent="0.2">
      <c r="A187" s="3">
        <v>42590</v>
      </c>
      <c r="B187">
        <v>50905</v>
      </c>
      <c r="C187">
        <v>2838</v>
      </c>
      <c r="E187" t="s">
        <v>404</v>
      </c>
      <c r="F187" t="s">
        <v>63</v>
      </c>
      <c r="H187" t="s">
        <v>32</v>
      </c>
      <c r="I187" s="16" t="s">
        <v>2151</v>
      </c>
      <c r="J187" t="s">
        <v>35</v>
      </c>
      <c r="M187" s="10">
        <v>0.15625</v>
      </c>
      <c r="N187" t="s">
        <v>2007</v>
      </c>
      <c r="O187" s="10">
        <v>0.53541666666666665</v>
      </c>
      <c r="Q187" t="s">
        <v>2008</v>
      </c>
      <c r="R187" s="31">
        <v>48</v>
      </c>
      <c r="S187" s="4">
        <v>29</v>
      </c>
      <c r="T187">
        <v>7</v>
      </c>
      <c r="U187" t="s">
        <v>24</v>
      </c>
    </row>
    <row r="188" spans="1:23" x14ac:dyDescent="0.2">
      <c r="A188" s="3">
        <v>42590</v>
      </c>
      <c r="B188">
        <v>50907</v>
      </c>
      <c r="C188">
        <v>50906</v>
      </c>
      <c r="E188" t="s">
        <v>404</v>
      </c>
      <c r="F188" t="s">
        <v>31</v>
      </c>
      <c r="H188" t="s">
        <v>32</v>
      </c>
      <c r="I188" s="16" t="s">
        <v>2151</v>
      </c>
      <c r="J188" t="s">
        <v>30</v>
      </c>
      <c r="M188" s="10" t="s">
        <v>550</v>
      </c>
      <c r="N188" t="s">
        <v>1944</v>
      </c>
      <c r="O188" s="10">
        <v>4.1666666666666664E-2</v>
      </c>
      <c r="P188" t="s">
        <v>1945</v>
      </c>
      <c r="S188" s="4">
        <v>29</v>
      </c>
      <c r="T188">
        <v>8</v>
      </c>
      <c r="U188" t="s">
        <v>24</v>
      </c>
      <c r="V188" t="s">
        <v>1962</v>
      </c>
    </row>
    <row r="189" spans="1:23" x14ac:dyDescent="0.2">
      <c r="A189" s="3">
        <v>42590</v>
      </c>
      <c r="B189">
        <v>50909</v>
      </c>
      <c r="C189">
        <v>50908</v>
      </c>
      <c r="E189" t="s">
        <v>404</v>
      </c>
      <c r="F189" t="s">
        <v>31</v>
      </c>
      <c r="H189" t="s">
        <v>145</v>
      </c>
      <c r="I189" s="16" t="s">
        <v>2129</v>
      </c>
      <c r="J189" t="s">
        <v>30</v>
      </c>
      <c r="M189" s="10" t="s">
        <v>477</v>
      </c>
      <c r="N189" t="s">
        <v>1116</v>
      </c>
      <c r="O189" s="10">
        <v>0.39097222222222222</v>
      </c>
      <c r="Q189" s="10" t="s">
        <v>2070</v>
      </c>
      <c r="R189" s="31">
        <v>47</v>
      </c>
      <c r="S189" s="4">
        <v>21</v>
      </c>
      <c r="T189">
        <v>8</v>
      </c>
      <c r="U189" t="s">
        <v>24</v>
      </c>
    </row>
    <row r="190" spans="1:23" x14ac:dyDescent="0.2">
      <c r="A190" s="3">
        <v>42590</v>
      </c>
      <c r="B190">
        <v>50915</v>
      </c>
      <c r="C190">
        <v>50914</v>
      </c>
      <c r="E190" t="s">
        <v>404</v>
      </c>
      <c r="F190" t="s">
        <v>63</v>
      </c>
      <c r="H190" t="s">
        <v>145</v>
      </c>
      <c r="I190" s="16" t="s">
        <v>2129</v>
      </c>
      <c r="J190" t="s">
        <v>35</v>
      </c>
      <c r="M190" s="10" t="s">
        <v>2022</v>
      </c>
      <c r="N190" t="s">
        <v>1115</v>
      </c>
      <c r="O190" s="10">
        <v>0.38194444444444442</v>
      </c>
      <c r="P190" t="s">
        <v>2023</v>
      </c>
      <c r="Q190" s="10" t="s">
        <v>2024</v>
      </c>
      <c r="R190" s="31">
        <v>49</v>
      </c>
      <c r="S190" s="4">
        <v>21</v>
      </c>
      <c r="T190">
        <v>8</v>
      </c>
      <c r="U190" s="10" t="s">
        <v>24</v>
      </c>
      <c r="V190" t="s">
        <v>2025</v>
      </c>
    </row>
    <row r="191" spans="1:23" x14ac:dyDescent="0.2">
      <c r="A191" s="3">
        <v>42591</v>
      </c>
      <c r="B191">
        <v>50887</v>
      </c>
      <c r="C191">
        <v>50886</v>
      </c>
      <c r="E191" t="s">
        <v>404</v>
      </c>
      <c r="H191" t="s">
        <v>32</v>
      </c>
      <c r="I191" s="16" t="s">
        <v>2151</v>
      </c>
      <c r="J191" t="s">
        <v>35</v>
      </c>
      <c r="M191" s="10" t="s">
        <v>550</v>
      </c>
      <c r="N191" t="s">
        <v>1998</v>
      </c>
      <c r="O191" s="10">
        <v>0.44305555555555554</v>
      </c>
      <c r="P191" t="s">
        <v>1971</v>
      </c>
      <c r="Q191" s="10" t="s">
        <v>1999</v>
      </c>
      <c r="R191" s="31">
        <v>37</v>
      </c>
      <c r="S191" s="4">
        <v>36</v>
      </c>
      <c r="T191">
        <v>7</v>
      </c>
      <c r="U191" t="s">
        <v>24</v>
      </c>
      <c r="V191" t="s">
        <v>791</v>
      </c>
    </row>
    <row r="192" spans="1:23" x14ac:dyDescent="0.2">
      <c r="A192" s="3">
        <v>42591</v>
      </c>
      <c r="B192">
        <v>50902</v>
      </c>
      <c r="C192">
        <v>50901</v>
      </c>
      <c r="F192" t="s">
        <v>31</v>
      </c>
      <c r="G192" t="s">
        <v>145</v>
      </c>
      <c r="I192" s="16" t="s">
        <v>2128</v>
      </c>
      <c r="J192" t="s">
        <v>30</v>
      </c>
      <c r="M192" s="10">
        <v>0.18402777777777779</v>
      </c>
      <c r="N192" t="s">
        <v>2004</v>
      </c>
      <c r="O192" s="10">
        <v>0.45416666666666666</v>
      </c>
      <c r="P192" t="s">
        <v>1975</v>
      </c>
      <c r="Q192" s="10" t="s">
        <v>2005</v>
      </c>
      <c r="R192" s="31">
        <v>48.5</v>
      </c>
      <c r="S192" s="4">
        <v>14</v>
      </c>
      <c r="T192">
        <v>7</v>
      </c>
      <c r="U192" t="s">
        <v>24</v>
      </c>
    </row>
    <row r="193" spans="1:22" x14ac:dyDescent="0.2">
      <c r="A193" s="3">
        <v>42591</v>
      </c>
      <c r="B193">
        <v>50918</v>
      </c>
      <c r="C193">
        <v>50919</v>
      </c>
      <c r="E193" t="s">
        <v>762</v>
      </c>
      <c r="F193" t="s">
        <v>31</v>
      </c>
      <c r="G193" t="s">
        <v>145</v>
      </c>
      <c r="I193" s="16" t="s">
        <v>2128</v>
      </c>
      <c r="J193" t="s">
        <v>30</v>
      </c>
      <c r="M193" s="10">
        <v>0.1875</v>
      </c>
      <c r="N193" t="s">
        <v>2049</v>
      </c>
      <c r="O193" s="10">
        <v>0.44791666666666669</v>
      </c>
      <c r="P193" t="s">
        <v>2050</v>
      </c>
      <c r="Q193" s="10" t="s">
        <v>2051</v>
      </c>
      <c r="R193" s="31">
        <v>52</v>
      </c>
      <c r="S193" s="4">
        <v>14</v>
      </c>
      <c r="T193">
        <v>7</v>
      </c>
      <c r="U193" t="s">
        <v>24</v>
      </c>
    </row>
    <row r="194" spans="1:22" x14ac:dyDescent="0.2">
      <c r="A194" s="3">
        <v>42592</v>
      </c>
      <c r="B194">
        <v>2834</v>
      </c>
      <c r="C194">
        <v>2835</v>
      </c>
      <c r="E194" t="s">
        <v>404</v>
      </c>
      <c r="F194" t="s">
        <v>31</v>
      </c>
      <c r="H194" t="s">
        <v>32</v>
      </c>
      <c r="I194" t="s">
        <v>2151</v>
      </c>
      <c r="J194" t="s">
        <v>30</v>
      </c>
      <c r="M194" s="10">
        <v>0.19097222222222221</v>
      </c>
      <c r="N194" t="s">
        <v>2086</v>
      </c>
      <c r="O194" s="10">
        <v>0.48958333333333331</v>
      </c>
      <c r="P194" t="s">
        <v>2087</v>
      </c>
      <c r="Q194" s="10" t="s">
        <v>2088</v>
      </c>
      <c r="R194" s="31">
        <v>52.5</v>
      </c>
      <c r="S194" s="4">
        <v>35</v>
      </c>
      <c r="T194">
        <v>14</v>
      </c>
      <c r="U194" t="s">
        <v>24</v>
      </c>
      <c r="V194" t="s">
        <v>809</v>
      </c>
    </row>
    <row r="195" spans="1:22" x14ac:dyDescent="0.2">
      <c r="A195" s="3">
        <v>42592</v>
      </c>
      <c r="B195">
        <v>2836</v>
      </c>
      <c r="C195">
        <v>2837</v>
      </c>
      <c r="E195" t="s">
        <v>404</v>
      </c>
      <c r="F195" t="s">
        <v>31</v>
      </c>
      <c r="H195" t="s">
        <v>32</v>
      </c>
      <c r="I195" t="s">
        <v>2151</v>
      </c>
      <c r="J195" t="s">
        <v>30</v>
      </c>
      <c r="M195" s="10">
        <v>0.1875</v>
      </c>
      <c r="N195" t="s">
        <v>2084</v>
      </c>
      <c r="O195" s="10">
        <v>0.49444444444444446</v>
      </c>
      <c r="P195" t="s">
        <v>1969</v>
      </c>
      <c r="Q195" s="10" t="s">
        <v>2085</v>
      </c>
      <c r="R195" s="31">
        <v>57</v>
      </c>
      <c r="S195" s="4">
        <v>35</v>
      </c>
      <c r="T195">
        <v>14</v>
      </c>
      <c r="U195" t="s">
        <v>24</v>
      </c>
      <c r="V195" t="s">
        <v>809</v>
      </c>
    </row>
    <row r="196" spans="1:22" x14ac:dyDescent="0.2">
      <c r="A196" s="3">
        <v>42593</v>
      </c>
      <c r="B196">
        <v>17929</v>
      </c>
      <c r="C196">
        <v>17928</v>
      </c>
      <c r="D196">
        <v>9</v>
      </c>
      <c r="E196" t="s">
        <v>404</v>
      </c>
      <c r="F196" t="s">
        <v>63</v>
      </c>
      <c r="H196" t="s">
        <v>145</v>
      </c>
      <c r="I196" s="16" t="s">
        <v>2129</v>
      </c>
      <c r="J196" t="s">
        <v>35</v>
      </c>
      <c r="K196" t="s">
        <v>1950</v>
      </c>
      <c r="M196" s="10" t="s">
        <v>410</v>
      </c>
      <c r="N196" t="s">
        <v>1296</v>
      </c>
      <c r="O196" s="10">
        <v>4.6527777777777779E-2</v>
      </c>
      <c r="P196" t="s">
        <v>1986</v>
      </c>
      <c r="Q196" s="10" t="s">
        <v>2033</v>
      </c>
      <c r="R196" s="31">
        <v>41.5</v>
      </c>
      <c r="S196" s="4">
        <v>21</v>
      </c>
      <c r="T196">
        <v>0</v>
      </c>
      <c r="U196" s="10" t="s">
        <v>24</v>
      </c>
      <c r="V196" t="s">
        <v>1991</v>
      </c>
    </row>
    <row r="197" spans="1:22" x14ac:dyDescent="0.2">
      <c r="A197" s="3">
        <v>42593</v>
      </c>
      <c r="B197">
        <v>17931</v>
      </c>
      <c r="C197">
        <v>17930</v>
      </c>
      <c r="D197">
        <v>10.5</v>
      </c>
      <c r="E197" t="s">
        <v>404</v>
      </c>
      <c r="F197" t="s">
        <v>31</v>
      </c>
      <c r="H197" t="s">
        <v>32</v>
      </c>
      <c r="I197" s="16" t="s">
        <v>2128</v>
      </c>
      <c r="J197" t="s">
        <v>30</v>
      </c>
      <c r="K197" t="s">
        <v>1950</v>
      </c>
      <c r="M197" s="10" t="s">
        <v>550</v>
      </c>
      <c r="N197" t="s">
        <v>1297</v>
      </c>
      <c r="O197" s="10">
        <v>5.5555555555555552E-2</v>
      </c>
      <c r="P197" t="s">
        <v>90</v>
      </c>
      <c r="Q197" s="10" t="s">
        <v>1990</v>
      </c>
      <c r="R197" s="31">
        <v>54</v>
      </c>
      <c r="S197" s="4">
        <v>0</v>
      </c>
      <c r="T197">
        <v>0</v>
      </c>
      <c r="U197" s="10" t="s">
        <v>24</v>
      </c>
      <c r="V197" t="s">
        <v>1991</v>
      </c>
    </row>
    <row r="198" spans="1:22" x14ac:dyDescent="0.2">
      <c r="A198" s="3">
        <v>42593</v>
      </c>
      <c r="B198">
        <v>17933</v>
      </c>
      <c r="C198">
        <v>17932</v>
      </c>
      <c r="D198">
        <v>10</v>
      </c>
      <c r="E198" t="s">
        <v>404</v>
      </c>
      <c r="F198" t="s">
        <v>63</v>
      </c>
      <c r="H198" t="s">
        <v>32</v>
      </c>
      <c r="I198" s="16" t="s">
        <v>2128</v>
      </c>
      <c r="J198" t="s">
        <v>35</v>
      </c>
      <c r="K198" t="s">
        <v>1950</v>
      </c>
      <c r="M198" s="10" t="s">
        <v>474</v>
      </c>
      <c r="N198" t="s">
        <v>1300</v>
      </c>
      <c r="O198" s="10">
        <v>6.3194444444444442E-2</v>
      </c>
      <c r="P198" t="s">
        <v>1980</v>
      </c>
      <c r="Q198" s="10" t="s">
        <v>2028</v>
      </c>
      <c r="R198" s="31">
        <v>48</v>
      </c>
      <c r="S198" s="4">
        <v>21</v>
      </c>
      <c r="T198">
        <v>0</v>
      </c>
      <c r="U198" s="10" t="s">
        <v>24</v>
      </c>
    </row>
    <row r="199" spans="1:22" x14ac:dyDescent="0.2">
      <c r="A199" s="3">
        <v>42593</v>
      </c>
      <c r="B199">
        <v>17935</v>
      </c>
      <c r="C199">
        <v>17934</v>
      </c>
      <c r="D199">
        <v>9</v>
      </c>
      <c r="E199" t="s">
        <v>404</v>
      </c>
      <c r="F199" t="s">
        <v>31</v>
      </c>
      <c r="H199" t="s">
        <v>145</v>
      </c>
      <c r="I199" s="16" t="s">
        <v>2129</v>
      </c>
      <c r="J199" t="s">
        <v>30</v>
      </c>
      <c r="K199" t="s">
        <v>1950</v>
      </c>
      <c r="M199" s="10" t="s">
        <v>550</v>
      </c>
      <c r="N199" t="s">
        <v>1299</v>
      </c>
      <c r="O199" s="10">
        <v>7.013888888888889E-2</v>
      </c>
      <c r="P199" t="s">
        <v>1950</v>
      </c>
      <c r="Q199" s="10" t="s">
        <v>2034</v>
      </c>
      <c r="R199" s="31">
        <v>43.5</v>
      </c>
      <c r="S199" s="4">
        <v>21</v>
      </c>
      <c r="T199">
        <v>0</v>
      </c>
      <c r="U199" s="10" t="s">
        <v>24</v>
      </c>
      <c r="V199" t="s">
        <v>1991</v>
      </c>
    </row>
    <row r="200" spans="1:22" x14ac:dyDescent="0.2">
      <c r="A200" s="3">
        <v>42593</v>
      </c>
      <c r="B200">
        <v>17937</v>
      </c>
      <c r="C200">
        <v>17936</v>
      </c>
      <c r="D200">
        <v>10</v>
      </c>
      <c r="E200" t="s">
        <v>404</v>
      </c>
      <c r="F200" t="s">
        <v>63</v>
      </c>
      <c r="H200" t="s">
        <v>145</v>
      </c>
      <c r="I200" s="16" t="s">
        <v>2129</v>
      </c>
      <c r="J200" t="s">
        <v>35</v>
      </c>
      <c r="K200" t="s">
        <v>1950</v>
      </c>
      <c r="M200" s="10" t="s">
        <v>477</v>
      </c>
      <c r="N200" t="s">
        <v>1298</v>
      </c>
      <c r="O200" s="10">
        <v>7.6388888888888895E-2</v>
      </c>
      <c r="P200" t="s">
        <v>1950</v>
      </c>
      <c r="Q200" s="10" t="s">
        <v>2035</v>
      </c>
      <c r="R200" s="31">
        <v>47</v>
      </c>
      <c r="S200" s="4">
        <v>21</v>
      </c>
      <c r="T200">
        <v>0</v>
      </c>
      <c r="U200" s="10" t="s">
        <v>24</v>
      </c>
      <c r="V200" t="s">
        <v>2036</v>
      </c>
    </row>
    <row r="201" spans="1:22" x14ac:dyDescent="0.2">
      <c r="A201" s="3">
        <v>42594</v>
      </c>
      <c r="B201" s="17" t="s">
        <v>2041</v>
      </c>
      <c r="C201">
        <v>2446</v>
      </c>
      <c r="D201">
        <v>15</v>
      </c>
      <c r="E201" t="s">
        <v>526</v>
      </c>
      <c r="F201" t="s">
        <v>31</v>
      </c>
      <c r="G201" t="s">
        <v>32</v>
      </c>
      <c r="I201" t="s">
        <v>2130</v>
      </c>
      <c r="J201" t="s">
        <v>30</v>
      </c>
      <c r="K201" t="s">
        <v>1950</v>
      </c>
      <c r="L201" t="s">
        <v>476</v>
      </c>
      <c r="M201" s="10" t="s">
        <v>550</v>
      </c>
      <c r="O201" s="10"/>
      <c r="Q201" s="10" t="s">
        <v>2042</v>
      </c>
      <c r="R201" s="31">
        <v>43.5</v>
      </c>
      <c r="S201" s="4">
        <v>0</v>
      </c>
      <c r="T201">
        <v>0</v>
      </c>
      <c r="U201" s="10" t="s">
        <v>24</v>
      </c>
      <c r="V201" t="s">
        <v>1589</v>
      </c>
    </row>
    <row r="202" spans="1:22" x14ac:dyDescent="0.2">
      <c r="A202" s="3">
        <v>42594</v>
      </c>
      <c r="B202" s="17" t="s">
        <v>1087</v>
      </c>
      <c r="E202" t="s">
        <v>510</v>
      </c>
      <c r="F202" t="s">
        <v>63</v>
      </c>
      <c r="G202" t="s">
        <v>32</v>
      </c>
      <c r="I202" s="16" t="s">
        <v>2130</v>
      </c>
      <c r="J202" t="s">
        <v>35</v>
      </c>
      <c r="M202" s="10"/>
      <c r="N202" t="s">
        <v>1289</v>
      </c>
      <c r="O202" s="10">
        <v>0.30138888888888887</v>
      </c>
      <c r="Q202" s="10"/>
      <c r="S202" s="4">
        <v>0</v>
      </c>
      <c r="T202">
        <v>7</v>
      </c>
      <c r="U202" s="10" t="s">
        <v>24</v>
      </c>
    </row>
    <row r="203" spans="1:22" x14ac:dyDescent="0.2">
      <c r="A203" s="3">
        <v>42594</v>
      </c>
      <c r="B203" s="17" t="s">
        <v>2043</v>
      </c>
      <c r="C203">
        <v>11993</v>
      </c>
      <c r="D203">
        <v>14.5</v>
      </c>
      <c r="E203" t="s">
        <v>1398</v>
      </c>
      <c r="F203" t="s">
        <v>63</v>
      </c>
      <c r="G203" t="s">
        <v>32</v>
      </c>
      <c r="I203" s="16" t="s">
        <v>2130</v>
      </c>
      <c r="J203" t="s">
        <v>35</v>
      </c>
      <c r="M203" s="10" t="s">
        <v>474</v>
      </c>
      <c r="N203" t="s">
        <v>1402</v>
      </c>
      <c r="O203" s="10">
        <v>0.30902777777777779</v>
      </c>
      <c r="P203" t="s">
        <v>2037</v>
      </c>
      <c r="Q203" s="10" t="s">
        <v>2044</v>
      </c>
      <c r="R203" s="31">
        <v>52</v>
      </c>
      <c r="S203" s="4">
        <v>0</v>
      </c>
      <c r="T203">
        <v>0</v>
      </c>
      <c r="U203" s="10" t="s">
        <v>24</v>
      </c>
    </row>
    <row r="204" spans="1:22" x14ac:dyDescent="0.2">
      <c r="A204" s="3">
        <v>42594</v>
      </c>
      <c r="B204" s="17" t="s">
        <v>2045</v>
      </c>
      <c r="C204">
        <v>17960</v>
      </c>
      <c r="D204">
        <v>12</v>
      </c>
      <c r="E204" t="s">
        <v>572</v>
      </c>
      <c r="F204" t="s">
        <v>63</v>
      </c>
      <c r="G204" t="s">
        <v>32</v>
      </c>
      <c r="I204" s="16" t="s">
        <v>2130</v>
      </c>
      <c r="J204" t="s">
        <v>35</v>
      </c>
      <c r="K204" t="s">
        <v>1950</v>
      </c>
      <c r="L204" t="s">
        <v>690</v>
      </c>
      <c r="M204" s="10" t="s">
        <v>550</v>
      </c>
      <c r="N204" t="s">
        <v>1290</v>
      </c>
      <c r="O204" s="10">
        <v>0.28472222222222221</v>
      </c>
      <c r="Q204" s="10" t="s">
        <v>2046</v>
      </c>
      <c r="R204" s="31">
        <v>50.5</v>
      </c>
      <c r="S204" s="4">
        <v>0</v>
      </c>
      <c r="T204">
        <v>0</v>
      </c>
      <c r="U204" s="10" t="s">
        <v>24</v>
      </c>
    </row>
    <row r="205" spans="1:22" x14ac:dyDescent="0.2">
      <c r="A205" s="3">
        <v>42594</v>
      </c>
      <c r="B205">
        <v>50337</v>
      </c>
      <c r="C205">
        <v>50336</v>
      </c>
      <c r="E205" t="s">
        <v>404</v>
      </c>
      <c r="F205" t="s">
        <v>63</v>
      </c>
      <c r="H205" t="s">
        <v>145</v>
      </c>
      <c r="I205" s="16" t="s">
        <v>2129</v>
      </c>
      <c r="J205" t="s">
        <v>35</v>
      </c>
      <c r="M205" s="10" t="s">
        <v>550</v>
      </c>
      <c r="N205" t="s">
        <v>2037</v>
      </c>
      <c r="O205" s="10">
        <v>0.2986111111111111</v>
      </c>
      <c r="Q205" s="10" t="s">
        <v>2038</v>
      </c>
      <c r="R205" s="31">
        <v>49</v>
      </c>
      <c r="S205" s="4">
        <v>21</v>
      </c>
      <c r="T205">
        <v>21</v>
      </c>
      <c r="U205" s="10" t="s">
        <v>24</v>
      </c>
    </row>
    <row r="206" spans="1:22" x14ac:dyDescent="0.2">
      <c r="A206" s="3">
        <v>42594</v>
      </c>
      <c r="B206" s="17" t="s">
        <v>2052</v>
      </c>
      <c r="C206">
        <v>50919</v>
      </c>
      <c r="E206" t="s">
        <v>762</v>
      </c>
      <c r="F206" t="s">
        <v>31</v>
      </c>
      <c r="G206" t="s">
        <v>145</v>
      </c>
      <c r="I206" s="16" t="s">
        <v>2128</v>
      </c>
      <c r="J206" t="s">
        <v>30</v>
      </c>
      <c r="M206" s="10"/>
      <c r="N206" t="s">
        <v>2037</v>
      </c>
      <c r="O206" s="10">
        <v>0.27083333333333331</v>
      </c>
      <c r="Q206" s="10"/>
      <c r="S206" s="4">
        <v>14</v>
      </c>
      <c r="T206">
        <v>3</v>
      </c>
      <c r="U206" s="10" t="s">
        <v>24</v>
      </c>
    </row>
    <row r="207" spans="1:22" x14ac:dyDescent="0.2">
      <c r="A207" s="3">
        <v>42596</v>
      </c>
      <c r="B207">
        <v>17942</v>
      </c>
      <c r="C207">
        <v>17941</v>
      </c>
      <c r="D207">
        <v>11</v>
      </c>
      <c r="E207" t="s">
        <v>404</v>
      </c>
      <c r="F207" t="s">
        <v>63</v>
      </c>
      <c r="H207" t="s">
        <v>145</v>
      </c>
      <c r="I207" s="16" t="s">
        <v>2129</v>
      </c>
      <c r="J207" t="s">
        <v>35</v>
      </c>
      <c r="K207" t="s">
        <v>1950</v>
      </c>
      <c r="M207" s="10" t="s">
        <v>474</v>
      </c>
      <c r="N207" t="s">
        <v>2118</v>
      </c>
      <c r="O207" s="10">
        <v>0.50694444444444442</v>
      </c>
      <c r="Q207" s="10" t="s">
        <v>2119</v>
      </c>
      <c r="R207" s="31">
        <v>38</v>
      </c>
      <c r="S207" s="4">
        <v>21</v>
      </c>
      <c r="T207">
        <v>0</v>
      </c>
      <c r="U207" s="10" t="s">
        <v>24</v>
      </c>
      <c r="V207" t="s">
        <v>2120</v>
      </c>
    </row>
    <row r="208" spans="1:22" x14ac:dyDescent="0.2">
      <c r="A208" s="3">
        <v>42596</v>
      </c>
      <c r="B208">
        <v>17944</v>
      </c>
      <c r="C208">
        <v>17943</v>
      </c>
      <c r="D208">
        <v>10</v>
      </c>
      <c r="E208" t="s">
        <v>404</v>
      </c>
      <c r="F208" t="s">
        <v>63</v>
      </c>
      <c r="H208" t="s">
        <v>145</v>
      </c>
      <c r="I208" s="16" t="s">
        <v>2129</v>
      </c>
      <c r="J208" t="s">
        <v>35</v>
      </c>
      <c r="K208" t="s">
        <v>1950</v>
      </c>
      <c r="L208" t="s">
        <v>497</v>
      </c>
      <c r="M208" s="10">
        <v>0.17013888888888887</v>
      </c>
      <c r="N208" t="s">
        <v>1992</v>
      </c>
      <c r="O208" s="10">
        <v>0.5</v>
      </c>
      <c r="Q208" s="10" t="s">
        <v>1993</v>
      </c>
      <c r="R208" s="31">
        <v>62.5</v>
      </c>
      <c r="S208" s="4">
        <v>21</v>
      </c>
      <c r="T208">
        <v>0</v>
      </c>
      <c r="U208" s="10" t="s">
        <v>24</v>
      </c>
      <c r="V208" t="s">
        <v>1994</v>
      </c>
    </row>
    <row r="209" spans="1:22" x14ac:dyDescent="0.2">
      <c r="A209" s="3">
        <v>42596</v>
      </c>
      <c r="B209">
        <v>17946</v>
      </c>
      <c r="C209">
        <v>17945</v>
      </c>
      <c r="D209">
        <v>11</v>
      </c>
      <c r="E209" t="s">
        <v>404</v>
      </c>
      <c r="F209" t="s">
        <v>63</v>
      </c>
      <c r="H209" t="s">
        <v>145</v>
      </c>
      <c r="I209" s="16" t="s">
        <v>2129</v>
      </c>
      <c r="J209" t="s">
        <v>35</v>
      </c>
      <c r="K209" t="s">
        <v>1950</v>
      </c>
      <c r="M209" s="10">
        <v>0.17708333333333334</v>
      </c>
      <c r="N209" t="s">
        <v>2121</v>
      </c>
      <c r="O209" s="10">
        <v>0.48958333333333331</v>
      </c>
      <c r="P209" t="s">
        <v>1950</v>
      </c>
      <c r="Q209" s="10" t="s">
        <v>2122</v>
      </c>
      <c r="R209" s="31">
        <v>51</v>
      </c>
      <c r="S209" s="4">
        <v>21</v>
      </c>
      <c r="T209">
        <v>0</v>
      </c>
      <c r="U209" s="10" t="s">
        <v>24</v>
      </c>
      <c r="V209" t="s">
        <v>1994</v>
      </c>
    </row>
    <row r="210" spans="1:22" x14ac:dyDescent="0.2">
      <c r="A210" s="3">
        <v>42596</v>
      </c>
      <c r="B210">
        <v>17948</v>
      </c>
      <c r="C210">
        <v>17947</v>
      </c>
      <c r="D210">
        <v>10</v>
      </c>
      <c r="E210" t="s">
        <v>404</v>
      </c>
      <c r="F210" t="s">
        <v>31</v>
      </c>
      <c r="H210" t="s">
        <v>145</v>
      </c>
      <c r="I210" s="16" t="s">
        <v>2129</v>
      </c>
      <c r="J210" t="s">
        <v>30</v>
      </c>
      <c r="K210" t="s">
        <v>1950</v>
      </c>
      <c r="M210" s="10">
        <v>0.1875</v>
      </c>
      <c r="N210" t="s">
        <v>2123</v>
      </c>
      <c r="O210" s="10">
        <v>0.48125000000000001</v>
      </c>
      <c r="P210" t="s">
        <v>1950</v>
      </c>
      <c r="Q210" s="10" t="s">
        <v>2124</v>
      </c>
      <c r="R210" s="31">
        <v>45</v>
      </c>
      <c r="S210" s="4">
        <v>21</v>
      </c>
      <c r="T210">
        <v>0</v>
      </c>
      <c r="U210" s="10" t="s">
        <v>24</v>
      </c>
      <c r="V210" t="s">
        <v>1994</v>
      </c>
    </row>
    <row r="211" spans="1:22" x14ac:dyDescent="0.2">
      <c r="A211" s="3">
        <v>42596</v>
      </c>
      <c r="B211">
        <v>17950</v>
      </c>
      <c r="C211">
        <v>17949</v>
      </c>
      <c r="D211">
        <v>11</v>
      </c>
      <c r="E211" t="s">
        <v>404</v>
      </c>
      <c r="F211" t="s">
        <v>31</v>
      </c>
      <c r="H211" t="s">
        <v>145</v>
      </c>
      <c r="I211" s="16" t="s">
        <v>2129</v>
      </c>
      <c r="J211" t="s">
        <v>30</v>
      </c>
      <c r="K211" t="s">
        <v>1950</v>
      </c>
      <c r="M211" s="10" t="s">
        <v>550</v>
      </c>
      <c r="N211" t="s">
        <v>2125</v>
      </c>
      <c r="O211" s="10">
        <v>0.47222222222222227</v>
      </c>
      <c r="Q211" s="10" t="s">
        <v>2126</v>
      </c>
      <c r="S211" s="4">
        <v>21</v>
      </c>
      <c r="T211">
        <v>0</v>
      </c>
      <c r="U211" s="10" t="s">
        <v>24</v>
      </c>
      <c r="V211" t="s">
        <v>1994</v>
      </c>
    </row>
    <row r="212" spans="1:22" x14ac:dyDescent="0.2">
      <c r="A212" s="3">
        <v>42597</v>
      </c>
      <c r="B212">
        <v>2449</v>
      </c>
      <c r="C212">
        <v>2641</v>
      </c>
      <c r="E212" t="s">
        <v>361</v>
      </c>
      <c r="F212" t="s">
        <v>63</v>
      </c>
      <c r="G212" t="s">
        <v>145</v>
      </c>
      <c r="I212" t="s">
        <v>2128</v>
      </c>
      <c r="J212" t="s">
        <v>35</v>
      </c>
      <c r="M212" s="10" t="s">
        <v>550</v>
      </c>
      <c r="N212" t="s">
        <v>2013</v>
      </c>
      <c r="O212" s="10">
        <v>0.25</v>
      </c>
      <c r="P212" t="s">
        <v>1950</v>
      </c>
      <c r="Q212" s="10" t="s">
        <v>2014</v>
      </c>
      <c r="R212" s="31">
        <v>56</v>
      </c>
      <c r="S212" s="4">
        <v>10</v>
      </c>
      <c r="T212">
        <v>10</v>
      </c>
      <c r="U212" s="10" t="s">
        <v>24</v>
      </c>
    </row>
    <row r="213" spans="1:22" x14ac:dyDescent="0.2">
      <c r="A213" s="3">
        <v>42597</v>
      </c>
      <c r="B213">
        <v>18000</v>
      </c>
      <c r="C213">
        <v>17999</v>
      </c>
      <c r="E213" t="s">
        <v>570</v>
      </c>
      <c r="F213" t="s">
        <v>63</v>
      </c>
      <c r="G213" t="s">
        <v>145</v>
      </c>
      <c r="I213" s="16" t="s">
        <v>2128</v>
      </c>
      <c r="J213" t="s">
        <v>35</v>
      </c>
      <c r="M213" s="10" t="s">
        <v>550</v>
      </c>
      <c r="N213" t="s">
        <v>2016</v>
      </c>
      <c r="O213" s="10">
        <v>0.25625000000000003</v>
      </c>
      <c r="P213" t="s">
        <v>1950</v>
      </c>
      <c r="Q213" s="10" t="s">
        <v>2017</v>
      </c>
      <c r="R213" s="31">
        <v>44</v>
      </c>
      <c r="S213" s="4">
        <v>7</v>
      </c>
      <c r="T213">
        <v>7</v>
      </c>
      <c r="U213" s="10" t="s">
        <v>24</v>
      </c>
    </row>
    <row r="214" spans="1:22" x14ac:dyDescent="0.2">
      <c r="A214" s="3">
        <v>42597</v>
      </c>
      <c r="B214">
        <v>50887</v>
      </c>
      <c r="C214">
        <v>50886</v>
      </c>
      <c r="H214" t="s">
        <v>32</v>
      </c>
      <c r="I214" s="16" t="s">
        <v>2151</v>
      </c>
      <c r="J214" t="s">
        <v>35</v>
      </c>
      <c r="M214" s="10" t="s">
        <v>452</v>
      </c>
      <c r="N214" t="s">
        <v>1416</v>
      </c>
      <c r="O214" s="10">
        <v>0.38541666666666669</v>
      </c>
      <c r="P214" t="s">
        <v>1950</v>
      </c>
      <c r="Q214" s="10" t="s">
        <v>2000</v>
      </c>
      <c r="R214" s="31">
        <v>27</v>
      </c>
      <c r="S214" s="4">
        <v>38</v>
      </c>
      <c r="T214">
        <v>6</v>
      </c>
      <c r="U214" s="10" t="s">
        <v>24</v>
      </c>
      <c r="V214" t="s">
        <v>791</v>
      </c>
    </row>
    <row r="215" spans="1:22" x14ac:dyDescent="0.2">
      <c r="A215" s="3">
        <v>42597</v>
      </c>
      <c r="B215">
        <v>50902</v>
      </c>
      <c r="C215">
        <v>50901</v>
      </c>
      <c r="F215" t="s">
        <v>31</v>
      </c>
      <c r="G215" t="s">
        <v>145</v>
      </c>
      <c r="I215" s="16" t="s">
        <v>2128</v>
      </c>
      <c r="J215" t="s">
        <v>30</v>
      </c>
      <c r="M215" s="10">
        <v>0.1875</v>
      </c>
      <c r="N215" t="s">
        <v>1442</v>
      </c>
      <c r="O215" s="10">
        <v>0.3298611111111111</v>
      </c>
      <c r="P215" t="s">
        <v>1950</v>
      </c>
      <c r="Q215" s="10" t="s">
        <v>2006</v>
      </c>
      <c r="R215" s="31">
        <v>54</v>
      </c>
      <c r="S215" s="4">
        <v>16</v>
      </c>
      <c r="T215">
        <v>6</v>
      </c>
      <c r="U215" s="10" t="s">
        <v>24</v>
      </c>
    </row>
    <row r="216" spans="1:22" x14ac:dyDescent="0.2">
      <c r="A216" s="3">
        <v>42597</v>
      </c>
      <c r="B216">
        <v>50905</v>
      </c>
      <c r="C216">
        <v>2838</v>
      </c>
      <c r="E216" t="s">
        <v>404</v>
      </c>
      <c r="F216" t="s">
        <v>63</v>
      </c>
      <c r="H216" t="s">
        <v>32</v>
      </c>
      <c r="I216" s="16" t="s">
        <v>2151</v>
      </c>
      <c r="J216" t="s">
        <v>35</v>
      </c>
      <c r="M216" s="10" t="s">
        <v>474</v>
      </c>
      <c r="N216" t="s">
        <v>2009</v>
      </c>
      <c r="O216" s="10">
        <v>0.23958333333333334</v>
      </c>
      <c r="Q216" s="10" t="s">
        <v>2010</v>
      </c>
      <c r="R216" s="31">
        <v>45</v>
      </c>
      <c r="S216" s="4">
        <v>36</v>
      </c>
      <c r="T216">
        <v>7</v>
      </c>
      <c r="U216" s="10" t="s">
        <v>24</v>
      </c>
    </row>
    <row r="217" spans="1:22" x14ac:dyDescent="0.2">
      <c r="A217" s="3">
        <v>42597</v>
      </c>
      <c r="B217">
        <v>50915</v>
      </c>
      <c r="C217">
        <v>50914</v>
      </c>
      <c r="E217" t="s">
        <v>404</v>
      </c>
      <c r="F217" t="s">
        <v>63</v>
      </c>
      <c r="H217" t="s">
        <v>145</v>
      </c>
      <c r="I217" s="16" t="s">
        <v>2129</v>
      </c>
      <c r="J217" t="s">
        <v>35</v>
      </c>
      <c r="M217" s="10" t="s">
        <v>452</v>
      </c>
      <c r="N217" t="s">
        <v>2026</v>
      </c>
      <c r="O217" s="10">
        <v>0.3659722222222222</v>
      </c>
      <c r="Q217" s="10" t="s">
        <v>2027</v>
      </c>
      <c r="R217" s="31">
        <v>58.5</v>
      </c>
      <c r="S217" s="4">
        <v>21</v>
      </c>
      <c r="T217">
        <v>7</v>
      </c>
      <c r="U217" s="10" t="s">
        <v>24</v>
      </c>
      <c r="V217" t="s">
        <v>2025</v>
      </c>
    </row>
    <row r="218" spans="1:22" x14ac:dyDescent="0.2">
      <c r="A218" s="3">
        <v>42598</v>
      </c>
      <c r="B218" s="17" t="s">
        <v>975</v>
      </c>
      <c r="C218" s="17" t="s">
        <v>976</v>
      </c>
      <c r="E218">
        <v>113</v>
      </c>
      <c r="F218" t="s">
        <v>31</v>
      </c>
      <c r="G218" t="s">
        <v>32</v>
      </c>
      <c r="I218" t="s">
        <v>2130</v>
      </c>
      <c r="J218" t="s">
        <v>30</v>
      </c>
      <c r="M218" s="10" t="s">
        <v>550</v>
      </c>
      <c r="N218" t="s">
        <v>1984</v>
      </c>
      <c r="O218" s="10">
        <v>0.36736111111111108</v>
      </c>
      <c r="P218" t="s">
        <v>1950</v>
      </c>
      <c r="Q218" s="10" t="s">
        <v>1985</v>
      </c>
      <c r="R218" s="31">
        <v>52</v>
      </c>
      <c r="S218" s="4">
        <v>0</v>
      </c>
      <c r="T218">
        <v>10</v>
      </c>
      <c r="U218" s="10" t="s">
        <v>24</v>
      </c>
    </row>
    <row r="219" spans="1:22" x14ac:dyDescent="0.2">
      <c r="A219" s="3">
        <v>42598</v>
      </c>
      <c r="B219">
        <v>50893</v>
      </c>
      <c r="C219">
        <v>50892</v>
      </c>
      <c r="E219">
        <v>113</v>
      </c>
      <c r="F219" t="s">
        <v>31</v>
      </c>
      <c r="G219" t="s">
        <v>32</v>
      </c>
      <c r="I219" s="16" t="s">
        <v>2130</v>
      </c>
      <c r="J219" t="s">
        <v>30</v>
      </c>
      <c r="M219" s="10" t="s">
        <v>474</v>
      </c>
      <c r="N219" t="s">
        <v>1978</v>
      </c>
      <c r="O219" s="10">
        <v>0.3840277777777778</v>
      </c>
      <c r="P219" t="s">
        <v>1950</v>
      </c>
      <c r="Q219" s="10" t="s">
        <v>1979</v>
      </c>
      <c r="R219" s="31">
        <v>43</v>
      </c>
      <c r="S219" s="4">
        <v>0</v>
      </c>
      <c r="T219">
        <v>10</v>
      </c>
      <c r="U219" s="10" t="s">
        <v>24</v>
      </c>
    </row>
    <row r="220" spans="1:22" x14ac:dyDescent="0.2">
      <c r="A220" s="3">
        <v>42599</v>
      </c>
      <c r="B220" s="17" t="s">
        <v>1073</v>
      </c>
      <c r="C220" s="17" t="s">
        <v>1074</v>
      </c>
      <c r="E220">
        <v>111</v>
      </c>
      <c r="F220" t="s">
        <v>63</v>
      </c>
      <c r="G220" t="s">
        <v>32</v>
      </c>
      <c r="I220" t="s">
        <v>2130</v>
      </c>
      <c r="J220" t="s">
        <v>35</v>
      </c>
      <c r="M220" s="10">
        <v>0.1875</v>
      </c>
      <c r="N220" t="s">
        <v>1399</v>
      </c>
      <c r="O220" s="10">
        <v>0.31458333333333333</v>
      </c>
      <c r="P220" t="s">
        <v>1950</v>
      </c>
      <c r="Q220" s="10" t="s">
        <v>1972</v>
      </c>
      <c r="R220" s="31">
        <v>53.5</v>
      </c>
      <c r="S220" s="4">
        <v>0</v>
      </c>
      <c r="T220">
        <v>11</v>
      </c>
      <c r="U220" t="s">
        <v>24</v>
      </c>
    </row>
    <row r="221" spans="1:22" x14ac:dyDescent="0.2">
      <c r="A221" s="3">
        <v>42599</v>
      </c>
      <c r="B221" s="17" t="s">
        <v>1061</v>
      </c>
      <c r="C221" s="17" t="s">
        <v>1062</v>
      </c>
      <c r="D221">
        <v>14.5</v>
      </c>
      <c r="E221">
        <v>113</v>
      </c>
      <c r="F221" t="s">
        <v>63</v>
      </c>
      <c r="G221" t="s">
        <v>32</v>
      </c>
      <c r="I221" s="16" t="s">
        <v>2130</v>
      </c>
      <c r="J221" t="s">
        <v>35</v>
      </c>
      <c r="M221" s="10" t="s">
        <v>410</v>
      </c>
      <c r="N221" t="s">
        <v>1973</v>
      </c>
      <c r="O221" s="10">
        <v>0.46249999999999997</v>
      </c>
      <c r="Q221" t="s">
        <v>1974</v>
      </c>
      <c r="R221" s="31">
        <v>40</v>
      </c>
      <c r="S221" s="4">
        <v>0</v>
      </c>
      <c r="T221">
        <v>0</v>
      </c>
      <c r="U221" t="s">
        <v>24</v>
      </c>
    </row>
    <row r="222" spans="1:22" x14ac:dyDescent="0.2">
      <c r="A222" s="3">
        <v>42599</v>
      </c>
      <c r="B222">
        <v>50952</v>
      </c>
      <c r="C222">
        <v>50951</v>
      </c>
      <c r="E222">
        <v>111</v>
      </c>
      <c r="F222" t="s">
        <v>63</v>
      </c>
      <c r="G222" t="s">
        <v>32</v>
      </c>
      <c r="I222" s="16" t="s">
        <v>2130</v>
      </c>
      <c r="J222" t="s">
        <v>35</v>
      </c>
      <c r="M222" s="10" t="s">
        <v>550</v>
      </c>
      <c r="N222" t="s">
        <v>1964</v>
      </c>
      <c r="O222" s="10">
        <v>0.30486111111111108</v>
      </c>
      <c r="P222" t="s">
        <v>1950</v>
      </c>
      <c r="Q222" s="10" t="s">
        <v>1965</v>
      </c>
      <c r="R222" s="31">
        <v>54.5</v>
      </c>
      <c r="S222" s="4">
        <v>0</v>
      </c>
      <c r="T222">
        <v>0</v>
      </c>
      <c r="U222" s="10" t="s">
        <v>24</v>
      </c>
    </row>
    <row r="223" spans="1:22" x14ac:dyDescent="0.2">
      <c r="A223" s="3">
        <v>42600</v>
      </c>
      <c r="B223">
        <v>2582</v>
      </c>
      <c r="C223">
        <v>2581</v>
      </c>
      <c r="D223">
        <v>8.5</v>
      </c>
      <c r="E223" t="s">
        <v>404</v>
      </c>
      <c r="F223" t="s">
        <v>63</v>
      </c>
      <c r="H223" t="s">
        <v>145</v>
      </c>
      <c r="I223" t="s">
        <v>2129</v>
      </c>
      <c r="J223" t="s">
        <v>35</v>
      </c>
      <c r="K223" t="s">
        <v>1950</v>
      </c>
      <c r="M223" s="10">
        <v>0.12847222222222224</v>
      </c>
      <c r="N223" t="s">
        <v>1952</v>
      </c>
      <c r="O223" s="10">
        <v>9.3055555555555558E-2</v>
      </c>
      <c r="P223" t="s">
        <v>1950</v>
      </c>
      <c r="Q223" t="s">
        <v>1953</v>
      </c>
      <c r="S223" s="4">
        <v>21</v>
      </c>
      <c r="T223">
        <v>0</v>
      </c>
      <c r="U223" t="s">
        <v>24</v>
      </c>
      <c r="V223" t="s">
        <v>1954</v>
      </c>
    </row>
    <row r="224" spans="1:22" x14ac:dyDescent="0.2">
      <c r="A224" s="3">
        <v>42600</v>
      </c>
      <c r="B224">
        <v>2584</v>
      </c>
      <c r="C224">
        <v>2583</v>
      </c>
      <c r="D224">
        <v>9</v>
      </c>
      <c r="E224" t="s">
        <v>404</v>
      </c>
      <c r="F224" t="s">
        <v>63</v>
      </c>
      <c r="H224" t="s">
        <v>145</v>
      </c>
      <c r="I224" t="s">
        <v>2129</v>
      </c>
      <c r="J224" t="s">
        <v>35</v>
      </c>
      <c r="K224" t="s">
        <v>1950</v>
      </c>
      <c r="M224" s="10" t="s">
        <v>410</v>
      </c>
      <c r="N224" t="s">
        <v>1955</v>
      </c>
      <c r="O224" s="10">
        <v>0.1013888888888889</v>
      </c>
      <c r="P224" t="s">
        <v>1950</v>
      </c>
      <c r="Q224" s="10" t="s">
        <v>1956</v>
      </c>
      <c r="S224" s="4">
        <v>21</v>
      </c>
      <c r="T224">
        <v>0</v>
      </c>
      <c r="U224" t="s">
        <v>24</v>
      </c>
      <c r="V224" t="s">
        <v>1959</v>
      </c>
    </row>
    <row r="225" spans="1:22" x14ac:dyDescent="0.2">
      <c r="A225" s="3">
        <v>42600</v>
      </c>
      <c r="B225">
        <v>2586</v>
      </c>
      <c r="C225">
        <v>2585</v>
      </c>
      <c r="D225">
        <v>9.5</v>
      </c>
      <c r="E225" t="s">
        <v>404</v>
      </c>
      <c r="F225" t="s">
        <v>63</v>
      </c>
      <c r="H225" t="s">
        <v>145</v>
      </c>
      <c r="I225" t="s">
        <v>2129</v>
      </c>
      <c r="J225" t="s">
        <v>35</v>
      </c>
      <c r="K225" t="s">
        <v>1950</v>
      </c>
      <c r="M225" s="10">
        <v>7.6388888888888895E-2</v>
      </c>
      <c r="N225" t="s">
        <v>1957</v>
      </c>
      <c r="O225" s="10">
        <v>0.10694444444444444</v>
      </c>
      <c r="P225" t="s">
        <v>1950</v>
      </c>
      <c r="Q225" s="10" t="s">
        <v>1958</v>
      </c>
      <c r="S225" s="4">
        <v>21</v>
      </c>
      <c r="T225">
        <v>0</v>
      </c>
      <c r="U225" t="s">
        <v>24</v>
      </c>
      <c r="V225" t="s">
        <v>1959</v>
      </c>
    </row>
    <row r="226" spans="1:22" x14ac:dyDescent="0.2">
      <c r="A226" s="3">
        <v>42600</v>
      </c>
      <c r="B226">
        <v>2588</v>
      </c>
      <c r="C226">
        <v>2587</v>
      </c>
      <c r="D226">
        <v>9.5</v>
      </c>
      <c r="E226" t="s">
        <v>404</v>
      </c>
      <c r="F226" t="s">
        <v>63</v>
      </c>
      <c r="H226" t="s">
        <v>145</v>
      </c>
      <c r="I226" t="s">
        <v>2129</v>
      </c>
      <c r="J226" t="s">
        <v>35</v>
      </c>
      <c r="K226" t="s">
        <v>1950</v>
      </c>
      <c r="M226" s="10">
        <v>0.14930555555555555</v>
      </c>
      <c r="N226" t="s">
        <v>1960</v>
      </c>
      <c r="O226" s="10">
        <v>0.11527777777777777</v>
      </c>
      <c r="P226" t="s">
        <v>1950</v>
      </c>
      <c r="Q226" t="s">
        <v>1961</v>
      </c>
      <c r="S226" s="4">
        <v>21</v>
      </c>
      <c r="T226">
        <v>0</v>
      </c>
      <c r="U226" t="s">
        <v>24</v>
      </c>
      <c r="V226" t="s">
        <v>1959</v>
      </c>
    </row>
    <row r="227" spans="1:22" x14ac:dyDescent="0.2">
      <c r="A227" s="3">
        <v>42600</v>
      </c>
      <c r="B227" s="17" t="s">
        <v>1041</v>
      </c>
      <c r="C227" s="17" t="s">
        <v>1042</v>
      </c>
      <c r="E227">
        <v>111</v>
      </c>
      <c r="F227" t="s">
        <v>63</v>
      </c>
      <c r="G227" t="s">
        <v>32</v>
      </c>
      <c r="I227" s="16" t="s">
        <v>2130</v>
      </c>
      <c r="J227" t="s">
        <v>35</v>
      </c>
      <c r="M227" s="10" t="s">
        <v>550</v>
      </c>
      <c r="N227" t="s">
        <v>1989</v>
      </c>
      <c r="O227" s="10">
        <v>0.26041666666666669</v>
      </c>
      <c r="P227" t="s">
        <v>1950</v>
      </c>
      <c r="Q227" s="10" t="s">
        <v>2160</v>
      </c>
      <c r="R227" s="31">
        <v>46</v>
      </c>
      <c r="S227" s="4">
        <v>0</v>
      </c>
      <c r="T227">
        <v>12</v>
      </c>
      <c r="U227" s="10" t="s">
        <v>24</v>
      </c>
    </row>
    <row r="228" spans="1:22" x14ac:dyDescent="0.2">
      <c r="A228" s="3">
        <v>42601</v>
      </c>
      <c r="B228">
        <v>2686</v>
      </c>
      <c r="C228">
        <v>2685</v>
      </c>
      <c r="D228">
        <v>12.5</v>
      </c>
      <c r="F228" t="s">
        <v>31</v>
      </c>
      <c r="G228" t="s">
        <v>145</v>
      </c>
      <c r="I228" t="s">
        <v>2128</v>
      </c>
      <c r="J228" t="s">
        <v>30</v>
      </c>
      <c r="L228" t="s">
        <v>503</v>
      </c>
      <c r="M228" s="10" t="s">
        <v>477</v>
      </c>
      <c r="Q228" t="s">
        <v>1943</v>
      </c>
      <c r="S228" s="4">
        <v>22</v>
      </c>
      <c r="T228">
        <v>11</v>
      </c>
      <c r="U228" t="s">
        <v>24</v>
      </c>
    </row>
    <row r="229" spans="1:22" x14ac:dyDescent="0.2">
      <c r="A229" s="3">
        <v>42601</v>
      </c>
      <c r="B229">
        <v>50800</v>
      </c>
      <c r="C229">
        <v>50793</v>
      </c>
      <c r="F229" t="s">
        <v>63</v>
      </c>
      <c r="G229" t="s">
        <v>145</v>
      </c>
      <c r="I229" s="16" t="s">
        <v>2128</v>
      </c>
      <c r="J229" t="s">
        <v>35</v>
      </c>
      <c r="M229" s="10">
        <v>0.17708333333333334</v>
      </c>
      <c r="N229" t="s">
        <v>1863</v>
      </c>
      <c r="O229" s="10">
        <v>0.37777777777777777</v>
      </c>
      <c r="P229" t="s">
        <v>1950</v>
      </c>
      <c r="Q229" t="s">
        <v>1951</v>
      </c>
      <c r="S229" s="4">
        <v>22</v>
      </c>
      <c r="T229">
        <v>17</v>
      </c>
      <c r="U229" t="s">
        <v>24</v>
      </c>
    </row>
    <row r="230" spans="1:22" x14ac:dyDescent="0.2">
      <c r="A230" s="3">
        <v>42601</v>
      </c>
      <c r="B230">
        <v>50907</v>
      </c>
      <c r="C230">
        <v>50906</v>
      </c>
      <c r="E230" t="s">
        <v>404</v>
      </c>
      <c r="F230" t="s">
        <v>31</v>
      </c>
      <c r="H230" t="s">
        <v>32</v>
      </c>
      <c r="I230" s="16" t="s">
        <v>2151</v>
      </c>
      <c r="J230" t="s">
        <v>30</v>
      </c>
      <c r="L230" t="s">
        <v>500</v>
      </c>
      <c r="M230" s="10" t="s">
        <v>410</v>
      </c>
      <c r="N230" t="s">
        <v>1493</v>
      </c>
      <c r="O230" s="10">
        <v>0.39930555555555558</v>
      </c>
      <c r="Q230" s="10" t="s">
        <v>1946</v>
      </c>
      <c r="S230" s="4">
        <v>36</v>
      </c>
      <c r="T230">
        <v>11</v>
      </c>
      <c r="U230" t="s">
        <v>24</v>
      </c>
      <c r="V230" t="s">
        <v>1947</v>
      </c>
    </row>
  </sheetData>
  <sortState xmlns:xlrd2="http://schemas.microsoft.com/office/spreadsheetml/2017/richdata2" ref="A2:W230">
    <sortCondition ref="A2:A230"/>
    <sortCondition ref="B2:B2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10" sqref="C1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Falls Lines</vt:lpstr>
      <vt:lpstr>Orange Mites 2016</vt:lpstr>
      <vt:lpstr>Albrecht's Fecal</vt:lpstr>
      <vt:lpstr>Kathlyn Individuals</vt:lpstr>
      <vt:lpstr>Moms</vt:lpstr>
      <vt:lpstr>Juveniles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ASchulte-Hostedde</dc:creator>
  <cp:lastModifiedBy>Microsoft Office User</cp:lastModifiedBy>
  <dcterms:created xsi:type="dcterms:W3CDTF">2016-05-02T20:46:23Z</dcterms:created>
  <dcterms:modified xsi:type="dcterms:W3CDTF">2020-12-01T21:25:38Z</dcterms:modified>
</cp:coreProperties>
</file>